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827"/>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<sst xmlns="http://schemas.openxmlformats.org/spreadsheetml/2006/main" count="23898" uniqueCount="4512">
  <si>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</si>
  <si>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</si>
  <si>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</si>
  <si>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</si>
  <si>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</si>
  <si>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</si>
  <si>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</si>
  <si>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</si>
  <si>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</si>
  <si>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</si>
  <si>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</si>
  <si>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</si>
  <si>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</si>
  <si>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</si>
  <si>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</si>
  <si>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</si>
  <si>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</si>
  <si>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</si>
  <si>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</si>
  <si>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</si>
  <si>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</si>
  <si>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</si>
  <si>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</si>
  <si>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</si>
  <si>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</si>
  <si>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</si>
  <si>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</si>
  <si>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</si>
  <si>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</si>
  <si>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</si>
  <si>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</si>
  <si>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</si>
  <si>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</si>
  <si>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</si>
  <si>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</si>
  <si>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</si>
  <si>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</si>
  <si>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</si>
  <si>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</si>
  <si>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</si>
  <si>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</si>
  <si>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</si>
  <si>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</si>
  <si>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</si>
  <si>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</si>
  <si>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</si>
  <si>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</si>
  <si>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</si>
  <si>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</si>
  <si>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</si>
  <si>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</si>
  <si>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</si>
  <si>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</si>
  <si>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</si>
  <si>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</si>
  <si>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</si>
  <si>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</si>
  <si>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</si>
  <si>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</si>
  <si>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</si>
  <si>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</si>
  <si>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</si>
  <si>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</si>
  <si>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</si>
  <si>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</si>
  <si>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</si>
  <si>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</si>
  <si>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</si>
  <si>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</si>
  <si>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</si>
  <si>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</si>
  <si>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</si>
  <si>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</si>
  <si>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</si>
  <si>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</si>
  <si>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</si>
  <si>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</si>
  <si>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</si>
  <si>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</si>
  <si>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</si>
  <si>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</si>
  <si>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</si>
  <si>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</si>
  <si>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</si>
  <si>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</si>
  <si>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</si>
  <si>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</si>
  <si>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</si>
  <si>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</si>
  <si>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</si>
  <si>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</si>
  <si>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</si>
  <si>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</si>
  <si>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</si>
  <si>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</si>
  <si>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</si>
  <si>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</si>
  <si>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</si>
  <si>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</si>
  <si>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</si>
  <si>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</si>
  <si>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</si>
  <si>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</si>
  <si>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</si>
  <si>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</si>
  <si>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</si>
  <si>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</si>
  <si>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</si>
  <si>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</si>
  <si>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</si>
  <si>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</si>
  <si>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</si>
  <si>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</si>
  <si>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</si>
  <si>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</si>
  <si>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</si>
  <si>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</si>
  <si>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</si>
  <si>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</si>
  <si>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</si>
  <si>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</si>
  <si>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</si>
  <si>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</si>
  <si>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</si>
  <si>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</si>
  <si>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</si>
  <si>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</si>
  <si>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</si>
  <si>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</si>
  <si>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</si>
  <si>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</si>
  <si>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</si>
  <si>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</si>
  <si>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</si>
  <si>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</si>
  <si>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</si>
  <si>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</si>
  <si>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</si>
  <si>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</si>
  <si>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</si>
  <si>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</si>
  <si>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</si>
  <si>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</si>
  <si>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</si>
  <si>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</si>
  <si>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</si>
  <si>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</si>
  <si>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</si>
  <si>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</si>
  <si>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</si>
  <si>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</si>
  <si>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</si>
  <si>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</si>
  <si>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</si>
  <si>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</si>
  <si>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</si>
  <si>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</si>
  <si>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</si>
  <si>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</si>
  <si>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</si>
  <si>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</si>
  <si>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</si>
  <si>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</si>
  <si>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</si>
  <si>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</si>
  <si>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</si>
  <si>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</si>
  <si>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</si>
  <si>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</si>
  <si>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</si>
  <si>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</si>
  <si>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</si>
  <si>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</si>
  <si>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</si>
  <si>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</si>
  <si>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</si>
  <si>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</si>
  <si>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</si>
  <si>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</si>
  <si>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</si>
  <si>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</si>
  <si>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</si>
  <si>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</si>
  <si>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</si>
  <si>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</si>
  <si>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</si>
  <si>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</si>
  <si>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</si>
  <si>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</si>
  <si>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</si>
  <si>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</si>
  <si>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</si>
  <si>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</si>
  <si>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&lt;ExportDataUserSettings&gt;
      &lt;setting name="BrandURL" serializeAs="String"&gt;
        &lt;value&gt;http://www.smrfoundation.org/&lt;/value&gt;
      &lt;/setting&gt;
      &lt;setting name="URL" serializeAs="String"&gt;
        &lt;value /&gt;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t>
  </si>
  <si>
    <t>&gt;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t>
  </si>
  <si>
    <t>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t>
  </si>
  <si>
    <t>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Youtube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t>
  </si>
  <si>
    <t>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&lt;value&gt;CalculateSentiment░True▓TextColumnIsOnEdgeWorksheet░False▓TextColumnName░Tags▓CountByGroup░True▓SkipSingleTerms░True▓WordsToSkip░0 1 2 3 4 5 6 7 8 9 39 #39 a á à â å ä ã able about above abroad abst accordance according accordingly across act actually ad added adj adopted ae af affected affecting affects after afterwards ag again against ago ah ahead ai ain't aint al all allow allows almost alone along alongside already also although always am amid amidst among amongst amoungst amount amp amp an and announce another any anybody anyhow anymore anyone anything anyway anyways anywhere ao apart apparently appear appreciate appropriate approximately aq ar are area areas aren aren't arent arise around arpa as aside ask asked asking asks aspx associated at au auth available aw away awfully az b ba back backed backing backs backward backwards bb bd be became because become becomes becoming been before beforehand began begin beginning beginnings begins behind being beings believe below beside besides best better between beyond bf bg bh bi big bill billion biol bj bm bn bo both bottom br br brief briefly bs bt but buy bv bw by bz c c'mon c's ca call came can can't cannot cant caption case cases cause causes cc cd certain certainly cf cg ch changes channel ci ck cl clear clearly click cm cmon cn co com come comes computer con concerning consequently consider considering contain containing contains copy corresponding could could've couldn couldn't couldnt course cr cry cs cu currently cv cx cy cz d ð dare daren't darent date de dear definitely describe described despite detail did didn didn't didnt differ different differently directly dj dk dm do does doesn doesn't doesnt doing don don't done dont doubtful down downed downing downs downwards due during ðÿ ðÿš dz e é è each early ec ed edu ee effect eg eh eight eighty either eleven else elsewhere empty end ended ending ends enough entirely er es especially et et-al etc even evenly ever evermore every everybody everyone everything everywhere ex exactly example except f face faces fact facts fairly far farther felt few fewer ff fi fifteen fifth fifty fify fill find finds fire first five fix fj fk fm fo follow followed following follows for forever former formerly forth forty forward found four fr free from front full fully further furthered furthering furthermore furthers fx g ga gave gb gd ge general generally get gets getting gf gg gh gi give given gives giving gl gm gmt gn go goes going gone good goods got gotten gov gp gq gr great greater greatest greetings group grouped grouping groups gs gt gu gw gy h had hadn't hadnt half happens hardly has hasn hasn't hasnt have haven haven't havent having he he'd he'll he's hed hell hello help hence her here here's hereafter hereby herein heres hereupon hers herse” herself hes hi hid high higher highest him himse” himself his hither hk hm hn home homepage hopefully how how'd how'll how's howbeit however hr href href ht htm html html http http https hu hundred i ï i.e. i'd i'll i'm i've id ie if ignored ii il ill im immediate immediately importance important in inasmuch inc indeed index indicate indicated indicates information inner inside insofar instead int interest interested interesting interests into invention inward io iq ir is isn isn't isnt it it'd it'll it's itd itll its itse” itself ive j je jm jo join jp just k kanal ke keep keeps kept keys kg kh ki kind km kn knew know known knows kp kr kw ky kz l la large largely last lately later latest latter latterly lb lc least length less lest let let's lets li like liked likely likewise line little lk ll ll long longer longest look looking looks low lower lr ls lt ltd lu lv ly m ma made mainly make makes making man many may maybe mayn't maynt mc md me mean means meantime meanwhile member members men merely mg mh microsoft might might've mightn't mightnt mil mill million mine minus miss mk ml mm mn mo more moreover most mostly move mp mq mr mrs ms msie mt mu much mug must must've mustn't mustnt mv mw mx my myse myself mz n ñ  na name namely nay nc nd ne near nearly necessarily necessary need needed needing needn't neednt needs neither net netscape never neverf neverless nevertheless new newer newest next nf ng ni nine ninety nl no no-one nobody non none nonetheless noone nor normally nos not noted nothing notwithstanding novel now nowhere np nr nu null number numbers nz o ó ò ö obtain obtained obviously of off official offiziell offizielle often oh ok okay old older oldest om omitted on once one one's ones only onto open opened opening opens opposite or ord order ordered ordering orders org other others otherwise ought oughtn't oughtnt our ours ourselves out outside over overall owing own p pa page page pages pages part parted particular particularly parting parts past pe per perhaps pf pg ph pk pl place placed places please plus pm pmid pn point pointed pointing points poorly possible possibly post posts potentially pp pr predominantly present presented presenting presents presumably previously primarily probably problem problems promptly proud provided provides pt put puts pw py q qa que quickly quite quot quot qv r ran rather rd re readily really reasonably recent recently ref refs regarding regardless regards related relatively research reserved respectively resulted resulting results right ring ro room rooms round rt ru run rw s sa said same saw say saying says sb sc sd se sec second secondly seconds section see seeing seem seemed seeming seems seen sees self selves sensible sent serious seri</t>
  </si>
  <si>
    <t>ously seven seventy several sg sh shall shan't shant she she'd she'll she's shed shell shes should should've shouldn shouldn't shouldnt show showed showing shown showns shows si side sides significant significantly similar similarly since sincere site six sixty sj sk sl slightly sm small smaller smallest sn so some somebody someday somehow someone somethan something sometime sometimes somewhat somewhere soon sorry specifically specified specify specifying sr ß st state states still stop strongly su sub subscribe substantially successfully such sufficiently suggest sup sure sv sy system sz t t's take taken taking tc td tell ten tends test text tf tg th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thick thin thing things think thinks third thirty this thorough thoroughly those thou though thoughh thought thoughts thousand three throug through throughout thru thus til till tip tis tis tj tk tm tn to today together too took top toward towards tp tr tried tries trillion truly try trying ts tt turn turned turning turns tv tw twas twas twelve twenty twice two tz u ú ù ü ua ug uk um un under underneath undoing unfortunately unless unlike unlikely until unto up upon ups upwards url us use used useful usefully usefulness uses using usually uucp uy uz v va value various vc ve versus very vg vi via video viz vn vol vols vs vu w want wanted wanting wants was wasn wasn't wasnt watch way ways we we'd we'll we're we've web webpage website wed welcome well wells went were weren weren't werent weve wf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widely width will willing wish with within without won won't wonder wont words work worked working works world would would've wouldn wouldn't wouldnt ws www x y ye year years yes yet you you'd you'll you're you've youd youll young younger youngest your youre yours yourself yourselves youtu youtube youve yt yu z za zero zm zr▓SentimentList1Name░List1▓SentimentList2Name░List2▓SentimentList3Name░List3▓SentimentList1FriendlyName░Positive▓SentimentList2FriendlyName░Negative▓SentimentList3FriendlyName░(Add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t>
  </si>
  <si>
    <t xml:space="preserve">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t>
  </si>
  <si>
    <t>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t>
  </si>
  <si>
    <t>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t>
  </si>
  <si>
    <t>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t>
  </si>
  <si>
    <t xml:space="preserve">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t>
  </si>
  <si>
    <t>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t>
  </si>
  <si>
    <t>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t>
  </si>
  <si>
    <t xml:space="preserve">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t>
  </si>
  <si>
    <t>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t>
  </si>
  <si>
    <t>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t>
  </si>
  <si>
    <t>Autofill Workbook Results</t>
  </si>
  <si>
    <t>Graph History</t>
  </si>
  <si>
    <t>Relationship</t>
  </si>
  <si>
    <t>z1RLpnRtdko</t>
  </si>
  <si>
    <t>Cp5dejUrVUE</t>
  </si>
  <si>
    <t>UInc_2jzGM4</t>
  </si>
  <si>
    <t>An3Vqmm8Bqs</t>
  </si>
  <si>
    <t>AAk39e00SlY</t>
  </si>
  <si>
    <t>1VVN0ZlxXmI</t>
  </si>
  <si>
    <t>r9sKoy-eifg</t>
  </si>
  <si>
    <t>bXLXHKnDi9s</t>
  </si>
  <si>
    <t>leNjC1CQiow</t>
  </si>
  <si>
    <t>6syIwTVbrt0</t>
  </si>
  <si>
    <t>CwQ8IrHZDgA</t>
  </si>
  <si>
    <t>_ci5QaUkAfw</t>
  </si>
  <si>
    <t>GDEZBIXOz_c</t>
  </si>
  <si>
    <t>H8eULkDBP7Y</t>
  </si>
  <si>
    <t>NvD1xhxTIG8</t>
  </si>
  <si>
    <t>uf7Nmu-Y_UQ</t>
  </si>
  <si>
    <t>lBqT_KdC7YQ</t>
  </si>
  <si>
    <t>PbYZl4BZjJ8</t>
  </si>
  <si>
    <t>mjAq8eA7uOM</t>
  </si>
  <si>
    <t>loKrwwx7OWQ</t>
  </si>
  <si>
    <t>x9IzmOWAlnA</t>
  </si>
  <si>
    <t>lbb2lMCSg64</t>
  </si>
  <si>
    <t>imzmS6mzOws</t>
  </si>
  <si>
    <t>yknqOhpUtzQ</t>
  </si>
  <si>
    <t>OO16QlGloG0</t>
  </si>
  <si>
    <t>BPUFUZvaWU8</t>
  </si>
  <si>
    <t>9YcbpzQ3f8I</t>
  </si>
  <si>
    <t>t8YHRVf60BU</t>
  </si>
  <si>
    <t>0snyC8fNhXo</t>
  </si>
  <si>
    <t>R_fAtEHVOBA</t>
  </si>
  <si>
    <t>XmG5XD7YDhI</t>
  </si>
  <si>
    <t>hTnnEnpQkkk</t>
  </si>
  <si>
    <t>GYSgH1g_YQI</t>
  </si>
  <si>
    <t>0M3T65Iw3Ac</t>
  </si>
  <si>
    <t>1yCjhTuLA1o</t>
  </si>
  <si>
    <t>DfVp1zDYNLg</t>
  </si>
  <si>
    <t>WHociTCrX48</t>
  </si>
  <si>
    <t>Gs4NPuKIXdo</t>
  </si>
  <si>
    <t>AyMwPYpmYng</t>
  </si>
  <si>
    <t>tzkLBf9t7MY</t>
  </si>
  <si>
    <t>BRAb8AzW3-E</t>
  </si>
  <si>
    <t>zEgrruOITHw</t>
  </si>
  <si>
    <t>08MqGSL9TNQ</t>
  </si>
  <si>
    <t>hN3-wTOxrsY</t>
  </si>
  <si>
    <t>zMlwGOki4Yg</t>
  </si>
  <si>
    <t>39yXz72qdow</t>
  </si>
  <si>
    <t>owl9we4ldFI</t>
  </si>
  <si>
    <t>PC-PgkhpsNc</t>
  </si>
  <si>
    <t>xKhYGRpbwOc</t>
  </si>
  <si>
    <t>pwsImFyc0lE</t>
  </si>
  <si>
    <t>lCQPLQW3DB8</t>
  </si>
  <si>
    <t>DwYmCDB8SQU</t>
  </si>
  <si>
    <t>_m8knhgUrF4</t>
  </si>
  <si>
    <t>8NaD9XRsAto</t>
  </si>
  <si>
    <t>WvGthq20j-s</t>
  </si>
  <si>
    <t>j4HT_EOBSeM</t>
  </si>
  <si>
    <t>kCeQIfsnwU4</t>
  </si>
  <si>
    <t>9l9_SOGYyU8</t>
  </si>
  <si>
    <t>FblhjZlu0pQ</t>
  </si>
  <si>
    <t>nOIZnYLlPBo</t>
  </si>
  <si>
    <t>S48F2dNIzhA</t>
  </si>
  <si>
    <t>Z9qtyFEid38</t>
  </si>
  <si>
    <t>P9Vpgdmu0FY</t>
  </si>
  <si>
    <t>3lwQ7aaI00Y</t>
  </si>
  <si>
    <t>I3cjbB38Z4A</t>
  </si>
  <si>
    <t>hKQHZio0H1s</t>
  </si>
  <si>
    <t>ZuUsI6FVULE</t>
  </si>
  <si>
    <t>Iad_97PnKbU</t>
  </si>
  <si>
    <t>8cNW3OD6I0o</t>
  </si>
  <si>
    <t>lzuMukv8Ql4</t>
  </si>
  <si>
    <t>371n3Ye9vVo</t>
  </si>
  <si>
    <t>lngzlLlgcSc</t>
  </si>
  <si>
    <t>76CC22sg_C0</t>
  </si>
  <si>
    <t>F0lV2YsnBGA</t>
  </si>
  <si>
    <t>ULKnOpD1vUg</t>
  </si>
  <si>
    <t>Fp1JV-ZVDZw</t>
  </si>
  <si>
    <t>nAZTSFDjcxg</t>
  </si>
  <si>
    <t>2NxZu99bpb4</t>
  </si>
  <si>
    <t>IluUBP2yKEg</t>
  </si>
  <si>
    <t>rlAuiNBqfMI</t>
  </si>
  <si>
    <t>bRu180vYTn4</t>
  </si>
  <si>
    <t>gsxCopOjGZo</t>
  </si>
  <si>
    <t>vFArtESS8-M</t>
  </si>
  <si>
    <t>k1kLCB7AZbM</t>
  </si>
  <si>
    <t>ZmxEt_OgVpg</t>
  </si>
  <si>
    <t>Y7S5IF_lDp8</t>
  </si>
  <si>
    <t>1TUyoHppfso</t>
  </si>
  <si>
    <t>LagcXwaojBE</t>
  </si>
  <si>
    <t>-LgfBoKO_RI</t>
  </si>
  <si>
    <t>YedNf0EzaW0</t>
  </si>
  <si>
    <t>FnpdwZ_oJnE</t>
  </si>
  <si>
    <t>7G3MxyOcHKQ</t>
  </si>
  <si>
    <t>G4bK_kfCD6c</t>
  </si>
  <si>
    <t>IEp0nVf26F0</t>
  </si>
  <si>
    <t>pSEmVUbjf2M</t>
  </si>
  <si>
    <t>PONAp7NQZoI</t>
  </si>
  <si>
    <t>XTvxznGaUdY</t>
  </si>
  <si>
    <t>V4B-DK4zBBo</t>
  </si>
  <si>
    <t>d6bi0QTaX5Y</t>
  </si>
  <si>
    <t>UHnmPu8Zevg</t>
  </si>
  <si>
    <t>5w5u98cN49c</t>
  </si>
  <si>
    <t>lxIOcCsvM6Y</t>
  </si>
  <si>
    <t>FpQbMd8PUQ0</t>
  </si>
  <si>
    <t>8SnOx8GhfuU</t>
  </si>
  <si>
    <t>JMHhzmoCKC8</t>
  </si>
  <si>
    <t>DDYS6Yhq1_E</t>
  </si>
  <si>
    <t>ZJfsihTfKwY</t>
  </si>
  <si>
    <t>xcHocGRSX6E</t>
  </si>
  <si>
    <t>UsnKJKV2mXE</t>
  </si>
  <si>
    <t>89xmLtfm7G4</t>
  </si>
  <si>
    <t>2u-U_Bmqpvc</t>
  </si>
  <si>
    <t>4mZhNHI8WWc</t>
  </si>
  <si>
    <t>U4mLzxfAjTE</t>
  </si>
  <si>
    <t>KRQpijZtCOk</t>
  </si>
  <si>
    <t>Ftssu_5x7Zk</t>
  </si>
  <si>
    <t>E8Z4Cko8CVI</t>
  </si>
  <si>
    <t>oip7pG6Z0Bo</t>
  </si>
  <si>
    <t>pp1PoMiCQlk</t>
  </si>
  <si>
    <t>CnnrhqYC_Zg</t>
  </si>
  <si>
    <t>Q3I5hLCGH8M</t>
  </si>
  <si>
    <t>l_xvLNE-IIA</t>
  </si>
  <si>
    <t>TiTxYSqPBaI</t>
  </si>
  <si>
    <t>K4F4m7lcPx8</t>
  </si>
  <si>
    <t>-vaBQM3l9Q0</t>
  </si>
  <si>
    <t>hTipXUHaR8s</t>
  </si>
  <si>
    <t>9_SL7u2VdBk</t>
  </si>
  <si>
    <t>Vm0kjAvH5HM</t>
  </si>
  <si>
    <t>f5QEEU0xwQ0</t>
  </si>
  <si>
    <t>M0lEQF1r45E</t>
  </si>
  <si>
    <t>IIBOT3SjJZE</t>
  </si>
  <si>
    <t>Hm4Idkhsr6I</t>
  </si>
  <si>
    <t>shu0ZF52us4</t>
  </si>
  <si>
    <t>hyUQbBOo4kw</t>
  </si>
  <si>
    <t>aRZIeTroUog</t>
  </si>
  <si>
    <t>PU8ACyYxJBk</t>
  </si>
  <si>
    <t>kmQkXIg6Drw</t>
  </si>
  <si>
    <t>5s9-rg1ygWs</t>
  </si>
  <si>
    <t>z-rEfQ-aZ0A</t>
  </si>
  <si>
    <t>6JCH-Wx_LRA</t>
  </si>
  <si>
    <t>dIrOTh2Q2Ek</t>
  </si>
  <si>
    <t>jUz1XgQaXVE</t>
  </si>
  <si>
    <t>6h4HQgbHuhY</t>
  </si>
  <si>
    <t>i88CBli0uQc</t>
  </si>
  <si>
    <t>v_4_bGZspEE</t>
  </si>
  <si>
    <t>vEXe6QNXsaU</t>
  </si>
  <si>
    <t>o-D-Duv8Mcs</t>
  </si>
  <si>
    <t>XcqFJyMmy_g</t>
  </si>
  <si>
    <t>z4dmsYmlUbM</t>
  </si>
  <si>
    <t>1gQ6uG5Ujiw</t>
  </si>
  <si>
    <t>EMP5F5We5bA</t>
  </si>
  <si>
    <t>AZMkYst2tRM</t>
  </si>
  <si>
    <t>Ou_floKQqd8</t>
  </si>
  <si>
    <t>ARI-zWd53-c</t>
  </si>
  <si>
    <t>isBm5RTslow</t>
  </si>
  <si>
    <t>pmtUeygSX0c</t>
  </si>
  <si>
    <t>sR1Kng57uiY</t>
  </si>
  <si>
    <t>yl4Pls8RSS4</t>
  </si>
  <si>
    <t>HQfzwFCKtF8</t>
  </si>
  <si>
    <t>RCmm58xSucY</t>
  </si>
  <si>
    <t>vxjy3hZ5PDw</t>
  </si>
  <si>
    <t>J4YEA4lugyM</t>
  </si>
  <si>
    <t>QETCjkQ3CBw</t>
  </si>
  <si>
    <t>-jvPDfz--l8</t>
  </si>
  <si>
    <t>Jl-_dDqSaUQ</t>
  </si>
  <si>
    <t>WP-cbfC3j6A</t>
  </si>
  <si>
    <t>vI94EtWpApY</t>
  </si>
  <si>
    <t>f7ppy_LUeBc</t>
  </si>
  <si>
    <t>7z-Zmy66CHE</t>
  </si>
  <si>
    <t>-LO9XHo1xFE</t>
  </si>
  <si>
    <t>HqJ2N4fkKtI</t>
  </si>
  <si>
    <t>xmHVqkOkW84</t>
  </si>
  <si>
    <t>l4fIOXPOJsU</t>
  </si>
  <si>
    <t>JPUn_Lsokn8</t>
  </si>
  <si>
    <t>hyj7fhz_9CY</t>
  </si>
  <si>
    <t>QrkqXvlKZYk</t>
  </si>
  <si>
    <t>CHo24uCrv60</t>
  </si>
  <si>
    <t>_QVp_O0zKUM</t>
  </si>
  <si>
    <t>VGUZBKs_xtU</t>
  </si>
  <si>
    <t>herJknD-f4g</t>
  </si>
  <si>
    <t>-aNES7jOB0M</t>
  </si>
  <si>
    <t>UBAGJ2LOnRg</t>
  </si>
  <si>
    <t>RIH-oluskJM</t>
  </si>
  <si>
    <t>W7C04vrOBvU</t>
  </si>
  <si>
    <t>bOF_ysGQ6hU</t>
  </si>
  <si>
    <t>L7157MUvXQo</t>
  </si>
  <si>
    <t>Of3dcgWsw6E</t>
  </si>
  <si>
    <t>KfC2sAps6p8</t>
  </si>
  <si>
    <t>MsntmXceGjk</t>
  </si>
  <si>
    <t>TSgNi5VrtXE</t>
  </si>
  <si>
    <t>MuUN9Kjqi8k</t>
  </si>
  <si>
    <t>CH8GyemwaS4</t>
  </si>
  <si>
    <t>xD1C4vypfKc</t>
  </si>
  <si>
    <t>UYYz40tMzW0</t>
  </si>
  <si>
    <t>qpZoZ1YbDqU</t>
  </si>
  <si>
    <t>xCXSIZXxaAw</t>
  </si>
  <si>
    <t>zayMkF32k7Q</t>
  </si>
  <si>
    <t>T5lRLA_Vn7o</t>
  </si>
  <si>
    <t>08e-YZx0tlQ</t>
  </si>
  <si>
    <t>WQkI5QdojII</t>
  </si>
  <si>
    <t>ec8OduDLgUQ</t>
  </si>
  <si>
    <t>zEXK6M93lb8</t>
  </si>
  <si>
    <t>XOMN5mn2FkY</t>
  </si>
  <si>
    <t>eHnyOOy5nxM</t>
  </si>
  <si>
    <t>qaKKFP4aFiM</t>
  </si>
  <si>
    <t>ZDmusqXQ3sc</t>
  </si>
  <si>
    <t>-aTGL4M0db4</t>
  </si>
  <si>
    <t>c_r1eqwBlWM</t>
  </si>
  <si>
    <t>0bkw7cnZLwQ</t>
  </si>
  <si>
    <t>Son4TJQckxE</t>
  </si>
  <si>
    <t>AimCNTzDlVo</t>
  </si>
  <si>
    <t>6eg9hu0a_OY</t>
  </si>
  <si>
    <t>RwJ6GhOhODs</t>
  </si>
  <si>
    <t>ARt-zxJWXUM</t>
  </si>
  <si>
    <t>MGU7azCYFpw</t>
  </si>
  <si>
    <t>x78JR7XHTro</t>
  </si>
  <si>
    <t>JW8vcqp_EY0</t>
  </si>
  <si>
    <t>iNV7V4V2oFs</t>
  </si>
  <si>
    <t>t4ibtGiTswM</t>
  </si>
  <si>
    <t>CjnsX81qWUg</t>
  </si>
  <si>
    <t>Ipv7I3LuCLY</t>
  </si>
  <si>
    <t>-ltUZ6YXwK8</t>
  </si>
  <si>
    <t>SUkcT9CYCMQ</t>
  </si>
  <si>
    <t>dfJV__vOA04</t>
  </si>
  <si>
    <t>isE8bpls1wM</t>
  </si>
  <si>
    <t>uGxfFiCL0ag</t>
  </si>
  <si>
    <t>ziCxFIU0yZY</t>
  </si>
  <si>
    <t>WoFbiZxNGt4</t>
  </si>
  <si>
    <t>qPk0YEKhqB8</t>
  </si>
  <si>
    <t>Vtwkm6Qtiz0</t>
  </si>
  <si>
    <t>6phxTDtpeqo</t>
  </si>
  <si>
    <t>wP4ZrXsLvAE</t>
  </si>
  <si>
    <t>orf4nJ4MeDw</t>
  </si>
  <si>
    <t>R12mM5OLE60</t>
  </si>
  <si>
    <t>OJor46HMUt4</t>
  </si>
  <si>
    <t>v6Q7jL0BH9k</t>
  </si>
  <si>
    <t>r3AUkcefWWY</t>
  </si>
  <si>
    <t>uvTabUcP9qQ</t>
  </si>
  <si>
    <t>n2aGOi1mEZw</t>
  </si>
  <si>
    <t>n3tG0AKwiRE</t>
  </si>
  <si>
    <t>nZbFYwbyFhQ</t>
  </si>
  <si>
    <t>KqCUrtdVnkU</t>
  </si>
  <si>
    <t>hEp6jq8Qy2A</t>
  </si>
  <si>
    <t>gCiGK4Orxuo</t>
  </si>
  <si>
    <t>M3O9vOqAW-E</t>
  </si>
  <si>
    <t>WOwlKLAPi-U</t>
  </si>
  <si>
    <t>uGhV1u0F29w</t>
  </si>
  <si>
    <t>fjH8O5I3Rzc</t>
  </si>
  <si>
    <t>yJ0DhVzCMH8</t>
  </si>
  <si>
    <t>m5MsIA6qzMg</t>
  </si>
  <si>
    <t>LO7_WciyJuY</t>
  </si>
  <si>
    <t>Y0sdjDqvgzI</t>
  </si>
  <si>
    <t>2tF3Ez0Fzvk</t>
  </si>
  <si>
    <t>DlmtFYbeQes</t>
  </si>
  <si>
    <t>izV5Ole2F14</t>
  </si>
  <si>
    <t>RqS_PxMHqV8</t>
  </si>
  <si>
    <t>KKztyKtFIpw</t>
  </si>
  <si>
    <t>j1V2McKbkLo</t>
  </si>
  <si>
    <t>WsQH3AtJqxY</t>
  </si>
  <si>
    <t>sB8ff2AYCvI</t>
  </si>
  <si>
    <t>5Jy_mhm_wAE</t>
  </si>
  <si>
    <t>gOASqU7wHkQ</t>
  </si>
  <si>
    <t>NqFhB4m8V3s</t>
  </si>
  <si>
    <t>NErSgyrL1VQ</t>
  </si>
  <si>
    <t>REqMBNfl8L4</t>
  </si>
  <si>
    <t>uVX5-N504xQ</t>
  </si>
  <si>
    <t>xn6Txs7b6iM</t>
  </si>
  <si>
    <t>tmfuHTSUKs4</t>
  </si>
  <si>
    <t>xYZjID5mFD4</t>
  </si>
  <si>
    <t>JWbyuFZSm2Y</t>
  </si>
  <si>
    <t>DeCGKF3r-m8</t>
  </si>
  <si>
    <t>PRrKo0maZ8Y</t>
  </si>
  <si>
    <t>Qj2uWpYsdcM</t>
  </si>
  <si>
    <t>5L8oGi6sPy4</t>
  </si>
  <si>
    <t>HJ4Hcq3YX4k</t>
  </si>
  <si>
    <t>rY8KZhzI5I8</t>
  </si>
  <si>
    <t>WDTneE3PQJE</t>
  </si>
  <si>
    <t>ZH0YyCp3AhI</t>
  </si>
  <si>
    <t>OIVoKIMzxYw</t>
  </si>
  <si>
    <t>HXV3zeQKqGY</t>
  </si>
  <si>
    <t>fDRa82lxzaU</t>
  </si>
  <si>
    <t>95p3cVkqYHQ</t>
  </si>
  <si>
    <t>UOiqATn7xMY</t>
  </si>
  <si>
    <t>lqhzu5J7xcc</t>
  </si>
  <si>
    <t>_V8eKsto3Ug</t>
  </si>
  <si>
    <t>1lroCm-5-vE</t>
  </si>
  <si>
    <t>KaStbAFf-PA</t>
  </si>
  <si>
    <t>oSWTXtMglKE</t>
  </si>
  <si>
    <t>8uZqwPDGP_U</t>
  </si>
  <si>
    <t>dQG4mkD5Nd4</t>
  </si>
  <si>
    <t>1EbuwbLrkkg</t>
  </si>
  <si>
    <t>oVVvG035vQc</t>
  </si>
  <si>
    <t>xC-c7E5PK0Y</t>
  </si>
  <si>
    <t>JJv74IJUp4E</t>
  </si>
  <si>
    <t>ByE9IG1PtOs</t>
  </si>
  <si>
    <t>P33xa4l4GTM</t>
  </si>
  <si>
    <t>mGfzlUpCpxw</t>
  </si>
  <si>
    <t>Ges_y5lHgsY</t>
  </si>
  <si>
    <t>GtRL4MfpJ9k</t>
  </si>
  <si>
    <t>vp7VXgvVAPg</t>
  </si>
  <si>
    <t>8AMNbmi2234</t>
  </si>
  <si>
    <t>PT99WF1VEws</t>
  </si>
  <si>
    <t>5qNwGSCUqHo</t>
  </si>
  <si>
    <t>WVnevZMSLDY</t>
  </si>
  <si>
    <t>CqMTu-VsOss</t>
  </si>
  <si>
    <t>Flxg08yvjEM</t>
  </si>
  <si>
    <t>S_lDDP4BUis</t>
  </si>
  <si>
    <t>Tc7R9oMqLRI</t>
  </si>
  <si>
    <t>Zf9yBzuVoxQ</t>
  </si>
  <si>
    <t>qChZv60l2MA</t>
  </si>
  <si>
    <t>BlgflCZKGqA</t>
  </si>
  <si>
    <t>AtTTTy_Nu6s</t>
  </si>
  <si>
    <t>dGa-TXpoPz8</t>
  </si>
  <si>
    <t>2Ew5iFYqgU0</t>
  </si>
  <si>
    <t>agDPDzqB4o0</t>
  </si>
  <si>
    <t>HlB8KPeu7vc</t>
  </si>
  <si>
    <t>S_XBzvGqSrE</t>
  </si>
  <si>
    <t>F1A8qfYkbyU</t>
  </si>
  <si>
    <t>cRvqkWrgiWc</t>
  </si>
  <si>
    <t>HkXzfjXzfFs</t>
  </si>
  <si>
    <t>J6g53Hm0rq4</t>
  </si>
  <si>
    <t>iJuCDwlHA0w</t>
  </si>
  <si>
    <t>eyJjCiNmZb4</t>
  </si>
  <si>
    <t>4-n3UWQUcSE</t>
  </si>
  <si>
    <t>-9gDy8SE2UM</t>
  </si>
  <si>
    <t>xFLVfkJ1AbY</t>
  </si>
  <si>
    <t>63NTeLmDANo</t>
  </si>
  <si>
    <t>Frmwdter-vQ</t>
  </si>
  <si>
    <t>cCnolpuZbZo</t>
  </si>
  <si>
    <t>kJ4Gn8-AmNk</t>
  </si>
  <si>
    <t>j8z0rW8ZcZ0</t>
  </si>
  <si>
    <t>5FX1FXYcNro</t>
  </si>
  <si>
    <t>CmvA1vpLA1A</t>
  </si>
  <si>
    <t>sV_lZyd_T8U</t>
  </si>
  <si>
    <t>TxpW2jXlkwo</t>
  </si>
  <si>
    <t>-CEqvD2uAnM</t>
  </si>
  <si>
    <t>hstzxKOvRlc</t>
  </si>
  <si>
    <t>-orYC6iULWk</t>
  </si>
  <si>
    <t>1xujK01jqWU</t>
  </si>
  <si>
    <t>ONV38l39PsE</t>
  </si>
  <si>
    <t>Tfbu-nGATmY</t>
  </si>
  <si>
    <t>ibgyw7NtqiY</t>
  </si>
  <si>
    <t>b_qwazJWsZE</t>
  </si>
  <si>
    <t>xnX555j2sI8</t>
  </si>
  <si>
    <t>kIgRr-Sl9NY</t>
  </si>
  <si>
    <t>w9NG7C6O9mg</t>
  </si>
  <si>
    <t>0xsM0MbRPGE</t>
  </si>
  <si>
    <t>wadBvDPeE4E</t>
  </si>
  <si>
    <t>xT3EpF2EsbQ</t>
  </si>
  <si>
    <t>cjsxFr6RIG0</t>
  </si>
  <si>
    <t>XNw-DZFsFYA</t>
  </si>
  <si>
    <t>2ZHuj8uBinM</t>
  </si>
  <si>
    <t>TaCRec7KBMc</t>
  </si>
  <si>
    <t>UrOS2ej9iyU</t>
  </si>
  <si>
    <t>Js5dgnhHIMQ</t>
  </si>
  <si>
    <t>N6Hp8cFe9lg</t>
  </si>
  <si>
    <t>qmWCn-y58ls</t>
  </si>
  <si>
    <t>9LDCZCDD65Y</t>
  </si>
  <si>
    <t>77Sq1DeXoyI</t>
  </si>
  <si>
    <t>rk97v1XZbTw</t>
  </si>
  <si>
    <t>4fnY9RkOsbw</t>
  </si>
  <si>
    <t>vXfxj_wDbbE</t>
  </si>
  <si>
    <t>j82yFgX17lQ</t>
  </si>
  <si>
    <t>UCpDige7TzA</t>
  </si>
  <si>
    <t>MYYxRf9COTs</t>
  </si>
  <si>
    <t>bPbJKhimNrE</t>
  </si>
  <si>
    <t>Zo6gNqyJnMw</t>
  </si>
  <si>
    <t>kaO3Jp2O39g</t>
  </si>
  <si>
    <t>s0MzZMQislQ</t>
  </si>
  <si>
    <t>lWO35Oc_p3o</t>
  </si>
  <si>
    <t>YmfM7yvzxG8</t>
  </si>
  <si>
    <t>Dcu1C1IVxuo</t>
  </si>
  <si>
    <t>aQB_Y9D5pdw</t>
  </si>
  <si>
    <t>rHbql-ucXqk</t>
  </si>
  <si>
    <t>YHRU9enRgSI</t>
  </si>
  <si>
    <t>uiD988ISE3o</t>
  </si>
  <si>
    <t>igPQ-pI8Bjo</t>
  </si>
  <si>
    <t>TywrMtBcgeI</t>
  </si>
  <si>
    <t>U-1sTxmHE5U</t>
  </si>
  <si>
    <t>fYDnAzWTNZs</t>
  </si>
  <si>
    <t>yeIOTrbIx_Q</t>
  </si>
  <si>
    <t>Tz3MtN89gSQ</t>
  </si>
  <si>
    <t>n3rBtl9hv1A</t>
  </si>
  <si>
    <t>4ZI4TDgiU9A</t>
  </si>
  <si>
    <t>x6Acjlxjmh8</t>
  </si>
  <si>
    <t>Axzzst4j2ZY</t>
  </si>
  <si>
    <t>2hK0XDVtTNU</t>
  </si>
  <si>
    <t>8bFmvMLohcU</t>
  </si>
  <si>
    <t>Axw0hU71zQw</t>
  </si>
  <si>
    <t>EP8ItlQ5LpI</t>
  </si>
  <si>
    <t>U_SsRdFwKEo</t>
  </si>
  <si>
    <t>kbLFMObmLNQ</t>
  </si>
  <si>
    <t>My3ei_hoaTw</t>
  </si>
  <si>
    <t>fmdsWS8dH8I</t>
  </si>
  <si>
    <t>0v4PPnAX8Lo</t>
  </si>
  <si>
    <t>Vryp2yCgC4Y</t>
  </si>
  <si>
    <t>N-xYGzJNCCE</t>
  </si>
  <si>
    <t>YYzL4lmm3ms</t>
  </si>
  <si>
    <t>msH-JwJwwkY</t>
  </si>
  <si>
    <t>brSwmLQA0iA</t>
  </si>
  <si>
    <t>RC-yz4HV1Hk</t>
  </si>
  <si>
    <t>SDfZY99vO3s</t>
  </si>
  <si>
    <t>LqbmbEsimgY</t>
  </si>
  <si>
    <t>l0hs2pHq1vQ</t>
  </si>
  <si>
    <t>mZ6sTb1JphI</t>
  </si>
  <si>
    <t>FLiv3xnEepw</t>
  </si>
  <si>
    <t>LG-pdJnKDGU</t>
  </si>
  <si>
    <t>haIeimk3nZs</t>
  </si>
  <si>
    <t>gcfAT8aMxuQ</t>
  </si>
  <si>
    <t>4tAOA7Skqtw</t>
  </si>
  <si>
    <t>QSoQhEMQTo0</t>
  </si>
  <si>
    <t>FyPSS5IwecI</t>
  </si>
  <si>
    <t>75QOz69EnJ4</t>
  </si>
  <si>
    <t>_ovo9jf2WMg</t>
  </si>
  <si>
    <t>0aqvVbTyEmc</t>
  </si>
  <si>
    <t>VX_TIkLysjk</t>
  </si>
  <si>
    <t>byu67p_P1A8</t>
  </si>
  <si>
    <t>Te0PKZf8xe0</t>
  </si>
  <si>
    <t>PFJassp1G8g</t>
  </si>
  <si>
    <t>PojLL3E-zk0</t>
  </si>
  <si>
    <t>axZD1WMPRIo</t>
  </si>
  <si>
    <t>RMTFP43Ce98</t>
  </si>
  <si>
    <t>EpyP_1Mo_lc</t>
  </si>
  <si>
    <t>phvoSHdj-Bk</t>
  </si>
  <si>
    <t>pZFs_VzG088</t>
  </si>
  <si>
    <t>-518j79hFxc</t>
  </si>
  <si>
    <t>eu1mibcOrN0</t>
  </si>
  <si>
    <t>fwdwXh9eUZo</t>
  </si>
  <si>
    <t>cORzbiFoYKA</t>
  </si>
  <si>
    <t>10HCabcodfU</t>
  </si>
  <si>
    <t>D2yECwk_gq8</t>
  </si>
  <si>
    <t>NZK6cMCTTMA</t>
  </si>
  <si>
    <t>3ShdSzublcQ</t>
  </si>
  <si>
    <t>EmbRsPf67h8</t>
  </si>
  <si>
    <t>aJdmymO3TMc</t>
  </si>
  <si>
    <t>D8nFJ7D7h6o</t>
  </si>
  <si>
    <t>hq1L6H1Ybsg</t>
  </si>
  <si>
    <t>kA5toTCUaaQ</t>
  </si>
  <si>
    <t>oJaulZPBfzA</t>
  </si>
  <si>
    <t>7AtFisYXo9k</t>
  </si>
  <si>
    <t>aO601yUYcSI</t>
  </si>
  <si>
    <t>18_5uOyO5i0</t>
  </si>
  <si>
    <t>CDA9TrAAi4E</t>
  </si>
  <si>
    <t>nLBEU2Tul9Q</t>
  </si>
  <si>
    <t>Q-1EpHE_4Pc</t>
  </si>
  <si>
    <t>uxMB47VTqyU</t>
  </si>
  <si>
    <t>oy8YxTshZhI</t>
  </si>
  <si>
    <t>WCAi9PfIkfE</t>
  </si>
  <si>
    <t>3lqNoYqFhMA</t>
  </si>
  <si>
    <t>IGe2T8k58dk</t>
  </si>
  <si>
    <t>8SlloTxRqWU</t>
  </si>
  <si>
    <t>ebfoDT47WAo</t>
  </si>
  <si>
    <t>JqQFnCQHVx4</t>
  </si>
  <si>
    <t>FpOIbhOmGUs</t>
  </si>
  <si>
    <t>VwVvQhhLUqc</t>
  </si>
  <si>
    <t>qqHM0eekq1E</t>
  </si>
  <si>
    <t>px7ff2_Jeqw</t>
  </si>
  <si>
    <t>1Fu0Yfnpr8M</t>
  </si>
  <si>
    <t>4ZxPJeZ31XI</t>
  </si>
  <si>
    <t>XoPMoGKd-b0</t>
  </si>
  <si>
    <t>2guKJfvq4uI</t>
  </si>
  <si>
    <t>lT4Kosc_ers</t>
  </si>
  <si>
    <t>Csb30yCbYqs</t>
  </si>
  <si>
    <t>T_1kI8erEEM</t>
  </si>
  <si>
    <t>OYrzMhT0Kag</t>
  </si>
  <si>
    <t>bGoTBLYfPBk</t>
  </si>
  <si>
    <t>OQu6e4FwOP8</t>
  </si>
  <si>
    <t>3guq9yo_Hbg</t>
  </si>
  <si>
    <t>fA54yVSKVqU</t>
  </si>
  <si>
    <t>b0884Xak6So</t>
  </si>
  <si>
    <t>xhr06ccqxgU</t>
  </si>
  <si>
    <t>ZMoxU9hvoXY</t>
  </si>
  <si>
    <t>G4uSQsU2cbA</t>
  </si>
  <si>
    <t>WthFJcmGLhY</t>
  </si>
  <si>
    <t>Ec1kWb84GFw</t>
  </si>
  <si>
    <t>3KnDstiN6qc</t>
  </si>
  <si>
    <t>XjfMN4VpXjs</t>
  </si>
  <si>
    <t>vuTRGTT-1lQ</t>
  </si>
  <si>
    <t>cWS_0EDuVVQ</t>
  </si>
  <si>
    <t>00bc9BdUPSw</t>
  </si>
  <si>
    <t>6LUECXELCcE</t>
  </si>
  <si>
    <t>wlnx-7cm4Gg</t>
  </si>
  <si>
    <t>kzcIA0jJT0U</t>
  </si>
  <si>
    <t>dHlvIwZmAH8</t>
  </si>
  <si>
    <t>TaXA-_WlMXQ</t>
  </si>
  <si>
    <t>g1dSnIPOgPA</t>
  </si>
  <si>
    <t>2SX5mufVuRM</t>
  </si>
  <si>
    <t>pb1nG1Oge8I</t>
  </si>
  <si>
    <t>qmyqzwN0nxY</t>
  </si>
  <si>
    <t>RKpIs88Nwzw</t>
  </si>
  <si>
    <t>xKQE1OCz3hU</t>
  </si>
  <si>
    <t>GwHDMpewAso</t>
  </si>
  <si>
    <t>2w0UauaZpsQ</t>
  </si>
  <si>
    <t>nOVoEvsFVN8</t>
  </si>
  <si>
    <t>o-Vl4LaSQ2Y</t>
  </si>
  <si>
    <t>ZYLWHRa8Et4</t>
  </si>
  <si>
    <t>YrHNhqrmPs0</t>
  </si>
  <si>
    <t>eB5VXJXxnNU</t>
  </si>
  <si>
    <t>P3-vxoTrXjo</t>
  </si>
  <si>
    <t>ynroZyiObgE</t>
  </si>
  <si>
    <t>wtt-uPS_VhU</t>
  </si>
  <si>
    <t>bpyK15sj6mw</t>
  </si>
  <si>
    <t>3KK7i084W2w</t>
  </si>
  <si>
    <t>ivlwXYfN0Dc</t>
  </si>
  <si>
    <t>r1pKvDdLxVM</t>
  </si>
  <si>
    <t>2nFkoeG2BXs</t>
  </si>
  <si>
    <t>dpqSqtkYZzk</t>
  </si>
  <si>
    <t>3q0IGg9enns</t>
  </si>
  <si>
    <t>K4-7rr4ojFM</t>
  </si>
  <si>
    <t>zTvZhbxYz88</t>
  </si>
  <si>
    <t>-SGPEUuG1I8</t>
  </si>
  <si>
    <t>vBmBy8vchCw</t>
  </si>
  <si>
    <t>9bat12gH3Qs</t>
  </si>
  <si>
    <t>PmDKuAnKiGA</t>
  </si>
  <si>
    <t>Iqg90Cq5Xfc</t>
  </si>
  <si>
    <t>l8xv-qWMeQw</t>
  </si>
  <si>
    <t>E5xPMW5fg48</t>
  </si>
  <si>
    <t>Z5c3B6K5qjg</t>
  </si>
  <si>
    <t>l0S_V9flX4U</t>
  </si>
  <si>
    <t>ueS22AlCWqY</t>
  </si>
  <si>
    <t>oBO-hh_J0bs</t>
  </si>
  <si>
    <t>_5sJWBkquU0</t>
  </si>
  <si>
    <t>6rURezjoEDo</t>
  </si>
  <si>
    <t>VTbuvkaPGxE</t>
  </si>
  <si>
    <t>WBICH_a-tQc</t>
  </si>
  <si>
    <t>uMBPsEAm7VU</t>
  </si>
  <si>
    <t>bXCBh6QH5W0</t>
  </si>
  <si>
    <t>zARRhp4pUlw</t>
  </si>
  <si>
    <t>_6A3kwb3E98</t>
  </si>
  <si>
    <t>Mp-ddvQ1mRE</t>
  </si>
  <si>
    <t>tFE2-mVj9i8</t>
  </si>
  <si>
    <t>0CqVF1iAz_Q</t>
  </si>
  <si>
    <t>1UKIljPWZn0</t>
  </si>
  <si>
    <t>8noAx8lj6eg</t>
  </si>
  <si>
    <t>XRMhgxW-C_M</t>
  </si>
  <si>
    <t>IiUDKDxScxI</t>
  </si>
  <si>
    <t>g2IriWIcClk</t>
  </si>
  <si>
    <t>VysJMXyY1K8</t>
  </si>
  <si>
    <t>ZwaTTCcA-fo</t>
  </si>
  <si>
    <t>0DBVDpGJLAA</t>
  </si>
  <si>
    <t>zQRceV6DJ9g</t>
  </si>
  <si>
    <t>NSYyFT8BqeM</t>
  </si>
  <si>
    <t>n3qawyqTb38</t>
  </si>
  <si>
    <t>kzTIlameVuU</t>
  </si>
  <si>
    <t>ITN_ZReg65U</t>
  </si>
  <si>
    <t>ky2xq_JGE2U</t>
  </si>
  <si>
    <t>bZTGUhR5nGA</t>
  </si>
  <si>
    <t>EFdCUS6z87w</t>
  </si>
  <si>
    <t>0UlS1d9YKXE</t>
  </si>
  <si>
    <t>eM1KaaTez0A</t>
  </si>
  <si>
    <t>63yOV4zfIBg</t>
  </si>
  <si>
    <t>7ivjJs7bSVI</t>
  </si>
  <si>
    <t>HWZTxDgcdHo</t>
  </si>
  <si>
    <t>u8BUoNfy5yY</t>
  </si>
  <si>
    <t>UOhG5D5k1hc</t>
  </si>
  <si>
    <t>2j4Tj6SOHEQ</t>
  </si>
  <si>
    <t>t2QrgeWTXEw</t>
  </si>
  <si>
    <t>9e4nPtgoYoI</t>
  </si>
  <si>
    <t>SQDSoVKjI8o</t>
  </si>
  <si>
    <t>md7sjS-pcKY</t>
  </si>
  <si>
    <t>RicajFzoenk</t>
  </si>
  <si>
    <t>reuU2zUsEPM</t>
  </si>
  <si>
    <t>rsDKfunaGSo</t>
  </si>
  <si>
    <t>-dB0rwt6_U8</t>
  </si>
  <si>
    <t>k6Ky5W_UXwU</t>
  </si>
  <si>
    <t>D6rZwkij-io</t>
  </si>
  <si>
    <t>7lpvQW360js</t>
  </si>
  <si>
    <t>-qgkB0XD4bM</t>
  </si>
  <si>
    <t>uCVvMwtGRqM</t>
  </si>
  <si>
    <t>NYEN__tMIkw</t>
  </si>
  <si>
    <t>fYLobCxHP5w</t>
  </si>
  <si>
    <t>QRx-yBcPTV8</t>
  </si>
  <si>
    <t>3r3hU_gfcuA</t>
  </si>
  <si>
    <t>S9kYApoR8U4</t>
  </si>
  <si>
    <t>79OIG0eFoBM</t>
  </si>
  <si>
    <t>PSygsopzXg8</t>
  </si>
  <si>
    <t>Dy55X4QaAAU</t>
  </si>
  <si>
    <t>iKEpyGhTRmk</t>
  </si>
  <si>
    <t>aCVKlteYPcA</t>
  </si>
  <si>
    <t>mIxbWIHzhQg</t>
  </si>
  <si>
    <t>9yYPInY7Ctw</t>
  </si>
  <si>
    <t>EaXGdzXL0VI</t>
  </si>
  <si>
    <t>7sWk8tq8dZs</t>
  </si>
  <si>
    <t>KEECJdIEwho</t>
  </si>
  <si>
    <t>7IEq6IktVY4</t>
  </si>
  <si>
    <t>eLu2RxENv6o</t>
  </si>
  <si>
    <t>5BR7icEUA4Y</t>
  </si>
  <si>
    <t>55KxiI2vWPU</t>
  </si>
  <si>
    <t>zxQgaRUbl6g</t>
  </si>
  <si>
    <t>h1_VOBe8Ufs</t>
  </si>
  <si>
    <t>JBgB2eqLXnY</t>
  </si>
  <si>
    <t>_eAzDGAxCeg</t>
  </si>
  <si>
    <t>DuSblq8Fehw</t>
  </si>
  <si>
    <t>zN7_npagPHY</t>
  </si>
  <si>
    <t>DS4WESARNog</t>
  </si>
  <si>
    <t>MEw9Ne1ALCA</t>
  </si>
  <si>
    <t>aGa3vxoKagQ</t>
  </si>
  <si>
    <t>bhSdyfBhbn8</t>
  </si>
  <si>
    <t>4ae-mqDr7co</t>
  </si>
  <si>
    <t>2aZ97hyP0LA</t>
  </si>
  <si>
    <t>SM08TsCldWI</t>
  </si>
  <si>
    <t>-QnXj5_BUbo</t>
  </si>
  <si>
    <t>ptqt2zr9ZRE</t>
  </si>
  <si>
    <t>H4PfZIzngS0</t>
  </si>
  <si>
    <t>7PzyaPT8qb4</t>
  </si>
  <si>
    <t>IoJ7Qivmhxo</t>
  </si>
  <si>
    <t>F264FpBDX28</t>
  </si>
  <si>
    <t>2ELP6yd21tw</t>
  </si>
  <si>
    <t>CQYhEv7i8G4</t>
  </si>
  <si>
    <t>sqxzQkAdJm0</t>
  </si>
  <si>
    <t>V8GyxjVRPZw</t>
  </si>
  <si>
    <t>iotrTlRT3q0</t>
  </si>
  <si>
    <t>gRE05iouRHE</t>
  </si>
  <si>
    <t>XyPrGU9f7s8</t>
  </si>
  <si>
    <t>0zluaEMzT_w</t>
  </si>
  <si>
    <t>52H15kjSMgQ</t>
  </si>
  <si>
    <t>H8iIT7I6I_Y</t>
  </si>
  <si>
    <t>BtHpfHMS0Ic</t>
  </si>
  <si>
    <t>9lwAAtefIRs</t>
  </si>
  <si>
    <t>pfwAnOPXxAk</t>
  </si>
  <si>
    <t>qgKXQnMBhqI</t>
  </si>
  <si>
    <t>T7v7a2EPvUY</t>
  </si>
  <si>
    <t>UgivNSMc2_A</t>
  </si>
  <si>
    <t>tAMmciaSpvk</t>
  </si>
  <si>
    <t>jkcB3H3z36s</t>
  </si>
  <si>
    <t>99pUH7_L0XY</t>
  </si>
  <si>
    <t>82zlRaRUsaY</t>
  </si>
  <si>
    <t>HjljeYwcA_M</t>
  </si>
  <si>
    <t>i_sijj1NZFM</t>
  </si>
  <si>
    <t>mxl1MIYEMvo</t>
  </si>
  <si>
    <t>sRhTmGe2hPU</t>
  </si>
  <si>
    <t>UiqRF1ru5pM</t>
  </si>
  <si>
    <t>ZdY1Fp9dKzs</t>
  </si>
  <si>
    <t>HNY2dxugho8</t>
  </si>
  <si>
    <t>RIQjLpsNqbg</t>
  </si>
  <si>
    <t>NX0QBphzG-s</t>
  </si>
  <si>
    <t>CS0_lZovXm0</t>
  </si>
  <si>
    <t>GIuIamvXJSw</t>
  </si>
  <si>
    <t>SWGABcUJpOM</t>
  </si>
  <si>
    <t>3BxOkYDOst4</t>
  </si>
  <si>
    <t>p92OAp2Zg-g</t>
  </si>
  <si>
    <t>VjOVhWfh6iI</t>
  </si>
  <si>
    <t>yZ0G9jljCto</t>
  </si>
  <si>
    <t>LVJlHduO2Tc</t>
  </si>
  <si>
    <t>5ZW7GoIFTP4</t>
  </si>
  <si>
    <t>OgaoS7sUGZI</t>
  </si>
  <si>
    <t>2ckmtne3VlI</t>
  </si>
  <si>
    <t>1xLjYc7EUEU</t>
  </si>
  <si>
    <t>L0C_D68E1Q0</t>
  </si>
  <si>
    <t>fgr_g1q2ikA</t>
  </si>
  <si>
    <t>AJGGiAb47S4</t>
  </si>
  <si>
    <t>cEZhPkmlsus</t>
  </si>
  <si>
    <t>SyAtMIlvJpw</t>
  </si>
  <si>
    <t>Aw_HkD7s_Yc</t>
  </si>
  <si>
    <t>CA-InkV0CTM</t>
  </si>
  <si>
    <t>spQo9z6nGQE</t>
  </si>
  <si>
    <t>9-GQ8H2SVWo</t>
  </si>
  <si>
    <t>H6xP7QCBXfo</t>
  </si>
  <si>
    <t>ti-98tIzfEk</t>
  </si>
  <si>
    <t>t0RcZWn085g</t>
  </si>
  <si>
    <t>Y5-5uAC8L4Q</t>
  </si>
  <si>
    <t>N_mMXvNPE8Y</t>
  </si>
  <si>
    <t>HIko0cdWtrU</t>
  </si>
  <si>
    <t>qAVGpb8KMpk</t>
  </si>
  <si>
    <t>ryP83jM-Du8</t>
  </si>
  <si>
    <t>ei3YEn8xUnI</t>
  </si>
  <si>
    <t>snPR8CwPld0</t>
  </si>
  <si>
    <t>ngqWjgZudeE</t>
  </si>
  <si>
    <t>55a29U7mryQ</t>
  </si>
  <si>
    <t>Jqq66INlQ0U</t>
  </si>
  <si>
    <t>Lyi5BAkStDQ</t>
  </si>
  <si>
    <t>DfV-pjRTlLg</t>
  </si>
  <si>
    <t>ZPpYmOp4Urw</t>
  </si>
  <si>
    <t>i0W6XCSEfAE</t>
  </si>
  <si>
    <t>2FqM4gKeNO4</t>
  </si>
  <si>
    <t>89mxOdwPfxA</t>
  </si>
  <si>
    <t>DSKvHwcI75E</t>
  </si>
  <si>
    <t>7LMnpM0p4cM</t>
  </si>
  <si>
    <t>NgUj8DEH5Tc</t>
  </si>
  <si>
    <t>OEscJk1_YyI</t>
  </si>
  <si>
    <t>UrrWA_t1rjc</t>
  </si>
  <si>
    <t>PS_L2-YJTXk</t>
  </si>
  <si>
    <t>yYnxw5aBkoA</t>
  </si>
  <si>
    <t>J4J3_8JFKYU</t>
  </si>
  <si>
    <t>E84iKYuaSjk</t>
  </si>
  <si>
    <t>i3H4AhjO8H8</t>
  </si>
  <si>
    <t>uEFbdGlSAfQ</t>
  </si>
  <si>
    <t>7zZjLBtHf7c</t>
  </si>
  <si>
    <t>zoVCW-Tck0U</t>
  </si>
  <si>
    <t>7YcW25PHnAA</t>
  </si>
  <si>
    <t>2hUUaG4o3DA</t>
  </si>
  <si>
    <t>mlucDinIomI</t>
  </si>
  <si>
    <t>Q4yUlJV31Rk</t>
  </si>
  <si>
    <t>HEEnLZV2wGI</t>
  </si>
  <si>
    <t>uWIhdlnkEOM</t>
  </si>
  <si>
    <t>3wxEC0svnJc</t>
  </si>
  <si>
    <t>I01XMRo2ESg</t>
  </si>
  <si>
    <t>lPL_oQT9tmc</t>
  </si>
  <si>
    <t>xPuxnQU6F9I</t>
  </si>
  <si>
    <t>9EB6cZjT4nQ</t>
  </si>
  <si>
    <t>WG0ZCPF3bAQ</t>
  </si>
  <si>
    <t>Ec0agEZ557k</t>
  </si>
  <si>
    <t>N3yv5E-hjbc</t>
  </si>
  <si>
    <t>GGbLcgBAzlc</t>
  </si>
  <si>
    <t>qJTp8AUpdFE</t>
  </si>
  <si>
    <t>dfoYAPistYg</t>
  </si>
  <si>
    <t>EvO4HwI7Zi4</t>
  </si>
  <si>
    <t>vtTa5bPgfJs</t>
  </si>
  <si>
    <t>ba4TdpnMJm8</t>
  </si>
  <si>
    <t>E72zEz0961o</t>
  </si>
  <si>
    <t>WhZ2EsbvGdM</t>
  </si>
  <si>
    <t>nznUgnrPvTM</t>
  </si>
  <si>
    <t>_cApUm2vY3I</t>
  </si>
  <si>
    <t>iiVeQkIELyc</t>
  </si>
  <si>
    <t>O4PXqpv8TAw</t>
  </si>
  <si>
    <t>EObJsBkBoHE</t>
  </si>
  <si>
    <t>ixF5WNpTzCA</t>
  </si>
  <si>
    <t>4y6fUC56KPw</t>
  </si>
  <si>
    <t>81BdxdPAoO4</t>
  </si>
  <si>
    <t>GqbbR8wel9A</t>
  </si>
  <si>
    <t>L36Xv_nF2SI</t>
  </si>
  <si>
    <t>7SW_FDiY0sg</t>
  </si>
  <si>
    <t>dIAnk9dLzF0</t>
  </si>
  <si>
    <t>MsDZIc02SkQ</t>
  </si>
  <si>
    <t>mV-AgEmBNss</t>
  </si>
  <si>
    <t>6b0t2cT7Vmc</t>
  </si>
  <si>
    <t>Yn3VV9emiCs</t>
  </si>
  <si>
    <t>0CCrq62TF7U</t>
  </si>
  <si>
    <t>_8jVuG99UcQ</t>
  </si>
  <si>
    <t>ritXWzzYy0g</t>
  </si>
  <si>
    <t>XX5rRF6uxow</t>
  </si>
  <si>
    <t>rwbho0CgEAE</t>
  </si>
  <si>
    <t>8kUZT--ayNQ</t>
  </si>
  <si>
    <t>Recommended Video</t>
  </si>
  <si>
    <t>Title</t>
  </si>
  <si>
    <t>Description</t>
  </si>
  <si>
    <t>Tags</t>
  </si>
  <si>
    <t>Author</t>
  </si>
  <si>
    <t>Created Date (UTC)</t>
  </si>
  <si>
    <t>Views</t>
  </si>
  <si>
    <t>Comments</t>
  </si>
  <si>
    <t>Likes Count</t>
  </si>
  <si>
    <t>Dislikes Count</t>
  </si>
  <si>
    <t>Custom Menu Item Text</t>
  </si>
  <si>
    <t>Custom Menu Item Action</t>
  </si>
  <si>
    <t>Omelette Japonés</t>
  </si>
  <si>
    <t>HUAWEI P8 LITE  Captura De Pantalla  O Screenshot FACIL HD</t>
  </si>
  <si>
    <t>Twitter Analytics Español: Mega tutorial para ser un Experto</t>
  </si>
  <si>
    <t>_xD83D__xDD34_ Las 5 Mejores Herramientas SEO 2020</t>
  </si>
  <si>
    <t>Análisis de sentimiento a través de twitter con R, debian y docker</t>
  </si>
  <si>
    <t>Aprendendo Gephi para análise de redes sociais</t>
  </si>
  <si>
    <t>05. Identificando los actores y sus roles en las redes mediante filtros de Gephi.</t>
  </si>
  <si>
    <t>Cómo configurar Google Analytics en Blogger y páginas web</t>
  </si>
  <si>
    <t>Analizar red de twitter con gephi</t>
  </si>
  <si>
    <t>02. Archivos creados por Netvizz y cómo analizarlos en Gephi</t>
  </si>
  <si>
    <t>Primer Taller de Análisis de Sentimiento en Twitter con R.</t>
  </si>
  <si>
    <t>Cómo conocer a tus influencers en redes sociales con Análisis de Redes - #SocialancerWebinars</t>
  </si>
  <si>
    <t>03. Algoritmos de Distribución (Layouts) en Gephi.</t>
  </si>
  <si>
    <t>01. Importando datos desde Facebook con Netvizz</t>
  </si>
  <si>
    <t>Unit 3.2 Tutorial - Text Mining with NodeXL Pro</t>
  </si>
  <si>
    <t>NodeXL map of #digiblogchat Feb 27, 2018</t>
  </si>
  <si>
    <t>What is Text Mining?</t>
  </si>
  <si>
    <t>Careers in Social Network Analysis</t>
  </si>
  <si>
    <t>Introduction to the Linguistic Inquiry and Word Count</t>
  </si>
  <si>
    <t>How to view gephi file (Graph file) online</t>
  </si>
  <si>
    <t>Классификация по сниппетам. Кластеризация семантики на графе в NodeXL Basic.</t>
  </si>
  <si>
    <t>LIWC Text Analysis Tutorial</t>
  </si>
  <si>
    <t>Updated Gephi Quick Start Tutorial for v 0.9</t>
  </si>
  <si>
    <t>NodeXL. Parte II</t>
  </si>
  <si>
    <t>طقطقوا علي بعد نزول بنت الطيارة ..!! Fortnite</t>
  </si>
  <si>
    <t>Microsoft Office Excel 2013 Tutorial: Posting Spreadsheets to Social Networks | K Alliance</t>
  </si>
  <si>
    <t>Tutoriales Tableau 02: Graficos Univariables (Variables Continuas)</t>
  </si>
  <si>
    <t>Empleando las funciones select() y filter(). Paquete dplyr</t>
  </si>
  <si>
    <t>Excel Dynamic Chart #11: Dynamic Area Chart with IF Function - Normal Distribution Chart Statistics</t>
  </si>
  <si>
    <t>Leyendo hoja de calculo de Excel en R. Parte 2</t>
  </si>
  <si>
    <t>Create a Bubble Chart</t>
  </si>
  <si>
    <t>Cómo hacer un gráfico de anillo avanzado - Ring chart en Excel 2007 y 2010</t>
  </si>
  <si>
    <t>How to easily create a dynamic dashboard in Excel 2010 or Excel 2013 using tables and slicers</t>
  </si>
  <si>
    <t>Crear un subdirectorios desde  R</t>
  </si>
  <si>
    <t>Excel - Crear tablas dinámicas en Excel. Claro y sencillo. Tutorial en español HD</t>
  </si>
  <si>
    <t>Social Media Visualization (2012): Sugiyama's Rules and NodeXL</t>
  </si>
  <si>
    <t>NodeXL automation</t>
  </si>
  <si>
    <t>Dijkstras Algorithm Directed Graph Example</t>
  </si>
  <si>
    <t>Graphviz dot</t>
  </si>
  <si>
    <t>Social Media Visualization (2013): Another Look at #mepolitics</t>
  </si>
  <si>
    <t>Analyzing Social Media Networks with NodeXL</t>
  </si>
  <si>
    <t>Group Dynamics 6c Structure Social Network Analysis</t>
  </si>
  <si>
    <t>Facebook app: network visualizer / visualization (Dutch version)</t>
  </si>
  <si>
    <t>Social Netowork Analysis in R, part 1/3</t>
  </si>
  <si>
    <t>Gephi for Network Analysis and Visualization - The Power of Gephi</t>
  </si>
  <si>
    <t>Dynamic Social Network Visualization with Gephi</t>
  </si>
  <si>
    <t>NodeTrix: A Hybrid Visualization of Social Networks</t>
  </si>
  <si>
    <t>NodeXL 操作影片</t>
  </si>
  <si>
    <t>Introduction to Social Network Analysis</t>
  </si>
  <si>
    <t>node xl demo</t>
  </si>
  <si>
    <t>Social Media in Nederland in cijfers - Inzicht in kansen en valkuilen [infomotion]</t>
  </si>
  <si>
    <t>Social Network Analysis and NodeXL</t>
  </si>
  <si>
    <t>Collecting Data from Multiple Social Media Channels, Writing To One Spreadsheet</t>
  </si>
  <si>
    <t>Network Optimization - Shortest Route</t>
  </si>
  <si>
    <t>Tutorial 4 Social Network Analysis</t>
  </si>
  <si>
    <t>Network Analysis. Lecture 1. Introduction to Network Science</t>
  </si>
  <si>
    <t>Dynamic Network Modeling Using R</t>
  </si>
  <si>
    <t>Stata Tutorial 2: Social Network Analysis - Import</t>
  </si>
  <si>
    <t>Social Media Analytics Introduction</t>
  </si>
  <si>
    <t>Social Media Dashboard - Free Excel Template to report Social Media metrics</t>
  </si>
  <si>
    <t>CA Final Costing | Network Analysis-CPM &amp; PERT</t>
  </si>
  <si>
    <t>Sentiment Analysis in Excel</t>
  </si>
  <si>
    <t>Network Topography and Subgroup Analysis in igraph package in R</t>
  </si>
  <si>
    <t>Gephi ile Sosyal Ağ Analizi</t>
  </si>
  <si>
    <t>Sentiment Analysis using Microsoft Azure Machine Learning  in excel 2016 ( Free MS Azure Add in)</t>
  </si>
  <si>
    <t>Understand social network resolutions with NodeXL</t>
  </si>
  <si>
    <t>2014102513 鄧志松：NodeXL</t>
  </si>
  <si>
    <t>¡LO QUE FALTABA! ASEGURAN que APARECE el MONSTRUO de LAGO NESS</t>
  </si>
  <si>
    <t>文献管理软件Zotero使用教程.wmv</t>
  </si>
  <si>
    <t>Netlytic: Twitter</t>
  </si>
  <si>
    <t>iphone轉hdmi線更新</t>
  </si>
  <si>
    <t>MarcSmithNodeXL May 2014</t>
  </si>
  <si>
    <t>How to Install Add in to Microsoft Excel 2010/2013</t>
  </si>
  <si>
    <t>試閱版-林崑峯-社會網絡NodeXL實作 2014</t>
  </si>
  <si>
    <t>10.社會網絡之介紹與數位人文之應用</t>
  </si>
  <si>
    <t>#NodeXL Exploring Twitter's Social Graph from the comfort of your Windows PC/Excel</t>
  </si>
  <si>
    <t>Debugging Google Apps Script</t>
  </si>
  <si>
    <t>Hashtags: #DadQuotes (Late Night with Jimmy Fallon)</t>
  </si>
  <si>
    <t># (Hashtag) Where is it on MAC?</t>
  </si>
  <si>
    <t>Marc Smith - "Workshop: Mapping social media spaces" - SSW12</t>
  </si>
  <si>
    <t>Microsoft Excel: How to create add-in</t>
  </si>
  <si>
    <t>China could soon become seven different countries</t>
  </si>
  <si>
    <t>How to Import Excel Spreadsheets to Access Databases</t>
  </si>
  <si>
    <t>Live Power BI Demo - Facebook &amp; Sentiment Analysis By Gil Raviv</t>
  </si>
  <si>
    <t>TAGS v6.0: For what is happening last week</t>
  </si>
  <si>
    <t>NodeXL: Group in a box Layout</t>
  </si>
  <si>
    <t>How to create a graph using Networkx library : Networkx Tutorial # 1</t>
  </si>
  <si>
    <t>How to Make a Floorplan in Excel : Microsoft Excel Tips</t>
  </si>
  <si>
    <t>Eigenvector Centrality Calculations</t>
  </si>
  <si>
    <t>Data visualization of astronaut networks</t>
  </si>
  <si>
    <t>Uploading data into Gephi: Part 2 of 3</t>
  </si>
  <si>
    <t>Gephi Analysis with Big #Network #Data</t>
  </si>
  <si>
    <t>Gephi tutorial. Layouts and Attributes</t>
  </si>
  <si>
    <t>Top 15 Advanced Excel 2016 Tips and Tricks</t>
  </si>
  <si>
    <t>An Overview of Eigenvector Centrality and Pagerank for Social Networks.</t>
  </si>
  <si>
    <t>NVivo 12 and Thematic / Content Analysis.</t>
  </si>
  <si>
    <t>Polinode and NodeXL Pro Joint Webinar</t>
  </si>
  <si>
    <t>Network Analysis An Effective Tool For Defining Inter Organizational Dependencies</t>
  </si>
  <si>
    <t>Twint-Osint Twitter Intelligence Tool Scrapy No Api Key</t>
  </si>
  <si>
    <t>How to Open and Stanford Facebook Dataset in Gephi and Analyze it</t>
  </si>
  <si>
    <t>NodeXL #DigiCroatia Twitter social media network map and report</t>
  </si>
  <si>
    <t>Twitter Network Analysis: #APSA2016</t>
  </si>
  <si>
    <t>Get Data from Twitter API with Power BI</t>
  </si>
  <si>
    <t>Polinode: Delivering Deep Insights</t>
  </si>
  <si>
    <t>Polinode Surveys: A Tutorial</t>
  </si>
  <si>
    <t>NodeXL to Gephi</t>
  </si>
  <si>
    <t>Polinode Surveys: A Quick Start Guide</t>
  </si>
  <si>
    <t>Polinode Networks: A Tutorial</t>
  </si>
  <si>
    <t>Connecting NodeXL and Twitter in less than Four Minutes</t>
  </si>
  <si>
    <t>Tweet Visualization and Sentiment Analysis in Python - Full Tutorial</t>
  </si>
  <si>
    <t>Awesometrics Social Network Analysis: Retweet Network</t>
  </si>
  <si>
    <t>Twitter Sentiment Analysis in Excel</t>
  </si>
  <si>
    <t>HowToDataScience : Scraping Twitter Data</t>
  </si>
  <si>
    <t>Running NodeXL, Entering Edge Lists and Making Visualization Choices</t>
  </si>
  <si>
    <t>Welcome to SSC 420, the Research Capstone for UMA Social Science</t>
  </si>
  <si>
    <t>Introduction: R and IGraph for Edge Lists and Social Network Graphs</t>
  </si>
  <si>
    <t>Environmental Effects in the Garden</t>
  </si>
  <si>
    <t>Crafting Effective Academic Presentations</t>
  </si>
  <si>
    <t>Black Lives Matter / Justice for George Floyd Protest in Rockland, Maine 6/1/2020</t>
  </si>
  <si>
    <t>continuação da apresentação do NodeXL para análise de redes</t>
  </si>
  <si>
    <t>演講-看不見的消費者-社群行銷,臉譜偵測,文字探勘,語意分析 -集客術與分析工具NodeXL與NVivo10-B段</t>
  </si>
  <si>
    <t>Unit 2.2 NodeXL Tutorial - Importing Twitter Data</t>
  </si>
  <si>
    <t>[2015] MAXQDA 12: Working with Twitter Data</t>
  </si>
  <si>
    <t>Twitter Content Analysis- Group 8</t>
  </si>
  <si>
    <t>Getting Tweets, Trends, and User Timeline from Twitter using R</t>
  </si>
  <si>
    <t>Get Twitter Data into R</t>
  </si>
  <si>
    <t>_xD83D__xDC69_‍_xD83D__xDCBB_ Twitter API Data Collection - Download Twitter Data via Official API - Step-by-Step Tutorial</t>
  </si>
  <si>
    <t>Facebook Data Mining using R Programming</t>
  </si>
  <si>
    <t>試閱版-林崑峯-社會網絡分析NodeXL 2016版</t>
  </si>
  <si>
    <t>Tutorial for UCINET Factor Analysis : 教學範例</t>
  </si>
  <si>
    <t>行動者網絡理論</t>
  </si>
  <si>
    <t>王小路-手機攝影課程-上課試閱-201902</t>
  </si>
  <si>
    <t>煙花易冷  二胡/吳欣潓  【二胡教學錄音】原唱/周杰倫 Ktv伴奏 erhu</t>
  </si>
  <si>
    <t>UCINET Tutorial for DL Edit : 教學範例</t>
  </si>
  <si>
    <t>Meerkat Social Network Analysis Tool</t>
  </si>
  <si>
    <t>行銷talk秀-EP6 |重購飛輪/熟客經營/發明新詞</t>
  </si>
  <si>
    <t>行銷talk秀-EP5 |行銷標準答案/學用落差/PDCA</t>
  </si>
  <si>
    <t>Underwater Sensor Network Projects using Ns2 Simulation Projects</t>
  </si>
  <si>
    <t>消費者行為分析師證照複習演講-影片3</t>
  </si>
  <si>
    <t>行銷talk秀-EP7 |買房還是租房好/替代品/待辦清單</t>
  </si>
  <si>
    <t>Degree distribution in Gephi</t>
  </si>
  <si>
    <t>行銷talk秀-EP3 |瘋狂賣客/稻江學院/台積電</t>
  </si>
  <si>
    <t>Pajek線上課程：2-1 基本操作_讀取網絡、繪圖、抽取關係</t>
  </si>
  <si>
    <t>試閱版-許旭昇-層級分析法(AHP)與網路層級分析法(ANP)-2014版</t>
  </si>
  <si>
    <t>行銷talk秀-EP1 |疫情下行銷人員的困擾</t>
  </si>
  <si>
    <t>消費者行為分析師證照複習演講-影片2</t>
  </si>
  <si>
    <t>Pajek線上課程：1-1 課程介紹、社會網絡分析基本概念</t>
  </si>
  <si>
    <t>【謝章升專欄】SPSS教學-卡方分析怎麼做</t>
  </si>
  <si>
    <t>行銷talk秀-EP9 |個人品牌卡關點</t>
  </si>
  <si>
    <t>連啓佑-新SEO教學課程-20分鐘試閱版-三星統計</t>
  </si>
  <si>
    <t>【謝章升專欄】業績成長怎麼做?</t>
  </si>
  <si>
    <t>行銷talk秀-EP2 |FB品牌管理平台/SimilarWeb疫情報告/數位行銷工作門檻</t>
  </si>
  <si>
    <t>試閱版-張偉豪 -社會科學的統合分析(Meta Analytics)</t>
  </si>
  <si>
    <t>試閱版-謝章升-FB廣告入門-FB廣告特性</t>
  </si>
  <si>
    <t>試閱版-連啓佑-SEO搜尋引擎優化進階</t>
  </si>
  <si>
    <t>消費者行為分析師證照複習演講-影片1</t>
  </si>
  <si>
    <t>【疑難雜症會客室】FB行銷活動預算最佳化是什麼?</t>
  </si>
  <si>
    <t>試閱版-謝章升-Google Analytics分析入門-201811</t>
  </si>
  <si>
    <t>11.社會網絡分析工具Gephi基本操作與Cohesion介紹</t>
  </si>
  <si>
    <t>Node XL Module 5   Twitter Network Data Import</t>
  </si>
  <si>
    <t>Processing tutorial: Overview of data visualization | lynda.com</t>
  </si>
  <si>
    <t>The Easiest Way To Recover Deleted Or Lost Data From Your Android Phone (2020 WORKS)</t>
  </si>
  <si>
    <t>Office 2010 Class #45: Creating Queries In Access (16 Examples)</t>
  </si>
  <si>
    <t>Big Data Analytics | Tutorial #11 | The Jaccard Distance ( Solved Problem)</t>
  </si>
  <si>
    <t>Correlation analysis using Excel</t>
  </si>
  <si>
    <t>R Studio: How to create a histogram and export it (in less than a minute)?</t>
  </si>
  <si>
    <t>Coursera - Getting and Cleaning Data - Idaho Housing</t>
  </si>
  <si>
    <t>Social Network Analysis on Facebook using WIST 1.2</t>
  </si>
  <si>
    <t>Questback   Excel   nodes &amp; edges</t>
  </si>
  <si>
    <t>How to read Wireshark Output</t>
  </si>
  <si>
    <t>How to easily perform text data content analysis with Excel</t>
  </si>
  <si>
    <t>How To...Create a Simple Project Network Diagram in PowerPoint 2010</t>
  </si>
  <si>
    <t>Data Explorer (Power Query) &amp; Power View - Using Twitter Data (JSON Format)</t>
  </si>
  <si>
    <t>Network Troubleshooting using PING, TRACERT, IPCONFIG, NSLOOKUP COMMANDS</t>
  </si>
  <si>
    <t>Microsoft Dynamics AX 2012 Office add-in Ad-hoc report of customer balances</t>
  </si>
  <si>
    <t>How to import external data to Excel spread sheet with a single click</t>
  </si>
  <si>
    <t>R Tutorial:  How to Read an Excel file into R</t>
  </si>
  <si>
    <t>Save Tweets in a Google Spreadsheet</t>
  </si>
  <si>
    <t>Excel Tutorial - Cleaning Up Data with TRIM, PROPER, and Text to Columns</t>
  </si>
  <si>
    <t>JMP (video 5/8) - SimpleLinearRegression</t>
  </si>
  <si>
    <t>Creating a random sample in Excel</t>
  </si>
  <si>
    <t>Gephi Tutorial: Finding Shortest Paths</t>
  </si>
  <si>
    <t>Import JSON Data Into Excel 2016 Using a Get &amp; Transform Query</t>
  </si>
  <si>
    <t>Apt</t>
  </si>
  <si>
    <t>Convert an Excel file to csv, read into R and plot</t>
  </si>
  <si>
    <t>UMA Networks Tech Tip: Getting Past NodeXL Hiccups</t>
  </si>
  <si>
    <t>Webinar - Managing large data sets in Excel - 1 April 2016</t>
  </si>
  <si>
    <t>How to Count the Occurrences of a Number or Text in a Range in Excel : Using Excel</t>
  </si>
  <si>
    <t>How To Import an Excel 2013 CSV Contacts File into Outlook 2013</t>
  </si>
  <si>
    <t>QDA Miner - Qualitative Data Analysis (Windows)</t>
  </si>
  <si>
    <t>NodeXL GalleryGlimpse for August 9, 2014</t>
  </si>
  <si>
    <t>Import Data, Copy Data from Excel to R CSV &amp; TXT Files | R Tutorial 1.5 | MarinStatsLectures</t>
  </si>
  <si>
    <t>Tutorial for UCINET Cluster Analysis : 教學範例</t>
  </si>
  <si>
    <t>Social Networks: Moving Data from UCINET to NodeXL</t>
  </si>
  <si>
    <t>Ajuda com Ucinet 6 e NetDraw - Matriz Sociométrica</t>
  </si>
  <si>
    <t>Introduction to Sociology: Welcome! (SOC 101 Fall 2019)</t>
  </si>
  <si>
    <t>Tutorial for :  Ucinet basic2.avi 教學</t>
  </si>
  <si>
    <t>Walkthrough QAP Correlation</t>
  </si>
  <si>
    <t>Installing and Working Around the Oddities of UCINET Software</t>
  </si>
  <si>
    <t>excel to ucinet</t>
  </si>
  <si>
    <t>From Matrix to vector in EXCEL</t>
  </si>
  <si>
    <t>UCINET Walkthrough: Converting Different Kinds of 2-mode Data to 1-mode Networks</t>
  </si>
  <si>
    <t>COM/SOC 375 at UMA: Getting Ready for QAP Regression</t>
  </si>
  <si>
    <t>NodeXL Visualization: Heeding (and bending) Sugiyama's Rules</t>
  </si>
  <si>
    <t>Drawing a graph using the sugiyama layouting algorithm</t>
  </si>
  <si>
    <t>NodeXL GalleryGlimpse for October 11, 2014</t>
  </si>
  <si>
    <t>Sociology of Gender Exam Review: Emphasis on Transsexual vs Transgender</t>
  </si>
  <si>
    <t>試閱版-社會網絡分析NodeXL實作-三星統計-林崑峯20131107</t>
  </si>
  <si>
    <t>星滙網 午夜。騷佬 現場視頻直播</t>
  </si>
  <si>
    <t>緬甸翡翠專場直播代購中：戒面、手鍊、項鍊精品！源頭產地天然一手貨源2020.6.29</t>
  </si>
  <si>
    <t>大衛23救救孩子：S先生：北斗衛星看中國軍事科技in  20200629C（廣東話）#北斗衛星#軍事#科技#歐盟#美國</t>
  </si>
  <si>
    <t>【天堂M】《捨情Live》福袋開啟~今日合卡希望仍有好運！~ #跟我一起 #宅在家 （雙語服務）20200629</t>
  </si>
  <si>
    <t>2020-06-29小菜的看盤日誌-台指期-盤後</t>
  </si>
  <si>
    <t>PAD直播 - 10 lIKE = 1抽 EVA合作 / 保命有得分 - 緊身衣 / パズドラ / Puzzle and Dragons / 廣東話</t>
  </si>
  <si>
    <t>2020/06/29-台指期籌碼當沖關鍵價[夜盤]/Taiwan futures</t>
  </si>
  <si>
    <t>(이누야샤/犬夜叉OST)시대를 초월한 마음【COVER by Guriri】</t>
  </si>
  <si>
    <t>semantic network analysis-example-dynamics of cultural frames</t>
  </si>
  <si>
    <t>ASHANTY, ATTA AUREL SETINGAN KAN⁉️JAWAB JUJUR</t>
  </si>
  <si>
    <t>Live 立法院群賢樓外  民主需要大家來守護  需要大家的熱血</t>
  </si>
  <si>
    <t>_xD83C__xDFA4_10點聯播 _xD83C__xDF53_20200629</t>
  </si>
  <si>
    <t>你要論述我給你論述！從今天起只有「執政者」與「人民」！#談國民黨佔立院阻陳菊監察院長提名 #跪安吧蔡皇大菊一桶天下 【歷史哥閒談時間】(第255篇)109.06.29 #訂閱按讚分享留言</t>
  </si>
  <si>
    <t>犬夜叉-超越時空的思念 二胡版 by 永安 Inuyasha - To Love's End (Erhu Cover)</t>
  </si>
  <si>
    <t>20200629 轉戰濟南路，帶刺拒馬真民主！</t>
  </si>
  <si>
    <t>How to Build a Text Mining, Machine Learning Document Classification System in R!</t>
  </si>
  <si>
    <t>How to  Make a Dynamic Histogram in Excel</t>
  </si>
  <si>
    <t>UCINET Tutorial for NETDRAW Property : 教學範例</t>
  </si>
  <si>
    <t>【天堂M】奈米課長拼一波《紫變傳奇手不抖》【平民百姓實況台】</t>
  </si>
  <si>
    <t>Excel 基礎教學 16：VLOOKUP 函數 &amp; 絕對參照設定</t>
  </si>
  <si>
    <t>試閱版-PLS偏最小平方法2013版002-三星統計張偉豪</t>
  </si>
  <si>
    <t>Pajek線上課程：1-2社會網絡分析基本概念、Pajek簡介</t>
  </si>
  <si>
    <t>13分鐘了解NVivo10質性研究軟體概觀-三星統計陳群典</t>
  </si>
  <si>
    <t>【謝章升專欄】教學影片-SEM結構方程模型與Amos CFA</t>
  </si>
  <si>
    <t>Tableau 教學-簡單強大的視覺化分析必備工具-第一次就上手-2018.3版</t>
  </si>
  <si>
    <t>Visualization of Anomalies in Dynamic Networks with NodeXL</t>
  </si>
  <si>
    <t>UCINET Walkthrough: the Matrix Spreadsheet Editor and NetDraw</t>
  </si>
  <si>
    <t>Gephi demo: Detecting hashtags emergence in real time</t>
  </si>
  <si>
    <t>Node XL Module 2 Introduction and Example</t>
  </si>
  <si>
    <t>Social Network Analysis using Gephi</t>
  </si>
  <si>
    <t>Introduction to Pajek (Part 1 of 3)</t>
  </si>
  <si>
    <t>A Quick Look at Social Network Analysis</t>
  </si>
  <si>
    <t>Importing network survey from excel into UCINET</t>
  </si>
  <si>
    <t>NodeXL Tutorial (part 1 of 3)</t>
  </si>
  <si>
    <t>Análise de Redes com NODEXL - Parte1</t>
  </si>
  <si>
    <t>Gephi Tutorial on Network Visualization and Analysis</t>
  </si>
  <si>
    <t>NodeXL - The point and shoot network visualization tool</t>
  </si>
  <si>
    <t>How to Enter NodeXL Edge Lists and Begin Visualizing Networks</t>
  </si>
  <si>
    <t>Fenix multiplataforma en vivo</t>
  </si>
  <si>
    <t>NodeXL Pro Quick Start Guide: How to do a Twitter search network analysis</t>
  </si>
  <si>
    <t>G Suite Tutorial: Setup Gmail, Docs, Drive &amp; Calendar on Your Website!</t>
  </si>
  <si>
    <t>Como usar Google Analytics 1 Conceptos</t>
  </si>
  <si>
    <t>SQL Tutorial - Full Database Course for Beginners</t>
  </si>
  <si>
    <t>R Programming For Beginners | R Language Tutorial | R Tutorial For Beginners | Edureka</t>
  </si>
  <si>
    <t>WordCloud using Python</t>
  </si>
  <si>
    <t>Marc Smith "Charting Collections of Connections in Social Media with NodeXL"</t>
  </si>
  <si>
    <t>Social Hypertree. When Facebook is combined with Information Visualization</t>
  </si>
  <si>
    <t>R Programming Tutorial - Learn the Basics of Statistical Computing</t>
  </si>
  <si>
    <t>How to create a word cloud in Excel</t>
  </si>
  <si>
    <t>How to Extract Facebook Group Members Emails &amp; Phones</t>
  </si>
  <si>
    <t>Data Structures: Trees</t>
  </si>
  <si>
    <t>Setting Up G Suite, Google Apps for Business</t>
  </si>
  <si>
    <t>Day 29: Twitter API with Python</t>
  </si>
  <si>
    <t>2 Gephi Video: Analysis of Facebook Network</t>
  </si>
  <si>
    <t>Word Cloud in R - Learn it in 4 minutes !</t>
  </si>
  <si>
    <t>What REALLY is Data Science? Told by a Data Scientist</t>
  </si>
  <si>
    <t>Jeremy Gibbons: Algorithm Design with Haskell</t>
  </si>
  <si>
    <t>Masterclass Two: Node XL</t>
  </si>
  <si>
    <t>Using (Excel) .NetMap for Social Network Analysis</t>
  </si>
  <si>
    <t>First Steps to NetViz Nirvana: Evaluating Social Network Analysis with NodeXL</t>
  </si>
  <si>
    <t>Usando NodeXL</t>
  </si>
  <si>
    <t>Installing NodeXL</t>
  </si>
  <si>
    <t>Visualizing Twitter Social Network Data using Gephi: Part 1</t>
  </si>
  <si>
    <t>NodeXL Tutorial (part 2 of 3)</t>
  </si>
  <si>
    <t>NodeXL map of #ShakeUpShow in Twitter</t>
  </si>
  <si>
    <t>Importing Data into NodeXL from various social networks - Tutorial</t>
  </si>
  <si>
    <t>Introduction to NodeXL - 1</t>
  </si>
  <si>
    <t>Visualizing Social Network Data based on Twitter #Hashtag using NodeXL</t>
  </si>
  <si>
    <t>COM/SOC 375 Exercise: Importing and Visualizing Twitter and Facebook Data with NodeXL</t>
  </si>
  <si>
    <t>Unit 2.2 NodeXL Tutorial - Calculating Graph Metrics</t>
  </si>
  <si>
    <t>#FabChangeWeek NodeXL Twitter SNA</t>
  </si>
  <si>
    <t>Análise de Redes com NODEXL - Parte 2</t>
  </si>
  <si>
    <t>Finding influencers using NodeXL</t>
  </si>
  <si>
    <t>Edges, Vertices, Edge Lists and Sociograms in NodeXL</t>
  </si>
  <si>
    <t>Basics of Social Network Analysis</t>
  </si>
  <si>
    <t>Working With NodeXL: Installing, Entering Edge Lists, and Visualizing Tie Strength</t>
  </si>
  <si>
    <t>Walkthrough: Using NodeXL to Visualize Twitter Networks</t>
  </si>
  <si>
    <t>NodeXL|: Understanding the three levels of Network analysis</t>
  </si>
  <si>
    <t>Installing NodeXL for Network Analysis: Quick and Simple</t>
  </si>
  <si>
    <t>Python in Simple Way Youtube Live Stream by Durga Sir</t>
  </si>
  <si>
    <t>Uncovering Meaning in Twitter Networks Using NodeXL Pro</t>
  </si>
  <si>
    <t>NodeXL</t>
  </si>
  <si>
    <t>We DIE And Go To Minecraft HEAVEN!</t>
  </si>
  <si>
    <t>MY NEW HOUSE!! **Full Home Tour**</t>
  </si>
  <si>
    <t>LEXI RIVERA, LEXI HENSLER &amp; I PRANKED THE BOYS</t>
  </si>
  <si>
    <t>Measuring modularity.</t>
  </si>
  <si>
    <t>Inkscape Tutorial: Ink Splash</t>
  </si>
  <si>
    <t>Gephi (Twitter)(cc)</t>
  </si>
  <si>
    <t>Weighted Graph Comparison Techniques for Brain Connectivity Analysis</t>
  </si>
  <si>
    <t>Excel 2010 Tutorial: Creating a Basic Worksheet</t>
  </si>
  <si>
    <t>Louvain Community Detection</t>
  </si>
  <si>
    <t>Sosyal Ağlar</t>
  </si>
  <si>
    <t>Data Visualization using Graph#</t>
  </si>
  <si>
    <t>Cluster analysis in Excel:Segmentation of Households by Banking Status</t>
  </si>
  <si>
    <t>Make Gephi degree distribution using Excel on Mac</t>
  </si>
  <si>
    <t>How to change Node Size according to Degree in Gephi : Gephi Tutorial</t>
  </si>
  <si>
    <t>Community Detection with Facebook Data</t>
  </si>
  <si>
    <t>mostrando o programa NodeXL para análise de redes sociais</t>
  </si>
  <si>
    <t>7 Genius Life Hacks Put To The Ultimate Test - Orbeez Pool Obstacles &amp; How To Survive for 24 Hours</t>
  </si>
  <si>
    <t>Raspberry Pi and Node.js</t>
  </si>
  <si>
    <t>我扮男生在交友app上骗姐姐谈恋爱, 姐姐上勾了, 竟然还... (PRANK GONE WRONG)</t>
  </si>
  <si>
    <t>Nosso Sentimento  - Rede Social   Lyric Video</t>
  </si>
  <si>
    <t>Facebook Analytics: Mensuração e Análise | Escola do Marketing Digital</t>
  </si>
  <si>
    <t>¿Qué es una red Semántica?</t>
  </si>
  <si>
    <t>WORD CLOUD TABLEAU TUTORIAL</t>
  </si>
  <si>
    <t>What is machine learning and how to learn it ?</t>
  </si>
  <si>
    <t>Introdução à Teoria dos Grafos - Aula 1 - O que é um grafo?</t>
  </si>
  <si>
    <t>Tutorial 6: Gephi Network Visualization</t>
  </si>
  <si>
    <t>Testador de Cabos de Rede, LAN, Telefone, RJ45, RJ11, BNC, USB com Scanner, LCD, e Rastrador de Fios</t>
  </si>
  <si>
    <t>Introdução à Teoria dos Grafos – Aula 18 – Cortando uma rede de vôlei</t>
  </si>
  <si>
    <t>comunidades en gephi</t>
  </si>
  <si>
    <t>Como Fazer Diagrama de Redes com o Diagram Editor</t>
  </si>
  <si>
    <t>PISO - ARGAMASSA DE REGULARIZAÇÃO - Fone: (11) 2364-8172 - vendas@hardyfloor.com.br</t>
  </si>
  <si>
    <t>Tutorial Gephi (configurações básicas e layout)</t>
  </si>
  <si>
    <t>mostrando o My Maps do Google</t>
  </si>
  <si>
    <t>Mostrando o software Gephi</t>
  </si>
  <si>
    <t>Importação para o Gephi</t>
  </si>
  <si>
    <t>análise de dados criminais - coleta</t>
  </si>
  <si>
    <t>Content Matters: Uncovering Semantic Networks and Hashtag Networks in NodeXL</t>
  </si>
  <si>
    <t>SEM114 - Theories of Word Meaning</t>
  </si>
  <si>
    <t>Thinking About Betweenness Centrality (UMA Social Networks)</t>
  </si>
  <si>
    <t>Using Hashtag Networks to Understand Clusters of Social Conversations | Mavens of London</t>
  </si>
  <si>
    <t>NodeXL - Social Network Analysis in Excel</t>
  </si>
  <si>
    <t>Social Network Analysis using R - library</t>
  </si>
  <si>
    <t>Network Analysis Tutorial: Introduction to Networks</t>
  </si>
  <si>
    <t>Social Network Analysis Using R Programming Language / Analyzing Social Networks /Learn R</t>
  </si>
  <si>
    <t>Social Networks: Converting a 2-Mode Matrix to 1-Mode Matrices in Excel</t>
  </si>
  <si>
    <t>Social Network Analysis with R | Examples</t>
  </si>
  <si>
    <t>Nicholas Christakis: The Sociological Science Behind Social Networks and Social Influence</t>
  </si>
  <si>
    <t>What is Social Network Analysis?</t>
  </si>
  <si>
    <t>Converting Various Formats into Adjacency Lists for Gephi</t>
  </si>
  <si>
    <t>R Lab.1 - Let's Draw a Social Network Graph: A Social Network Lab in R for Beginners</t>
  </si>
  <si>
    <t>Social network analysis - Introduction to structural thinking: Dr Bernie Hogan, University of Oxford</t>
  </si>
  <si>
    <t>ED 795 Lesson 2.4 Sentiment Analysis with Twitter</t>
  </si>
  <si>
    <t>Unit 2.2 NodeXL Tutorial - Visual Properties &amp; Filters</t>
  </si>
  <si>
    <t>ED795 Lesson 1.4 (Counts, Frequencies, &amp; tf-idf)</t>
  </si>
  <si>
    <t>NodeXl Part1</t>
  </si>
  <si>
    <t>Unit 2.2 SNA Data Formats</t>
  </si>
  <si>
    <t>Topic Modeling Tool Tutorial</t>
  </si>
  <si>
    <t>Unit 2 Overview: Network Analysis in Education</t>
  </si>
  <si>
    <t>ED795 Lesson 1.2 (Into the Tidyverse)</t>
  </si>
  <si>
    <t>Topic Modeling Resources Intro</t>
  </si>
  <si>
    <t>MOST CRACKED RENEGADE RAIDER</t>
  </si>
  <si>
    <t>the return of xd clan</t>
  </si>
  <si>
    <t>Learning Rules for Anomaly Detection</t>
  </si>
  <si>
    <t>I Trolled A Renegade Raider With BLAZE Skin.. (Fortnite)</t>
  </si>
  <si>
    <t>Using a HEART RATE monitor in Fortnite (150BPM!)</t>
  </si>
  <si>
    <t>World's Strongest Man Vs FaZe Clan - Strength Challenge</t>
  </si>
  <si>
    <t>Social Network Analysis on Digital Marketing</t>
  </si>
  <si>
    <t>Kinetic Art - Dynamic Structure 29117</t>
  </si>
  <si>
    <t>Gephi dynamic</t>
  </si>
  <si>
    <t>HTML Animated Backgrounds CSS Layer Position Tutorial Flash or Javascript How To</t>
  </si>
  <si>
    <t>Data Visualization - Building a Dashboard</t>
  </si>
  <si>
    <t>Gephi animation showing integer factoring</t>
  </si>
  <si>
    <t>Programming Interview: Travelling Salesman Problem (Dynamic Programming)</t>
  </si>
  <si>
    <t>Big Data Animation Video</t>
  </si>
  <si>
    <t>Network Structure</t>
  </si>
  <si>
    <t>Dynamic Social Network Analysis: Model, Algorithm, Theory, &amp; Application CMU Research Speaker Series</t>
  </si>
  <si>
    <t>Using Correlations To Understand Your Data: Machine Learning With R</t>
  </si>
  <si>
    <t>Dynamic Graph Animation (at 4k Video Resolution)</t>
  </si>
  <si>
    <t>Data Mining with Weka (1.6: Visualizing your data)</t>
  </si>
  <si>
    <t>Excel - AutoFill Thousands of Rows at Once in Excel</t>
  </si>
  <si>
    <t>Animation of a molecular dynamics simulation</t>
  </si>
  <si>
    <t>Patina: Dynamic Heatmaps for Visualizing Application Usage</t>
  </si>
  <si>
    <t>Network Management with SolarWinds Network Performance Monitor</t>
  </si>
  <si>
    <t>Excel Data Analysis ToolPak - Building a Correlation Matrix</t>
  </si>
  <si>
    <t>Download e Instalação do NODEXL</t>
  </si>
  <si>
    <t>LES PIRES VOLEURS #2 (y’en a c’est des génies)</t>
  </si>
  <si>
    <t>I Found A CHEATING LEVER In MINECRAFT! (Troll)</t>
  </si>
  <si>
    <t>Cổ Trang Ngôn Tình Siêu Hay 2020 | Sơn Trại Tiểu Manh Chủ - Tập 26 ( Thuyết Minh )</t>
  </si>
  <si>
    <t>Gephi y el Análisis de Facebook, Twitter, Linkedin y otras Redes Sociales</t>
  </si>
  <si>
    <t>Network Analysis Tutorial #1</t>
  </si>
  <si>
    <t>NodeXL Tutorial (part 3 of 3)</t>
  </si>
  <si>
    <t>Unit 2.2 NodeXL Tutorial - Grouping and Clusters in Networks</t>
  </si>
  <si>
    <t>How to Video Social Network Analysis using Gephi and NodeXL</t>
  </si>
  <si>
    <t>Centralidad de grado y componentes (subtítulos en español)</t>
  </si>
  <si>
    <t>Node XL Module 1 Download &amp; Installation</t>
  </si>
  <si>
    <t>Creating Twitter Network Graphs with Twecoll</t>
  </si>
  <si>
    <t>Gephi Tutorial: Visualizing Facebook Network</t>
  </si>
  <si>
    <t>Visualizing Twitter Social Network Data using Gephi: Part 3</t>
  </si>
  <si>
    <t>Gephi. Creación de grafo.</t>
  </si>
  <si>
    <t>Como elaborar un archivo CSV para exportar a Gephi</t>
  </si>
  <si>
    <t>Gephi Streaming Twitter Importer Tutorial</t>
  </si>
  <si>
    <t>04. Cambiando la Apariencia del Sociograma en Gephi.</t>
  </si>
  <si>
    <t>#118 | Monitoramento em Redes Sociais! Quais FERRAMENTAS usar? | FABIO RICOTTA</t>
  </si>
  <si>
    <t>Uso de graphviz</t>
  </si>
  <si>
    <t>Como instalar o Node.js no Windows</t>
  </si>
  <si>
    <t>SIDEMEN REUNITED MUKBANG</t>
  </si>
  <si>
    <t>Cancel PewDiePie NOW!</t>
  </si>
  <si>
    <t>Facebook Data Extraction Tutorial 2016 - Analyze Your Facebook Stats With Netvizz App</t>
  </si>
  <si>
    <t>NodeXL Access and Use</t>
  </si>
  <si>
    <t>Tutorial 1 para Ucinet  para projeto Ufes</t>
  </si>
  <si>
    <t>GEPHI - Network visualization tutorial [HD]</t>
  </si>
  <si>
    <t>Como criar uma rede com o Gephi - L3P</t>
  </si>
  <si>
    <t>UCINET Starter Demo</t>
  </si>
  <si>
    <t>Gephi Tutorial - How to use Gephi for Network Analysis</t>
  </si>
  <si>
    <t>Gephi e Análise baseada em Grafos</t>
  </si>
  <si>
    <t>Gephi Software Installation</t>
  </si>
  <si>
    <t>Tutorial para instalar complemento de Excel</t>
  </si>
  <si>
    <t>Introduction to Social Network Analysis with Sentinel Visualizer</t>
  </si>
  <si>
    <t>Demystifying Network Density</t>
  </si>
  <si>
    <t>Closeness Centrality &amp; Betweenness Centrality: A Social Network Lab in R for Beginners</t>
  </si>
  <si>
    <t>Degree and Closeness Centrality</t>
  </si>
  <si>
    <t>Social Capital - Constructing a Sociogram</t>
  </si>
  <si>
    <t>Crying Gender: Acceptable and Unacceptable Expression and Behavior in Men and Women</t>
  </si>
  <si>
    <t>Basics of Bivariate Regression, from Constants and Slopes to Contingent Means and R-Squared</t>
  </si>
  <si>
    <t>Welcome To Coursera</t>
  </si>
  <si>
    <t>How to Create a Concept Map using Paper, Microsoft Word or Google Drive</t>
  </si>
  <si>
    <t>Drawing a sociogram with LeaderboardX</t>
  </si>
  <si>
    <t>InfoPath 2010  |  What Is InfoPath - An Overview</t>
  </si>
  <si>
    <t>Community Detection in Social Networks and Performance Evaluation of Algorithms</t>
  </si>
  <si>
    <t>ED795 Lesson 1.3 (Tidy Text &amp; Tokenization)</t>
  </si>
  <si>
    <t>How to run cluster analysis in Excel</t>
  </si>
  <si>
    <t>How to Look at Node Labels in Gephi</t>
  </si>
  <si>
    <t>Clustering in Social Network Analysis: A Social Network Lab in R for Beginners</t>
  </si>
  <si>
    <t>Gephi   grouping</t>
  </si>
  <si>
    <t>Use Gephi to Visualize Network Structures of Twitter Data</t>
  </si>
  <si>
    <t>#PDF17 Twitter social media network analysis created by NodeXL</t>
  </si>
  <si>
    <t>Global NodeXL Tweets in August Mapped</t>
  </si>
  <si>
    <t>Analyzing Twitter Data Using NVivo 11 - Part 1 (Philip Adu, Ph.D)</t>
  </si>
  <si>
    <t>Gephi 3D Network Analysis - Tweets Mentioning Donald Trump 3-15-2016</t>
  </si>
  <si>
    <t>Minecraft But It's Only One Block (#6)</t>
  </si>
  <si>
    <t>J'ai enfin reçu le *PC GAMER* de mes rêves ! (5000€)</t>
  </si>
  <si>
    <t>We Had To Move Out...</t>
  </si>
  <si>
    <t>Using the worst gun in Call of Duty Warzone</t>
  </si>
  <si>
    <t>KORREKT DIGGA</t>
  </si>
  <si>
    <t>Tutorial NVIVO</t>
  </si>
  <si>
    <t>Video Tutorial Yed Graph Editor.avi</t>
  </si>
  <si>
    <t>Historia del Mundo en 100 Segundos con Gephi, Grafo de Eventos Mundiales</t>
  </si>
  <si>
    <t>Introducción a UCINET y NetDraw - Análisis de Redes Sociales (ARS)</t>
  </si>
  <si>
    <t>Bibliometrics (15): Visualization of Bibliographic network using VosViewer</t>
  </si>
  <si>
    <t>Visualización de Redes y atributos topológicos usando Cytoscape</t>
  </si>
  <si>
    <t>Error con Node XL en Facebook</t>
  </si>
  <si>
    <t>2 CCSSCS: Análisis de Redes Sociales (parte 1)</t>
  </si>
  <si>
    <t>Tutorial Vos viewer PubMed</t>
  </si>
  <si>
    <t>Charting Collections of Connections in Social Media: Creating Maps and Measures with NodeXL</t>
  </si>
  <si>
    <t>COM/SOC 375: Clustering Coefficient and Triad Census from Twitter</t>
  </si>
  <si>
    <t>Dr Marc Smith on NodeXL</t>
  </si>
  <si>
    <t>NODEXL demonstration</t>
  </si>
  <si>
    <t>Tutorial UCINET e NetDraw</t>
  </si>
  <si>
    <t>import data from CSV into Gephi</t>
  </si>
  <si>
    <t>Marc A. Smith - Charting Collections of Connections with Maps and Measures</t>
  </si>
  <si>
    <t>Export Your Twitter Followers and Analyze Your Data</t>
  </si>
  <si>
    <t>Social Network Analysis - From Graph Theory to Applications - Dima Goldenberg - PyCon Israel 2019</t>
  </si>
  <si>
    <t>NodeXL'le Twitter'dan veri çekmek</t>
  </si>
  <si>
    <t>Dropshipping nedir? Stoksuz eticaret yaparak nasıl pasif gelir üretilir?</t>
  </si>
  <si>
    <t>İngilizce Aksan Seçmek - İngiliz &amp; Amerikan Aksanı - İngilizce Konuşma Dersleri</t>
  </si>
  <si>
    <t>Tüm Sayfayı Çekin | C# Web Sitesi Veri Çekme | XPath &amp; HtmlAgilityPack</t>
  </si>
  <si>
    <t>The Egyptian Revolution on Twitter</t>
  </si>
  <si>
    <t>R - Twitter Mining with R (part 1)</t>
  </si>
  <si>
    <t>MelodySong NodeXL 2013</t>
  </si>
  <si>
    <t>Royal wedding - tweets visualized, part II</t>
  </si>
  <si>
    <t>convert excel csv to network</t>
  </si>
  <si>
    <t>İNSTAGRAM LİNK EKLEME (İnstagram'a Whatsapp Youtube  Web Sayfasını Ekle)</t>
  </si>
  <si>
    <t>Derin Öğrenme</t>
  </si>
  <si>
    <t>Knime ile XPath kullanımı ve Web Sitesi İçerikleri</t>
  </si>
  <si>
    <t>1. Gün - Goals - 41 Gün Speaking</t>
  </si>
  <si>
    <t>How to Download Twitter History Archive</t>
  </si>
  <si>
    <t>Knime ile Weka Özelliklerinin Kullanılması</t>
  </si>
  <si>
    <t>Twitterda Silinen Mesajları Geri Getirmek 2015 Sesli Açıklama</t>
  </si>
  <si>
    <t>Weka'da çeşitli analizler</t>
  </si>
  <si>
    <t>Python3 Dersleri 41 - Internetten Bilgi Çekmek 1 (Requests ve BeautifulSoup)</t>
  </si>
  <si>
    <t>Piramitlerin Nasıl Yapıldığı Keşfedildi ! (İLERİ TEKNOLOJİ)</t>
  </si>
  <si>
    <t>[Nasıl Yapılır?] C# ile Twitter Bot Uygulaması ve İşlemleri - Tweet Alma - Gönderme vb.</t>
  </si>
  <si>
    <t>Sabah 2.40'ta Kod Yazmak #GGJ2017</t>
  </si>
  <si>
    <t>Veri Madenciliği(Excel -  Karışık Örnekler)</t>
  </si>
  <si>
    <t>Tweetdeck hesap ekleme, retweet (RT)yapma, Like (fav) yapma nasıl yapılır</t>
  </si>
  <si>
    <t>Python3 Dersleri 42 - İnternetten Bilgi Çekmek 2  - IMDB Film Verileri</t>
  </si>
  <si>
    <t>Knime ve Web Madenciliğine Giriş (Veri Bilimi Eğitim Serisi 45. Video)</t>
  </si>
  <si>
    <t>Twitter API with Python: Part 1 -- Streaming Live Tweets</t>
  </si>
  <si>
    <t>Twitter Archive Instructions</t>
  </si>
  <si>
    <t>Big Data Nedir? Nerelerde Kullanılır?</t>
  </si>
  <si>
    <t>R İLE TWİTTER ANALİTİĞİ-1/ KAMİL ÇELİK PRODUCTIONS</t>
  </si>
  <si>
    <t>MAXQDA 12: Twitter Analizi</t>
  </si>
  <si>
    <t>Veri Madenciliği Projesi Olarak Ne Yapayım? (Soru Cevap 12 Şubat 2016)</t>
  </si>
  <si>
    <t>Python NLTK ile text analizi | Metin madenciliği | Duygu (sentimental) analizi | Doğal dil işleme</t>
  </si>
  <si>
    <t>Twitter'da eski tweetleri bulmak</t>
  </si>
  <si>
    <t>EXCEL DIŞ VERİ (WEBDEN) AL</t>
  </si>
  <si>
    <t>Twitter'dan ücretsiz trafik çekerek satış yapmak - 10 günde 10 yöntem: 10</t>
  </si>
  <si>
    <t>Netvizz'le Facebook'tan veri toplama</t>
  </si>
  <si>
    <t>Knime ile Twitter Verilerinin İşlenmesi (Veri Madenciliği Eğitim Serisi 46)</t>
  </si>
  <si>
    <t>NON MANGIARE IL PARASSITA!! - Minecraft SCP 940</t>
  </si>
  <si>
    <t>Data Analytics Course</t>
  </si>
  <si>
    <t>Authors@Google: Ben Shneiderman</t>
  </si>
  <si>
    <t>Royal wedding - tweets visualized, part I</t>
  </si>
  <si>
    <t>Ali G- Science</t>
  </si>
  <si>
    <t>Stevie B Microsoft Research demo</t>
  </si>
  <si>
    <t>Microsoft Research - Women in Computer Science: Siân Lindley</t>
  </si>
  <si>
    <t>Playing The Worst Rated Video Game!</t>
  </si>
  <si>
    <t>Visio 2010 Network Diagram Data Links and Data Graphics Tutorial</t>
  </si>
  <si>
    <t>Google Analytics Interface Tutorial</t>
  </si>
  <si>
    <t>Creating and Managing Research Databases in Microsoft Access</t>
  </si>
  <si>
    <t>Information Visualization for Knowledge Discovery</t>
  </si>
  <si>
    <t>연지야.. 아빠가 미안해..</t>
  </si>
  <si>
    <t>"Way Deeper Down" [Version A] Undertale Minecraft Music Video (Song by The Stupendium)</t>
  </si>
  <si>
    <t>Big Data Analytics</t>
  </si>
  <si>
    <t>Microsoft Research - Women in Computer Science: Jasmin Fisher</t>
  </si>
  <si>
    <t>An Associative Search System for Semantic Networks based on Keyword Search and Semantic Abstraction</t>
  </si>
  <si>
    <t>F# 3.0</t>
  </si>
  <si>
    <t>Jurassic Park (Sega Genesis) Music - Visitor's Center</t>
  </si>
  <si>
    <t>Convert Excel Spreadsheet data to XML</t>
  </si>
  <si>
    <t>NodeXL / PowerMap - Global SCICOMM Tweets by location (Aug 11-31, 2015)</t>
  </si>
  <si>
    <t>Prof. Chris Bishop: The Future of Computers</t>
  </si>
  <si>
    <t>Think Computer Science '11 Talks - The Art of Computer Programming</t>
  </si>
  <si>
    <t>Gource - Software Version Control Visualization Tool</t>
  </si>
  <si>
    <t>Predictive Decision Making at the Speed of Thought</t>
  </si>
  <si>
    <t>How to Compute Network Centralization</t>
  </si>
  <si>
    <t>Cytoscape Demo</t>
  </si>
  <si>
    <t>How to Create Power Maps in Excel</t>
  </si>
  <si>
    <t>Node XL Module 4  Kite Network Data Part 1</t>
  </si>
  <si>
    <t>First try at dynamic network visualisation with Gephi</t>
  </si>
  <si>
    <t>Graph# Tutorial 01</t>
  </si>
  <si>
    <t>Import data into gephi using datatable</t>
  </si>
  <si>
    <t>Network Analysis in 60 Seconds</t>
  </si>
  <si>
    <t>Introducing Gephi 0.7</t>
  </si>
  <si>
    <t>SNA with NodeXL</t>
  </si>
  <si>
    <t>Hadoop Tutorial: How to Analyze Your Twitter Data</t>
  </si>
  <si>
    <t>Network Dynamics</t>
  </si>
  <si>
    <t>Gephi graphic of the people i follow on twitter</t>
  </si>
  <si>
    <t>spss and social network analyses part II: how to create a ties-to-cases dataset</t>
  </si>
  <si>
    <t>Tutorial: Coding Twitter Tweets in Excel</t>
  </si>
  <si>
    <t>R Studio Get Twitter data with Hastag And Export to Excel</t>
  </si>
  <si>
    <t>Social Network Analysis using python</t>
  </si>
  <si>
    <t>Polinode Networks: A Quick Start Guide</t>
  </si>
  <si>
    <t>Hashtag Analytics Tool for Social Media - Rite Tag - Tool Highlight Tuesday Week 1</t>
  </si>
  <si>
    <t>Network Visualization and Analysis with Cytoscape</t>
  </si>
  <si>
    <t>Building Networks</t>
  </si>
  <si>
    <t>Pesquisa Operacional - Caminho Mínimo</t>
  </si>
  <si>
    <t>Algovidea - Método simplex para flujo en redes</t>
  </si>
  <si>
    <t>Gephi: exemplo de uso</t>
  </si>
  <si>
    <t>Mineração de Dados - 1</t>
  </si>
  <si>
    <t>Trabalhar com Microdados Usando o R - parte 6</t>
  </si>
  <si>
    <t>import data</t>
  </si>
  <si>
    <t>Trabalhar com Microdados usando o R - parte 5</t>
  </si>
  <si>
    <t>Trabalhar com Microdados usando o R - parte 3</t>
  </si>
  <si>
    <t>Mineria de Datos con Knime</t>
  </si>
  <si>
    <t>Network theory - Marc Samet</t>
  </si>
  <si>
    <t>Trabalhar com Microdados usando o R - parte 2</t>
  </si>
  <si>
    <t>Análise de Conteúdo - ManyEyes</t>
  </si>
  <si>
    <t>Motif simplification</t>
  </si>
  <si>
    <t>SOCIOMET. Sociométrico</t>
  </si>
  <si>
    <t>Trabalhar com Microdados usando o R - parte 1</t>
  </si>
  <si>
    <t>805-I OD Cost Matrix</t>
  </si>
  <si>
    <t>yED Graph Editor Tutorial - Make flowcharts, trees, graph Freeware.</t>
  </si>
  <si>
    <t>Como fazer gráfico de coluna no Excel - Passo a Passo completo</t>
  </si>
  <si>
    <t>Curso Online ArcGIS - Análise Espacial: Realizar Análises Estatísticas</t>
  </si>
  <si>
    <t>Trabalhar com Microdados usando o R - parte 4</t>
  </si>
  <si>
    <t>Linear Programming with Excel Solver</t>
  </si>
  <si>
    <t>How to Install an Excel Add in</t>
  </si>
  <si>
    <t>Population Pyramids: How to Read them, How to Find them</t>
  </si>
  <si>
    <t>NodeXL Graph Uygulaması İndirme Kurulum ve Kullanım | Türkçe Anlatım</t>
  </si>
  <si>
    <t>Memory: Connectionism and Semantic Networks</t>
  </si>
  <si>
    <t>Working With Two Mode Social Network Data in R</t>
  </si>
  <si>
    <t>(Basic) Text Analysis with WORDij</t>
  </si>
  <si>
    <t>Text Mining with Network Analysis for Search Engine Optimization SEO</t>
  </si>
  <si>
    <t>Working With TEDS: The Treatment Episode Data Set</t>
  </si>
  <si>
    <t>How to Extract and Save Reddit Data using R and RedditExtractoR</t>
  </si>
  <si>
    <t>LIWC tutorial 2: Analyzing text files with Linguistic Inquiry and Word Count</t>
  </si>
  <si>
    <t>Basics of Scientific Literature Analysis, Part 4: Network analysis/visualization with Gephi</t>
  </si>
  <si>
    <t>GEPHI | "cannot find java 1.8 or higher" Error Solved in Gephi | GEPHI JAVA configuration.</t>
  </si>
  <si>
    <t>Extract Facebook Data and save as CSV</t>
  </si>
  <si>
    <t>SOCIOGRAM 5.0 - 05 Sociometric classification</t>
  </si>
  <si>
    <t>Node XL Module 4  Kite Network Data Part 2</t>
  </si>
  <si>
    <t>Which Shape CUTS BEST? (Weed Eater Line at 100,000 Frames Per Second) - Smarter Every Day 238</t>
  </si>
  <si>
    <t>Project Organizational Structures Simplified</t>
  </si>
  <si>
    <t>Análise de Risco e Crédito Aula 01</t>
  </si>
  <si>
    <t>Motif Simplification: Improving Network Visualization Readability with Motif Glyphs</t>
  </si>
  <si>
    <t>UCINET NETDRAW EXERCICIO 2 - 2 MODE NETWORK</t>
  </si>
  <si>
    <t>Analisis del entorno y text mining</t>
  </si>
  <si>
    <t>Cours: Formation excel avancé Complète Niveau 2</t>
  </si>
  <si>
    <t>auditoria SEO: ¿cómo analizar la estructura de enlaces interna con GEPHI?</t>
  </si>
  <si>
    <t>Module 81 - Social Network Graph</t>
  </si>
  <si>
    <t>Importando dados no SPSS</t>
  </si>
  <si>
    <t>MQPEP - MAXQDA Tutorial Completo</t>
  </si>
  <si>
    <t>Excel Básico aula 1 parte 1 de 3</t>
  </si>
  <si>
    <t>Como elaborar uma visualização de sua rede no Facebook usando Gephi</t>
  </si>
  <si>
    <t>Video - Trabalho Estrutura de Dados - Grafos</t>
  </si>
  <si>
    <t>Administração de Redes Linux - Módulo 1 - Configuração de Rede de um Computador Cliente</t>
  </si>
  <si>
    <t>[2012] MAXQDA 10 and MAXQDA 11: Importar documentos</t>
  </si>
  <si>
    <t>Como fazer gráficos com desvios no excel</t>
  </si>
  <si>
    <t>How will wireless 5G technology handle 1 000 times more data?</t>
  </si>
  <si>
    <t>Social Network Analysis Software -  NetMiner : Getting Started with NetMiner</t>
  </si>
  <si>
    <t>Graph and Digraph Classes</t>
  </si>
  <si>
    <t>How to read Edge List from file and Create a graph : Networkx Tutorial # 2</t>
  </si>
  <si>
    <t>Cleaning and Preparing Data in UCINET</t>
  </si>
  <si>
    <t>Understanding network centrality using NodeXL</t>
  </si>
  <si>
    <t>Gephi and Network Analysis Part II</t>
  </si>
  <si>
    <t>Why Study Ego Networks?</t>
  </si>
  <si>
    <t>Walkthrough: Creating a Family Network as Edge List, Matrix and Sociogram</t>
  </si>
  <si>
    <t>Visualize graph data easily with Linkurious</t>
  </si>
  <si>
    <t>Social Networks: a Basic Introduction in Less Than 3 Minutes</t>
  </si>
  <si>
    <t>Activity Network Diagram in Excel</t>
  </si>
  <si>
    <t>How to use Excel Index Match (the right way)</t>
  </si>
  <si>
    <t>Mod02D Closeness</t>
  </si>
  <si>
    <t>Excel 2016 visualize data on Bing maps</t>
  </si>
  <si>
    <t>Essential &amp; Practical Circuit Analysis: Part 1- DC Circuits</t>
  </si>
  <si>
    <t>Rip Copy-Protected DVDs with Free Software for Windows 10, Mac OS X or Linux</t>
  </si>
  <si>
    <t>Most Useful Excel Keyboard Shortcuts</t>
  </si>
  <si>
    <t>How to import Facebook Friends List to Excel</t>
  </si>
  <si>
    <t>กระสือคุณหนู</t>
  </si>
  <si>
    <t>Age and Crime: The Social Relation</t>
  </si>
  <si>
    <t>Welcome to SOC 101 at UMA</t>
  </si>
  <si>
    <t>Introduction to the Pajek .net format (Part 2 of 2)</t>
  </si>
  <si>
    <t>Part 1 of a rookie's guide to network science: nodes &amp; edges</t>
  </si>
  <si>
    <t>Victory Gardens 2020: Responding to the Social Threat of Coronavirus</t>
  </si>
  <si>
    <t>Deaths, Polls and Social Problems</t>
  </si>
  <si>
    <t>Garbage In, Garbage Out: Making Your UCINET Networks Make Sense</t>
  </si>
  <si>
    <t>Using Excel 2013 Graphic Tools to Create Network Diagrams</t>
  </si>
  <si>
    <t>Basic raw data analysis using Gephi</t>
  </si>
  <si>
    <t>Data Mining 1-26-2011</t>
  </si>
  <si>
    <t>Introduction to yEd (Part 2 of 2)</t>
  </si>
  <si>
    <t>Project Scheduling in Excel using Monte-Carlo Simulation 1/5</t>
  </si>
  <si>
    <t>Graph Theory Overview</t>
  </si>
  <si>
    <t>Queering Gender, Queering Relationships</t>
  </si>
  <si>
    <t>Excel Tips 30 - Install Add-Ins to Excel - Analysis Toolpak - Solver - Etc..avi</t>
  </si>
  <si>
    <t>Social Network Analysis Practice (Gephi) in Korean</t>
  </si>
  <si>
    <t>How to Estimate the Ripple Effect of A Disaster (and why those Ripples differ)</t>
  </si>
  <si>
    <t>U.S. Vaccination Trends, 1955-1982 and 1988-2016</t>
  </si>
  <si>
    <t>Graph Representation part 01 - Edge List</t>
  </si>
  <si>
    <t>Sociology of a pandemic: Coronavirus, social distancing and social networks</t>
  </si>
  <si>
    <t>엑셀 네이버 다 긁어오기 Scraping Naver with Excel</t>
  </si>
  <si>
    <t>EE: UCINET network metrics and visualising in NETDRAW</t>
  </si>
  <si>
    <t>Lesson 4: Using Attributes to Describe Data</t>
  </si>
  <si>
    <t>COM/SOC 375, Social Networks: Getting Started With UCINET for Homework #5</t>
  </si>
  <si>
    <t>Getting Started with UCINET</t>
  </si>
  <si>
    <t>How to: Quick Reddit Sentiment Analysis using R, RedditExtractor and SentimentAnalysis</t>
  </si>
  <si>
    <t>Gephi demo: Retweet Monitor Plugin</t>
  </si>
  <si>
    <t>Lecture 1.1- 1A Why Social Network Analysis (1354)</t>
  </si>
  <si>
    <t>Data Visualization Tutorial - Communication Networks Gephi</t>
  </si>
  <si>
    <t>spss and social network analyses part I: introduction to social network data</t>
  </si>
  <si>
    <t>Dynamics Networks Gephi</t>
  </si>
  <si>
    <t>Example of basic Social Network Analysis of Facebook friends</t>
  </si>
  <si>
    <t>Visualizing Twitter Social Network Data using Gephi: Part 2</t>
  </si>
  <si>
    <t>Modeling Complex Social Networks: Challenges &amp; Opportunities for Statistical Learning &amp; Inference</t>
  </si>
  <si>
    <t>Week 3: Gephi - An Introduction Tour</t>
  </si>
  <si>
    <t>Social Network Analysis Overview</t>
  </si>
  <si>
    <t>Social Network Analysis with Lada Adamic</t>
  </si>
  <si>
    <t>Node XL Module 3   Simple Friendship Network Example</t>
  </si>
  <si>
    <t>Social Network Analysis SNA_Part_1</t>
  </si>
  <si>
    <t>Network Analysis intro</t>
  </si>
  <si>
    <t>Analyzing Big Data with Twitter - Lecture 1 - Intro to course; Twitter basics</t>
  </si>
  <si>
    <t>Introduction to the Pajek .net format (Part 1 of 2)</t>
  </si>
  <si>
    <t>Using SEO Tools to extract Twitter JSON data into an Excel file</t>
  </si>
  <si>
    <t>How to create adjacency matrix with a spreadsheet program</t>
  </si>
  <si>
    <t>Social Network Analysis - using Social Network Visualiser</t>
  </si>
  <si>
    <t>BLACKPINK - 'How You Like That' 0628 SBS Inkigayo</t>
  </si>
  <si>
    <t>Network Analysis Tutorial: Network Visualization</t>
  </si>
  <si>
    <t>Introduction to Exploring Social Network Structure with Visualization in R</t>
  </si>
  <si>
    <t>Visualizing a Social Network</t>
  </si>
  <si>
    <t>DBpedia: Visualising Linked Data. Graph of Members of Punk Rock Bands</t>
  </si>
  <si>
    <t>Gephi email network import tutorial</t>
  </si>
  <si>
    <t>Social Network Analysis The Basics</t>
  </si>
  <si>
    <t>Gephi Tutorial for working with Twitter mention networks</t>
  </si>
  <si>
    <t>Combine and Analyze Co-Hashtag Networks (Instagram, Twitter, etc.) with Gephi</t>
  </si>
  <si>
    <t>Cytoscape Video Tutorial</t>
  </si>
  <si>
    <t>Full version -- Analyzing Twitter data with IBM BigSheets</t>
  </si>
  <si>
    <t>What is Social Network Analysis? by Prof Martin Everett</t>
  </si>
  <si>
    <t>Network Analysis. Lecture 5. Centrality measures.</t>
  </si>
  <si>
    <t>Introduction to Pajek (Part 3 of 3)</t>
  </si>
  <si>
    <t>Facebook Analytics - Gephi</t>
  </si>
  <si>
    <t>Introduction to GEPHI</t>
  </si>
  <si>
    <t>Gephi Labels and Colors</t>
  </si>
  <si>
    <t>Gephi Modularity Tutorial</t>
  </si>
  <si>
    <t>Network Centrality</t>
  </si>
  <si>
    <t>Social Media Data Analysis</t>
  </si>
  <si>
    <t>Gephi Tutorial: Filtering Networks</t>
  </si>
  <si>
    <t>Power BI Custom Visuals - Social Network Graph</t>
  </si>
  <si>
    <t>¡¡TARIFA CALVO!! NUEVO INTEGRANTE DE CALVALAND - TheGrefg</t>
  </si>
  <si>
    <t>Meet The Press Broadcast (Full) - June 28th, 2020 | Meet The Press | NBC News</t>
  </si>
  <si>
    <t>Nobody found my Roblox character attractive...</t>
  </si>
  <si>
    <t>DYING MY HAIR BLONDE</t>
  </si>
  <si>
    <t>Social network analysis for journalists using the Twitter API</t>
  </si>
  <si>
    <t>Social Network Analysis</t>
  </si>
  <si>
    <t>KIT FALLS IN LOVE?! (A Fortnite Short Film)</t>
  </si>
  <si>
    <t>REST API concepts and examples</t>
  </si>
  <si>
    <t>VLAN Concepts</t>
  </si>
  <si>
    <t>NY Gov. Cuomo: Government 'Failed Effort To Stop The First Wave' | Meet The Press | NBC News</t>
  </si>
  <si>
    <t>How to make healthy eating unbelievably easy | Luke Durward | TEDxYorkU</t>
  </si>
  <si>
    <t>The OSI Model Demystified</t>
  </si>
  <si>
    <t>3 Minute Win: Analyzing Twitter Data</t>
  </si>
  <si>
    <t>Importing Social Network Data into R through CSV Files</t>
  </si>
  <si>
    <t>What is a cookie?</t>
  </si>
  <si>
    <t>What is a Software Defined Network</t>
  </si>
  <si>
    <t>Twitter Advanced Tips Tricks and Tools</t>
  </si>
  <si>
    <t>Visualizing Graph Databases with KeyLines</t>
  </si>
  <si>
    <t>Online Communities Video</t>
  </si>
  <si>
    <t>Metabolic Flux Map with NodeXL</t>
  </si>
  <si>
    <t>Facebook Netzwerk analysieren und visualisieren (Gephi Tutorial)</t>
  </si>
  <si>
    <t>Introduction to Cytoscape (Part 1 of 2)</t>
  </si>
  <si>
    <t>July 15, 2013 - Network Visualization with Cytoscape</t>
  </si>
  <si>
    <t>Netvizz: downloading data and producing a macro view</t>
  </si>
  <si>
    <t>Visualizing Dynamic Networks</t>
  </si>
  <si>
    <t>Using Social Graphs To Understand Your Network - part 2</t>
  </si>
  <si>
    <t>Finding Twitter Influencers using Graph</t>
  </si>
  <si>
    <t>Gephi Tutorial 1 - Vistas básicas y carga de datos</t>
  </si>
  <si>
    <t>An intro to social network analysis</t>
  </si>
  <si>
    <t>Visual Analysis of Social Networks</t>
  </si>
  <si>
    <t>30 Seconds to Turn an Excel Doc into a Node-Link Graph with VisiTrend Cloud</t>
  </si>
  <si>
    <t>Degree Centrality</t>
  </si>
  <si>
    <t>Conceptual Data Modeling Explained</t>
  </si>
  <si>
    <t>The fundamentals of Gephi</t>
  </si>
  <si>
    <t>Introduction to Deep Learning: What Are Convolutional Neural Networks?</t>
  </si>
  <si>
    <t>The Fundamentals of Predictive Analytics - Data Science Wednesday</t>
  </si>
  <si>
    <t>Excel Tutorial | 101 | Part 1</t>
  </si>
  <si>
    <t>Improve Efficiency, Effectiveness and Innovation with Social Network Analysis</t>
  </si>
  <si>
    <t>visualizing pv504 in ucinet/netdraw</t>
  </si>
  <si>
    <t>Gephi: Graph Streaming in action</t>
  </si>
  <si>
    <t>Introduction to Pajek (Part 2 of 3)</t>
  </si>
  <si>
    <t>Exploring and Visualizing Data Relationships with Network Analysis</t>
  </si>
  <si>
    <t>Tableau Network Graph</t>
  </si>
  <si>
    <t>Dedoose Tutorial</t>
  </si>
  <si>
    <t>Quick Cluster Analysis for Excel</t>
  </si>
  <si>
    <t>Uploading data into Gephi: Part 3 of 3</t>
  </si>
  <si>
    <t>How to Make Tarpapel using Microsoft Excel? | Tagalog Tutorial</t>
  </si>
  <si>
    <t>GraphStream 1.0</t>
  </si>
  <si>
    <t>The Beginner's Guide to Excel - Excel Basics Tutorial</t>
  </si>
  <si>
    <t>ARS en Twitter con NodeXL</t>
  </si>
  <si>
    <t>Necesitas música para tus videos? Obten 30 días gratis en Epidemic Sound con este enlace:
http://share.epidemicsound.com/UPDT
Enlaces a las fuentes:
I Will Always Travel for Food - Omelette Instantáneo
https://www.youtube.com/watch?v=vmyX_n91dCA
@zelimization - Columpio
https://www.instagram.com/zelimization/
@hamidebrahimnia - Rascacielos USB
https://www.instagram.com/hamidebrahimnia/
Stuff Made Here - Ver con un iPad
https://www.youtube.com/watch?v=8Au47gnXs0w
@diemwolf - Tarántulas bebés
https://www.instagram.com/diemwolf/
TastingHistory -  Receta de cerveza de mantequilla de hace 400 años
https://www.youtube.com/TastingHistory
Dylan Tallchief - Batería electrónica usando Excel
https://www.youtube.com/watch?v=To2JIXGoYzA
Un Poco de Todo tiene el permiso escrito de los dueños de estos videos para mostrarlos en este canal.
Para cualquier aclaración favor de contactarnos en: contactupdt@gmail.com
En Un Poco De Todo te muestro lo más interesante de Internet.
Suscribirse: http://bit.ly/1EXrxJB
Facebook: https://bit.ly/2E4GnUR
TikTok: https://bit.ly/3eZDrY8
Instagram: https://bit.ly/2PhFp8F</t>
  </si>
  <si>
    <t>¡SUSCRIBETE➨https://www.youtube.com/channel/UCU9i...
¡Síguenos en las redes!
Facebook ➨ https://www.facebook.com/Orientador-m...
Twitter ➨ https://twitter.com/OrientadorMovil
Instagram➨ https://www.instagram.com/orientadorm...
Google+ ➨ https://plus.google.com/u/0/+Orientad...</t>
  </si>
  <si>
    <t>Si quieres ver el post completo sobre Twitter Analytics en Español haz clic en este enlace http://neoattack.com/twitter-analytics-espanol-mega-tutorial-para-ser-un-experto/
Trucos Twitter: Seguidores, visibilidad, herramientas, clientes y más - http://neoattack.com/trucos-twitter-seguidores-visibilidad-clientes/
Video tutorial "Como conseguir seguidores en Twitter": https://www.youtube.com/watch?v=p2Ed4lVXExE o si quieres ver un post sobre aumentar seguidores te recomendamos este http://www.sugeralia.com/como-conseguir-seguidores-en-twitter/
Video tutorial sobre cómo usar Twitter Analytics en el que analizamos las funciones de esta herramienta gratis de analítica de Twitter. 
Con la herramienta gratuita Twitter Analytics vamos a poder ver los datos de nuestro perfil y analizar cada tuit e interacción para conseguir mejorar las estadísticas de nuestra cuenta y alcanzar una mayor notoriedad y tráfico web a través de nuestras cuentas.
Si eres un community manager o un social media manager deberías conocer esta herramienta social media ya que es la diferencia entre seguir una estrategia basada en datos y publicar al tuits azar. 
Algunas de las funciones de Twitter Analytics son:
Inicio: Analizar los datos principales de nuestra cuenta como tweets diarios, tweet principal, mención principal, seguidor principal, tweet con contenido multimedia principal, número de impresiones, visitas al perfil, menciones, seguidores y tweets con enlaces a nuestro perfil. 
Tweets: Análisis de las estadísticas de todos los tweets por impresiones, interacciones, tasa de interacción, impresiones día, impresiones totales y gráficas de los datos de los últimos 28 días de tu cuenta de twitter.
Audiencias: información sobre los intereses, datos demográficos, estilo de vida y huella móvil de tus seguidores y los usuarios alcanzados por tus tuits.
Cards de twitter: Para publicar tuits más detallados y enfocados a nuestros objetivos.
Videos: Para ver los datos obtenidos por twitter Analytics sobre los resultados de los vídeos publicados en nuestro timeline.
Eventos y herramientas: la primera para analizar eventos que ya han sucedido y la segunda para promocionar y hacer un seguimiento de tus aplicaciones móviles.
Y tú, ¿aún no sabes usar Twitter Analytics para mejorar las estadísticas de tu perfil?</t>
  </si>
  <si>
    <t>_xD83C__xDF1F_ HERRAMIENTAS DE GOOGLE ► https://www.udemy.com/course/curso-de-google-suite-desde-cero-hasta-experto/?referralCode=2D26DB92D73A4EB2891A
_xD83D__xDD34_ VISITA NUESTRO BLOG:
► https://programacionfacilseoymarketing.blogspot.com
Curso SEO 2020 - Tutorial que detalla las 5 mejores herramientas SEO 2020. #PFSMCursoSEO #PFSM
_xD83D__xDD34_ ÚNETE AHORA ► https://www.youtube.com/channel/UCVm_KHSjL9cu2eXtVlqZgyQ/join
Para Negocios, Sponsor o Colaboraciones: 
► consultor.marketing29@gmail.com
WOORANK: https://www.woorank.com/es
SIMILARWEB: https://www.similarweb.com/
METRICSPOT: https://metricspot.com/
OPENLINKPROFILER: http://openlinkprofiler.org/
MAJESTIC: https://es.majestic.com/
***VÍDEOS QUE TE GUSTARÁN***
Curso de SEO y Posicionamiento en Google:
► https://www.youtube.com/watch?v=lOwtHyLh2aI&amp;list=PLlPtd7Uvyjnt8B8f0ZZpeWWlD5D422uoo
Cómo Poner mi Página Web en Google:
► https://www.youtube.com/watch?v=DUA4uSkxPhw&amp;list=PLlPtd7Uvyjnt8B8f0ZZpeWWlD5D422uoo
Cómo Posicionar una Web en Google:
► https://www.youtube.com/watch?v=-EW6INSFgcY&amp;list=PLlPtd7Uvyjnt8B8f0ZZpeWWlD5D422uoo
***REDES SOCIALES***
Like en Facebook: 
► https://www.facebook.com/programacionfacilseo
Sígueme en Twitter: 
► https://twitter.com/programcionseo
Espero te guste el vídeo, ponle "me gusta" y compártelo con tus amigos por Facebook y/o Twitter, de verdad que me ayudaría mucho y no olvides suscribirte, subo vídeos todos los días! ABRAZOS Y MUCHOS ÉXITOS.
Descargo de responsabilidad: Este vídeo se ofrece solamente con propósitos educativos y de formación. Asimismo en ningún caso este canal se hace responsable por daños o perjuicios ocasionados por las herramientas o sitios web recomendados en los tutoriales.
Toda la información proporcionada en el canal Programación Fácil, SEO y Marketing son para fines educativos, por lo cual no somos responsables de la utilización o de la finalidad de dicha información por parte de los usuarios.</t>
  </si>
  <si>
    <t>En este vídeo mostramos la realización de un analisis de sentimiento a través de la red social twitter, con la finalidad de ver los sentimientos de las personas de esta red social para determinar cuanto bien o mal se esta hablando sobre el tema de la leche gloria.</t>
  </si>
  <si>
    <t>Hoje vamos trabalhar com Gephi para análise de redes sociais, nesse vídeo exploramos um pouco do programa na prática, transformando planilhas em dados de rede, que podem ser utilizados por pesquisadores, pesquisadoras, profissionais e entusiastas de ciência de dados.
Promoção Kindle Unlimited – https://amzn.to/2JvmN5P
Site do Gephi - https://gephi.org/
Site do Java - https://www.java.com/pt_BR/download/
Planilha de Nós - http://pesquisaejogos.com.br/wp-content/uploads/2019/05/Tabela-de-Nós.csv
Planilha de Arestas - http://pesquisaejogos.com.br/wp-content/uploads/2019/05/Tabela-de-Arestas.csv
Imagem com resultado - http://pesquisaejogos.com.br/wp-content/uploads/2019/05/Resultado.png
Livros recomendados:
Análise Estrutural das Redes Sociais – https://amzn.to/2W4j5TA
Análise de Redes Para Mídia Social - https://amzn.to/2Yz7VHn
Nosso site é o: http://www.pesquisaejogos.com.br/
Nosso E-mail é o: contato@pesquisaejogos.com.br
Site: http://www.lijc.com.br/wp/
Facebook: https://www.facebook.com/LIJCEDUCACIONAL
Instagram: https://www.instagram.com/lijceducacionalLink 
Lattes do professor Jeferson Antunes – http://lattes.cnpq.br/1597168569510229</t>
  </si>
  <si>
    <t>Uso de filtros en Gephi para identificar a los actores y sus roles en las redes, mediante los atributos obtenidos con Netvizz y el cálculo de métricas del ARS.</t>
  </si>
  <si>
    <t>Para poder realizar el monitoreo de la actividad en un blog de Blogger o una página web con Google Analytics es necesario configurar esta herramienta e introducir el código de seguimiento en cada una de las páginas de interés. En este video te explicamos el paso a paso.</t>
  </si>
  <si>
    <t>Descripción de los archivos creados por Netvizz (.tab, archivos de texto separados por tabulador) y .gdf (Graph Data File) y cómo abrirlos con Wordpad y Gephi, respectivamente.</t>
  </si>
  <si>
    <t>En este Webinar vamos a aprender como hacer análisis de sentimiento en twitter y el ejemplo que utilizaremos aprovechará el auge que Apple ha creado con la eliminación del Jack 3.5 mm para los audiofonos corrientes. No te lo pierdas!</t>
  </si>
  <si>
    <t>Cómo conocer a tus Influencers en redes sociales con Análisis de Redes - #SocialancerWebinars
Si te ha resultado útil este vídeo, SUSCRÍBETE, compártelo en tus redes sociales o pulsa "Me gusta" en él. Iremos creando semanalmente más vídeos orientados a Social Media profesional y Negocios para ayudarte.
Si te interesa alguna temática de medios sociales, ¡dínoslo en los COMENTARIOS!
Puedes contactar directamente con el autor a través de francisco.rangel@autoritas.es.
En este vídeo aprenderás a identificar a tus influencers en redes sociales y a utilizar una herramienta gratuita, Gephi, que te permitirá generar grafos para ver los distintos niveles de influencia entre unos usuarios y otros, y entre unas comunidades y otras. 
Una sesión para aprender de verdad a conocer las relaciones que tienen tus competidores con los embajadores de sus marcas y aprovechar ese conocimiento para sacarles ventaja.
¿Tienes dudas o preguntas sobre cuestiones relacionadas con Social Media? Déjalas en los comentarios.
Si te ha gustado el vídeo, ¡COMPÁRTELO con tus colegas!
Si quieres más conocimiento sobre Social Media y marketing online, también puedes seguirnos en los siguientes canales:
- Blog: http://www.socialancer.com/suscripcion/
- YouTube: http://www.youtube.com/socialmediablogtv
- Facebook: http://www.facebook.com/socialancer
- Twitter: http://www.twitter.com/socialancer
- Google+: http://www.google.com/+socialancer</t>
  </si>
  <si>
    <t>Sesión práctica sobre cómo modificar el arreglo, distribución o topología de la red usando distintos algoritmos y parámetros, con el fin de mejorar la estética y utilidad del sociograma.</t>
  </si>
  <si>
    <t>Demostración de cómo obtener datos desde Facebook, mediante la app Netvizz, para aplicar métodos del Análisis de Redes Sociales.</t>
  </si>
  <si>
    <t>Map and report for the connections among the people who tweeted about #digiblogchat on 27 Feb 2018</t>
  </si>
  <si>
    <t>An introduction to the basics of text and data mining. To learn more about text mining, view the video "How does Text Mining Work?" here: https://youtu.be/xxqrIZyKKuk</t>
  </si>
  <si>
    <t>This video, shot for students at the end of the undergraduate social networks course at the University of Maine at Augusta, considers the relevance of abstract social network analytic skills in the context of a career.  As you can see from this brief discussion, the ability to chart relations in a systematic manner has application to work in a wide variety of occupational spheres.  The ability to conduct a social network analysis is an attractive asset for students moving on to the job market.</t>
  </si>
  <si>
    <t>This 7:20 video introduces the viewer to the software tool known as LIWC ('Luke'), aka the Linguistic Inquiry and Word Count program. This video is supported by the Centre for Human Evolution, Cognition and Culture, and its Cultural Evolution of Religion project, at University of British Columbia. The HECC website has accompanying instructional blog posts about the use of LIWC here http://www.hecc.ubc.ca/cerc/.</t>
  </si>
  <si>
    <t>This video is about how to view gephi file online</t>
  </si>
  <si>
    <t>Сегментация, вложенность, смысловая сортировка по запросу: Яндекс.Директ
https://www.vedium.ru/firmware/direct.xlsx
По ключевым фразам из intentions.xlsx построил разные графы
https://www.vedium.ru/firmware/graph.zip
+ Доклад Алексея Жукова «Семантическое ядро в 100 тыс. запросов.» от 2011 года
https://www.youtube.com/watch?v=CsZ63WApYqA
+ ТЗ на разработку первого сервиса кластеризации Алексея Жукова (aka Burunduk)
https://www.vedium.ru/firmware/burunduk.docx
+ Доклад Максима Бабенко «Алгоритмы на графах во внешней памяти»
https://www.youtube.com/watch?v=HStcwULI8CU
+ Укажите ваше имя и эл. почту для получения установщика NodeXL Basic
http://nodexlgraphgallery.org/Pages/RegistrationBasic.aspx
+ При ошибке установщика NodeXL добавить NodeXLGraphGallery.org в исключения.
http://www.smrfoundation.org/nodexl/installation/
____________________
Все тизеры, на страничке курса https://www.vedium.ru/firmware/</t>
  </si>
  <si>
    <t>In this tutorial, we will go over how to utilize LIWC software (http://liwc.wpengine.com/) to conduct content and sentiment analysis on your very own documents.
This is Part 2/2 of our video series showing how to scrape and analyze reddit comment threads.
For Part 1, follow the link: https://www.youtube.com/watch?v=yexxcrPC7U8&amp;feature=youtu.be</t>
  </si>
  <si>
    <t>This is an update of the original Gephi Quick Start Tutorial using the Les Miserables network. This is for Gephi 0.9. Slides to match this tutorial are at https://www.slideshare.net/golbeck/updated-gephi-quick-start-tutorial-for-v-09
Background: The original Gephi Quick Start Tutorial can be found at https://gephi.org/users/quick-start/
Things have moved or changed since it was made, so this tutorial uses their examples and slides but adds updates so you can find these features in version 0.9
I tried to use their originals as much as possible to preserve consistency. All credit for those slides goes to the Gephi creators.</t>
  </si>
  <si>
    <t>Elaboramos otras visualizaciones empleando los diferentes layouts que trae NodeXL</t>
  </si>
  <si>
    <t>شكرا للمشاهدة  
كود الايتم شوب YjY       
انستغرام https://www.instagram.com/yjyfaisal
قناة البث المباشر https://www.twitch.tv/ixxyjyxxi
للدعاية والاعلان xxyjyxx@diwangroup.com
لو مهتم اكثر بالقناة 
تويتر
https://twitter.com/xYjYx</t>
  </si>
  <si>
    <t>Learn how to post spreadsheets to social networks in this Microsoft Office Excel 2013 training video. Contact K Alliance for more info. ‪http://www.kalliance.com/‬ - 1.800.330.9111
Featured Instructor - Sheri Tingle
Course Duration: 16 Hours 43 Minutes
Link to Course: http://www.kalliance.com/desktop/microsoft/office/excel/2013/
Course Catalog: http://www.kalliance.com/catalog/
Request Your 7 Day Trial: http://www.kalliance.com/trial/
Twitter: ‪https://twitter.com/#!/K_Alliance
‬Facebook: ‪https://www.facebook.com/KAllianceTraining
Microsoft Office Excel 2013: New Features table of contents:
1.1 Importing Data into Excel
1.2  Exporting Data from Excel
1.3 Protecting Worksheets and Workbooks
1.4 Creating Surveys Using SkyDrive
1.5 Posting Spreadsheets to Social Networks
1.6 Recording and Running a Macro
1.7 Importing Data as a Table or Pivot Table Report
1.8 Using the Ribbon and Locating the Backstage
1.9 Setting up the Page Layout
1.10 Letting the Sum Button do the Math for You
1.11 Editing Formulas and Functions
1.12 Accessing Quick Analysis Tools
1.13 Removing Duplicate Records
1.14 Linking Data Between Worksheets
1.15 Adding Chart Titles and Legends
1.16 Sharing Workbooks</t>
  </si>
  <si>
    <t>En este tutorial discutiremos graficos para representar una sola variable continua (barras, histogramas, diagramas de caja).</t>
  </si>
  <si>
    <t>Usamos las funciones select() y filter() para iniciar el proceso de separar variables que aparecen en una misma columna</t>
  </si>
  <si>
    <t>Download Excel Start File: https://people.highline.edu/mgirvin/YouTubeExcelIsFun/ExcelDynamicChartsSeriesStartFile.xls
Download Excel Finished File: https://people.highline.edu/mgirvin/YouTubeExcelIsFun/ExcelDynamicChartsSeriesFinishedFile.xls
See how to use the IF function in a column to create a dynamic range for an area chart. Statistics Normal Distribution Area Chart with X values.
Standard Normal Distribution Area Chart Probability Theory Statistics.</t>
  </si>
  <si>
    <t>La segunda parte del video para leer hojas de calculo de Excel en R</t>
  </si>
  <si>
    <t>Check out my Blog: 
http://exceltraining101.blogspot.com
If you've create x y scatter charts, you'll probably like bubble charts. 
 In addition to the horizontal and vertical series of data, you can add a third series of data which will show the difference between variable 
 by varying the size (like the size of a circle or bubble). Check out the video to learn how to create a bubble chart and also using images or picture in the bubble instead of the colors. 
#exceltips
#exceltipsandtricks
#exceltutorial
#doughexcel
---------------------
Excel Training:
https://www.exceltraining101.com/p/training.html
Excel Books:
https://www.amazon.com/shop/dough</t>
  </si>
  <si>
    <t>http://www.funcionarioseficientes.es/
Hacer un gráfico de anillo con Excel no tiene mucha ciencia si manejas el programa a nivel básico, sin embargo hoy os traigo una evolución de este tipo de gráficos que se utiliza con frecuencia en las infografías y que no es tan evidente.
En el siguiente artículo aprenderás a hacer este tipo de gráficos para hacer informes elegantes, divertidos y útiles . Recuerda que, como de costumbre, tienes a tu disposición un tutorial en PDF, un video-tutorial y el propio archivo de Excel.
Más temas y trucos de otros programas y herramientas web en http://www.funcionarioseficientes.es/
Funcionarios eficientes es un Blog en el que comentamos herramientas ofimáticas, herramientas web 2.0, automatización de tareas, organización eficaz del tiempo, métodos, trucos, análisis, productividad, mejora continua, etc. Son numerosos los temas que abordamos con el ánimo de que podamos mejorar nuestro trabajo.
Creado bajo la Licencia de Creative Commons cualquier internauta podrá compartir, copiar, distribuir, ejecutar y comunicar públicamente nuestra obra.
Esperamos que estos contenidos sean de utilidad y contribuyan a difundir la idea de que las cosas siempre se pueden hacer mejor.
Por cierto, contamos con tus aportaciones.
Únete a mi red: https://www.facebook.com/pages/Funcionarios-Eficientes/259273387491245
Sígueme en: https://es.twitter.com/funcionariosefi
Mis vídeos en: https://www.youtube.com/user/FuncionariosEfi
Sitio Oficial: http://www.funcionarioseficientes.com/</t>
  </si>
  <si>
    <t>The basics of creating Excel dashboards
How to create a basic dashboard in Excel 2010 or Excel 2013.
Analise data easily using tables and slicers.
Learn the simple rules that allow a professionally useful dashboard.
The example shows a dashboard constructed for analysis of staff by a personnel department.
The file can be downloaded from http://unitedcomputerconsultants.weebly.com/excel.html</t>
  </si>
  <si>
    <t>Usamos las función  dir.create() para crear un subdirectorio de trabajo, en este caso, en una unidad de almacenamiento externo</t>
  </si>
  <si>
    <t>Tutorial de Excel que explica cómo crear tablas dinámicas en Excel, se explica para qué sirven, los elementos que la forman y cómo adaptarla a tus necesidades de forma rápida y sencilla.
_xD83D__xDCB3_ Donaciones voluntarias: https://bit.ly/2CMlsTx
_xD83D__xDD14_Suscríbete a Saber Programas: https://www.youtube.com/user/SaberProgramas?sub_confirmation=1
_xD83C__xDF1F_ Descárgate la plantilla en nuestra web: http://saberprogramas.com/excel-crear-tablas-dinamicas/
TWITTER: https://twitter.com/SaberProgramas
FACEBOOK: http://www.facebook.com/SaberProgramas
Tutorial que muestra cómo hacer una tabla dinámica en Excel. Tabla dinámica Excel 2013. Tabla dinámica Excel 2010.
Se ha utilizado " Microsoft Excel 2013" en español para este tutorial.
#MsExcel #TablasDinamicas #SaberProgramas</t>
  </si>
  <si>
    <t>In this video, produced for the undergraduate Analyzing Social Media course at the University of Maine at Augusta, we begin with a consideration of some of Kozo Sugiyama's rules for network graph visualization.  But we learn when we deal with real-world Twitter search networks that some of Sugiyama's straight and narrow rules are best when bent a bit.  Learn more about the social media certificate at the University of Maine at Augusta by visiting http://www.uma.edu/uma-social-media-certificate.html on the web.</t>
  </si>
  <si>
    <t>via YouTube Capture</t>
  </si>
  <si>
    <t>Dijkstra's Algorithm demo example on a directed graph, single-source shortest-paths algorithm finds the shortest path from a single source vertex to every other vertex in the graph.
ALGORITHMS
► Dijkstras Intro https://youtu.be/U9Raj6rAqqs
► Dijkstras on Directed Graph https://youtu.be/k1kLCB7AZbM
► Prims MST https://youtu.be/MaaSoZUEoos
► Kruskals MST https://youtu.be/Rc6SIG2Q4y0
► Bellman-Ford https://youtu.be/dp-Ortfx1f4
► Bellman-Ford Example https://youtu.be/vzBtJOdoRy8
► Floyd-Warshall https://youtu.be/KQ9zlKZ5Rzc
► Floyd-Warshall on Undirected Graph https://youtu.be/B06q2yjr-Cc
► Breadth First Search https://youtu.be/E_V71Ejz3f4
► Depth First Search https://youtu.be/tlPuVe5Otio
► Subscribe to my Channel https://www.youtube.com/channel/UC4Xt-DUAapAtkfaWWkv4OAw?view_as=subscriber?sub_confirmation=1
► Thank me on Patreon: https://www.patreon.com/joeyajames</t>
  </si>
  <si>
    <t>Explanation of Graphviz dot language to draw graphs. You can draw graphs, state diagrams, Critical Path Method (CPM), flowcharts, etc using dot language. For emacs there is an emacs graphviz dot mode. You can obtain the graphviz mode file from here: http://www.graphviz.org/Misc/graphviz-dot-mode.el.
To learn more about graphviz please check: http://www.graphviz.org/</t>
  </si>
  <si>
    <t>This video is a one-year follow-up to https://www.youtube.com/watch?v=An3Vqmm8Bqs -- a video in which we used NodeXL software to collect and visualize data regarding the Twitter hashtag for Maine politics, #mepolitics.  This time around, we consider what visualization techniques do and don't work for social media networks of around 500 nodes, including labels, images, color and opacity.  This how-to video is designed to help prepare students for independent research projects in the undergraduate Analyzing Social Media course at the University of Maine at Augusta.</t>
  </si>
  <si>
    <t>Intro to our new book and the network analysis and visualization tool NodeXL featured in it.</t>
  </si>
  <si>
    <t>Intermember relations define the connections linking one member to another. These connections might be based on attraction (who likes whom), influence (who influences whom), communication (who talks to whom), or some other social process, which combine to determine the groups social network of relationships.</t>
  </si>
  <si>
    <t>Hoi,
Vanuit Meurs HRM hebben we een visualisatietool ontwikkeld genaamd Challenger. Hiervan hebben we ook een facebook app ontwikkeld om je netwerk te visualiseren. Omdat er vooralsnog weinig documentatie is, heb ik een filmpje met uitleg gemaakt. Wil je meer weten over Challenger? Kijk dan op http://www.q1000.ro/challenger/. Leuk weetje: Challenger heeft een award gewonnen tijdens GD2011 (http://www.win.tue.nl/GD2011/).</t>
  </si>
  <si>
    <t>Presentation by Drew Conway on August 6, 2009 at the NYC R Statistical Programming Meetup on how to perform basic social network analysis in R using the igraph package. Part 1/3</t>
  </si>
  <si>
    <t>Network Analysis helps urban planners, designers, and policy makers explore the dynamics and complexities of social networks and organizations. This course demonstrates the ways you can use the open-source Gephi software to visualize and analyze online social networks. The modules focus on real-time, "big-data" driven municipalities engaging with the public via Facebook. This course includes analysis of a Facebook group created for disaster recovery purposes after Superstorm Sandy. As part of this course, you will learn how to find potential stakeholders or various groups and sub-groups in online networks. You will also learn how to analyze and visualize network behavior. 
This chapter introduces the Gephi software and explains the power that Gephi gives planners, designers, and policy-makers.
Sign up for an affordable subscription and watch the full course: https://courses.planetizen.com/course/gephi-network-analysis</t>
  </si>
  <si>
    <t>Presented at IEEE InfoVis 2007, by Nathalie Henry, Jean-Daniel Fekete, and Michael J. McGuffin.  For more information, see http://profs.etsmtl.ca/mmcguffin/research/#henry_infovis2007</t>
  </si>
  <si>
    <t>The network of participants in open source projects can be mapped and visualized using social network analysis. This visualization can identify the key participants involved in various clusters that make up the project, providing a map of how individuals are collaborating to fulfill tasks. The information can be used to identify key members such as knowledge brokers, help better integrate peripheral members, and facilitate locating experts or possessors of relevant tacit knowledge. I will discuss a case study of the TikiWiki open source community comparing (1) the traditional approach of analyzing mailing list exchanges, and (2) a more interesting analysis of the wiki used by the community.</t>
  </si>
  <si>
    <t>Infomotion over Social Media in Nederland in cijfers.
Met up-to-date inzichten in:
- Imago van Social Media onder publiek en professionals;
- Nut &amp; ergenissen onder gebruikers;
- Bekendheid van de diverse platformen;
- Gebruik &amp; bereik van Social Media;
- Verwachtingen &amp; intensies in de nabije toekomst.
Meer weten?
Neem dan contact op via info@newcomresearch.nl of kijk op http://newcomresearch.nl/socialmedia/</t>
  </si>
  <si>
    <t>Download NodeXL: http://nodexl.codeplex.com/releases/view/117659</t>
  </si>
  <si>
    <t>This video accompanies a blog post, www.harkive.org/datcolzap, that discusses how to collect data from several different online channels and then write this data to a single database.</t>
  </si>
  <si>
    <t>Introduction to network science. Complex networks. Examples. Main properties. Scale-free networks. Small world. Six degrees of separation. Milgram study.
Lecture slides: http://www.leonidzhukov.net/hse/2015/networks/lectures/lecture1.pdf</t>
  </si>
  <si>
    <t>Step by Step Tutorial for Dynamic Network Modeling using Epimodel, which is an R Package for Mathematical Modeling of Infectious Diseases over Network.</t>
  </si>
  <si>
    <t>Tutorial 2: Import networks
Social Network Analysis Using Stata
http://nwcommands.org
Thomas Grund
IAS, Linköping University
http://www.grund.co.uk</t>
  </si>
  <si>
    <t>Please view the full copyright statement at: http://public.dhe.ibm.com/software/data/sw-library/services/legalnotice.pdf</t>
  </si>
  <si>
    <t>Download the Social Media Dashboard from 
https://indzara.com/2016/09/social-media-dashboard-metrics-excel-template/
This Social Media Dashboard (Excel Template) is designed to consolidate metrics across multiple Social networks such as Facebook, Twitter and YouTube and present in a single-page dashboard. If you are trying to create a monthly view of business impact of content posted across all the social networks by your business, then download this free template to create an instant monthly dashboard. 
This template does not automate the data collection process. Once we are able to compile the monthly aggregated data from the different social networks, we can use this template to instantly build the dashboard as shown below.
FEATURES OF SOCIAL MEDIA DASHBOARD
The Social Media Dashboard template has the following features
Add up to 8 social media channels. Choose only ones relevant to your business.
Designed for Facebook, Twitter, Google+, YouTube, Blog, LinkedIn, Pinterest and Instagram
7 social media metrics (Audience, Activity, Applause, Amplification, Conversation, Conversion and Revenue)
Choose to display metrics as either absolute volumes or rate per activity
Add each month’s data and store all data in one file
Automatically calculates Month over Month (MOM) change %
Control alerts by setting thresholds on each metric
Alerts highlight only metrics which exceed thresholds (with red or green arrows)
Dashboard displays large numbers with M (millions) or K (thousands) for better readability
INSTRUCTIONS (HOW TO USE SOCIAL MEDIA DASHBOARD)
The template is very easy to use.
Step 1: Choose the social networks to include in dashboard
Check the boxes next to social networks you would like to display in the dashboard. 
Step 2: Set Thresholds for change in metrics
Before we talk about these thresholds, let’s discuss the metrics the dashboard presents.
Audience: Number of Fans/Followers/Page Likes (depending on the network)
Activity Number of Posts/Updates
Applause: Number of Likes; Applause Rate: Average number of Likes per Activity
Amplification: Number of Shares; Amplification Rate: Average number of Shares per Activity
Conversations: Number of Comments; Conversation Rate: Average number of Comments per Activity
Conversions: Number of Conversions; Conversion Rate: Average number of Conversions per Activity
Revenue: Total Revenue Generated; Revenue per Activity: Revenue generated per Activity
Why thresholds?
When we display the Month over Month change for each metric, the dashboard can become very distracting with a lot of numbers.
The purpose of the dashboard is to allow us to focus only on metrics that require our attention and action.
So we use thresholds to only flag metrics that exceed our thresholds. Once a certain metric’s month over month (MOM) change exceeds the threshold in positive direction, Green arrows appear on dashboard. If the change exceeds the threshold in negative direction, Red arrows appear on the dashboard.
The metrics that are within the thresholds are grayed out so that they do not distract us from the action-required metrics.
Step 3: Enter monthly data for social media channels in DATA sheet. Data for all the 8 social networks are stored in the same table. You can add a new row for each month. (How to enter data in Excel Tables?)
Step 4: View DASHBOARD sheet
Now that we have entered our data, we can view the Dashboard in the DASHBOARD sheet.
Change Month drop down to view stats for that month
Change Metric type to show absolute volumes or rate per activity
For example, if there are 200 conversations from 10 Facebook posts in Mar 2016, 200 is the absolute volume of Conversations and 200/10 = 20 is the Conversation Rate. 
Print or share DASHBOARD sheet as PDF, if needed
The Dashboard sheet is set up as print-friendly. Using the in-built Excel features, we can either print the sheet or export to PDF and share with our colleagues or clients.
If you find the template useful, please share with your friends. If you have any suggestions to improve the template, I would love to hear from you. Please post your thoughts in the comments. 
Simple and Effective Excel Templates: http://indzara.com/
Free Excel Templates: http://indzara.com/free-excel-templates/
Premium Excel Templates: http://indzara.com/shop/
Small Business Management Templates: http://indzara.com/small-business-excel-templates/
Project Management Templates: http://indzara.com/project-management-excel-templates/
HR Templates: http://indzara.com/hr-excel-templates/
Personal Finance Templates: https://indzara.com/personal-finance-free-excel-templates/
Free Excel Course: http://indzara.com/useful-excel-for-beginners/
Social:
Subscribe to YouTube: http://www.youtube.com/user/theindzara?sub_confirmation=1 
Facebook: https://www.facebook.com/theindzara
YouTube: https://www.youtube.com/user/theindzara
LinkedIn: https://www.linkedin.com/company/indzara 
Twitter: https://www.youtube.com/user/theindzara</t>
  </si>
  <si>
    <t>CA Final Costing | Network Analysis-CPM &amp; PERT
CA. Parag Gupta sir explaining the basics of Network Analysis -CPM &amp; PERT (Operations Research/Quantitative techniques) &amp; its use in real life. Also in the same video, he is guiding a very simple way of using logarithm &amp; antilogarithm tables.
Really a must watch the video if you want to simplify the subject of AMA-Costing &amp; O.R./Q.T.
CA. Parag Gupta best faculty of Advanced Management Accounting (i.e. Costing &amp; O.R./Q.T.) across India.
Did you like our video? Give it a Thumbs-up!
Subscribe to our channel and Share this Video if you like it!
https://bit.ly/2rB9p5l
You can visit our website-
Website- http://paraggupta.com/
                 http://studybytech.com/
Or Follow Us On
Facebook- 
                https://www.facebook.com/Parag.Gupta....
                https://www.facebook.com/StudyByTech/
Telegram- https://t.me/joinchat/LCfCJRBcTOPkYT6...
Whats app- 9968875529
Instagram-https://www.instagram.com/studybytech/
Twitter-   https://twitter.com/StudyByTech
Linkedin- https://www.linkedin.com/company/stud...
Pinterest-https://in.pinterest.com/studybytech/
#cpm #networkanalysis #pert</t>
  </si>
  <si>
    <t>Recorded with http://screencast-o-matic.com</t>
  </si>
  <si>
    <t>Dağhan Irak, Node XL ile elde edilen Twitter verisini Gephi ile işliyor.</t>
  </si>
  <si>
    <t>Sentiment Analysis using Microsoft Azure Machine Learning  in excel 2016
Please click below link to get sample data 
https://www.kaggle.com/c/si650winter11/d</t>
  </si>
  <si>
    <t>Networks can be viewed at three levels: the vertex, the group and the graph. Get insights at each level of your network with NodeXL.
#ThinkLink #SNA #BigData #DataVis #SMM #InfoVis #marketing #digitalmarketing #socialmedia #influencermarketing</t>
  </si>
  <si>
    <t>相關軟體：MS Excel、NodeXL</t>
  </si>
  <si>
    <t>SÍGUENOS EN NUESTROS INSTAGRAM: 
https://www.instagram.com/tucosmopolis_oficial/?hl=es-la
Si te late TuCOSMOPOLIS te van a encantar los nuevos canales...
CHICAS COSMO
https://www.youtube.com/channel/UCqaeiJRfjlDE-A1RYhYeXaw
ELLA DICE
https://www.youtube.com/channel/UCH3P5m6Y7e_RaiPa6F3uZfA 
AniMeMaNiAcOs
https://www.youtube.com/channel/UC9wkMFa2SFK9ArlgSkuwprg
Archivos Miedo
https://www.youtube.com/channel/UCmIKpIgAbZ76Lts9c7QonXQ
COSMOPOLIS CINE
https://www.youtube.com/channel/UCztBECmIMzSGHNyVaWh19ug
CHICO VIRAL
https://www.youtube.com/channel/UCPfLruROn4r_sfBQYZIe5OA
WORLD CÓMICS
https://www.youtube.com/channel/UCf3FHFyaoIANdlbJ_hmfAaw
MarcoAntonioC
https://www.youtube.com/channel/UC9YhG7EIYz4IJpcnwMYt0JA
CONFESIONES
https://www.youtube.com/channel/UCPGc7JAoL5uer1ujeYhFfeQ
DIBUJOS DE TERROR
https://www.youtube.com/channel/UCW2txsxMhJ4ye1mY8diR3Zw
Gracias por todo su apoyo...
Es muy importante que te suscribas  ¡YEAH!!
#TENDENCIAS  #TuCOSMOPOLIS 
Ya somos más de  14.9 M almas suscritas y unidas en TuCOSMOPOLIS 15,001,791</t>
  </si>
  <si>
    <t>大纲
一、专文引用格式要求范例
二、软件下载及安装
三、Word插件安装
四、新建条目/题录
五、添加脚注示范
六、添加参考书目示范
"在脚注中添加其它解释性文字"这一步忘了讲了。其实这一步是最简单的，直接在整条参考文献的前面后者后面输入文字即可。
还有最后关于第一手资料有一点更正：以Josephus为例，名字的斜体在Zotero中编辑Bibliography的时候就可以更改了。这样便不需要在Word里修改。
刚刚安装好的Zotero可能没有SBL脚注格式。请打开Zotero→工具→选项→Cite→"获取更多样式"，在打开的网页中，找到" Society of Biblical Literature (Full Note) [Install]",点[Install]安装即可。
注意：有个别技巧可能已经过时了。比如现在不建议把条目的 Title 从 Sentence  case 变成 Title case，因为现在 Zotero 会自动根据你选择的 Style 需要进行调整。</t>
  </si>
  <si>
    <t>Netlytic's tutorial on how to import data from Twitter. 
Website: https://netlytic.org
----------------------------------------­----------------------------------------­-------------
Works Cited:
TikiGiki. (2012). People Silhouette 1. Retrieved from https://openclipart.org/detail/173496/people-silhouette-1
Twitter. (n.d.). Retrieved March 11, 2015, from http://en.wikipedia.org/wiki/Twitter 
Twitter Bird Logo. (n.d.). Retrieved March 1, 2015, from http://en.wikipedia.org/wiki/File:Twitter_bird_logo_2012.svg
Twitter Logo. (n.d.). Retrieved March 3, 2015, from  http://commons.wikimedia.org/wiki/File:Twitter_logo_initial.png</t>
  </si>
  <si>
    <t xml:space="preserve">Marc A. Smith is a Sociologist, Director of the Social Media Foundation, and Contributor to the NodeXL Project. He shares with the Relationship Mapping work group how he has used NodeXL for social media network analysis and visualization for the Social Media Foundation and for his clients at Connected Action Consulting. </t>
  </si>
  <si>
    <t>How to Install Add In to Microsoft Excel 2010 or 2013, this video explains it better for you for more details follow the link below,
http://www.excelguardian.com/excel/how-to-remove-all-hyperlinks-in-a-worksheet/
and this video shows the functionality of COUNTCOLOR function by www.excelguardian.com</t>
  </si>
  <si>
    <t>三星課程網
http://www.tutortristar.com</t>
  </si>
  <si>
    <t>Just ahead of Father's Day, Jimmy reads his favorite tweets with the hashtag #DadQuotes.
Subscribe NOW to The Tonight Show Starring Jimmy Fallon: http://bit.ly/1nwT1aN
Watch The Tonight Show Starring Jimmy Fallon Weeknights 11:35/10:35c
Get more Jimmy Fallon: 
Follow Jimmy: http://Twitter.com/JimmyFallon
Like Jimmy: https://Facebook.com/JimmyFallon
Get more The Tonight Show Starring Jimmy Fallon: 
Follow The Tonight Show: http://Twitter.com/FallonTonight
Like The Tonight Show: https://Facebook.com/FallonTonight
The Tonight Show Tumblr: http://fallontonight.tumblr.com/
Get more NBC: 
NBC YouTube: http://bit.ly/1dM1qBH
Like NBC: http://Facebook.com/NBC
Follow NBC: http://Twitter.com/NBC
NBC Tumblr: http://nbctv.tumblr.com/
The Tonight Show Starring Jimmy Fallon features hilarious highlights from the show including: comedy sketches, music parodies, celebrity interviews, ridiculous games, and, of course, Jimmy's Thank You Notes and hashtags! You'll also find behind the scenes videos and other great web exclusives.
Hashtags: #DadQuotes
http://www.youtube.com/fallontonight</t>
  </si>
  <si>
    <t>Tips and Tutorials Video #1
How to find the all important # on a mac!</t>
  </si>
  <si>
    <t>Our Excel training videos on YouTube cover formulas, functions and VBA. Useful for beginners as well as advanced learners. New upload every Thursday.
For details you can visit our website:
http://www.familycomputerclub.com
You can create a custom function and then convert it nto an add-in for regular use to save time.
http://www.youtube.com/watch?v=K4F4m7lcPx8</t>
  </si>
  <si>
    <t>TFI - English from the house of 'The Frustrated Indian' - India's most loved social media brand is global politics through India's lenses. Follow us for sharp analysis of Indian and global politics.
Follow the website - https://tfipost.com/
Follow the Facebook Page - https://www.facebook.com/tfipost/
Follow us on Twitter - https://twitter.com/tfipost</t>
  </si>
  <si>
    <t>Remember to check out my other channels &amp; subscribe!!!</t>
  </si>
  <si>
    <t>SUBSCRIBE!
https://www.youtube.com/channel/UCBcNUiP2wqZNHUwXB79mC8A
Ream more details on Gil's Blog - http://datachant.com/2016/10/20/analyze-facebook-groups-power-bi/
Live Power BI Demo - Facebook &amp; Sentiment Analysis By Gil Raviv, Blogger @ DataChant.com, Consultant @ PowerPivotPro
| Online | Thursday | 20th October 2016 |EST 2.30 AM to 3.30 PM |
In this live demo you will learn how to harness Power BI to build powerful social analytic tools for your Facebook brand and your competitors.
With zero server side development, IT help or data scientist friends, we will embark in an unbelievable journey into the realms of public Facebook data, free sentiment analysis APIs, and stunning dashboards.
Win FREE Dashboards: 3 attendees that will attend the live session, we win a set of Power BI dashboards that analyzes their Facebook Page.
Connect with us! 
Facebook Group (750 + Active member)- http://bit.do/pbifb 
Twitter (@GlobePUG) - https://twitter.com/globepug
LinkedIn (1000 + Active member) - http://bit.do/pbiln    
YouTube - http://bit.do/ytgpbi 
Official Power BI Community page - http://bit.do/pbiug 
Weekly Power BI news - http://powerbi.news
Udemy Free Course - http://bit.do/pbiu</t>
  </si>
  <si>
    <t>Little demonstration video for setting up TAGS v6.0. The key improvement is once you've authenticated once you can create new archives without authenticating again. To get TAGS visit http://tags.hawksey.info</t>
  </si>
  <si>
    <t>This video shows you hope to create a "Group in a box" output in NodeXL. I also demonstrate how to identify influencers and how to create sub-graphs.</t>
  </si>
  <si>
    <t>NetworkX is a Python library for studying graphs and networks. NetworkX is free software released under the BSD-new license. This video will introduce this library with simple examples.
Networkx Installation https://www.youtube.com/watch?v=BpvI2...
Matplotlib installation https://www.youtube.com/watch?v=H69S2...</t>
  </si>
  <si>
    <t>Subscribe Now:
http://www.youtube.com/subscription_center?add_user=Ehowtech
Watch More:
http://www.youtube.com/Ehowtech
Making a floorplan in Microsoft Excel is a lot easier than you probably think it's going to be. Find out how to make a floorplan in Excel with help from a mechanical engineer with 32 years of experience in this free video clip.
Expert: Edward Russell
Filmmaker: Patrick Russell
Series Description: Microsoft Excel is a powerful database and spreadsheet tool that is an important part of the Microsoft Office productivity suite of software. Get tips on how to best use Microsoft Excel to its full potential with help from a mechanical engineer with 32 years of experience in this free video series.</t>
  </si>
  <si>
    <t>This is the third of four videos focusing on Eigenvector Centrality and Pagerank. It is based on Gephi and its use in analysing social networks. This particular video will demonstrate the eigenvector centrality calculations in Gephi.</t>
  </si>
  <si>
    <t>The reddit data is beautiful competition uses information about astronauts. I references this tutorial in the video: http://jonathansoma.com/lede/algorithms-2017/classes/networks/networkx-graphs-from-source-target-dataframe/</t>
  </si>
  <si>
    <t>This is the second of 3 vlogs which demonstrates the process of creating  your social network in a Spreadsheet then uploading it into Gephi. It covers some of the obstacles you may meet and how to overcome them. The import here is a XLS file.</t>
  </si>
  <si>
    <t>Working with Gephi, How to load data, how to do partition by node attribute, how to check statistics metrics.</t>
  </si>
  <si>
    <t>In this tutorial, we will try multiple layouts available in Gephi. We will take a look at force-directed and attributed layouts.
Detailed tutorial: https://blog.miz.space/tutorial/2020/01/05/gephi-tutorial-layouts-force-atlas-circle-pack-radial-axis/
This tutorial is prepared for a lecture on data visualization for EE-558 A Network Tour of Data Science course (2019 Fall semester). 
https://edu.epfl.ch/coursebook/en/a-network-tour-of-data-science-EE-558</t>
  </si>
  <si>
    <t>This is a continuation of my Top 25 Excel 2016 Tips &amp; Tricks.  It includes more advanced features and some additional tricks to help you become more productive using Excel and Office 365. 
Check out the original Excel 2016 video at https://youtu.be/EdnAeqxqdzM.
Another 15 Excel 2016 Tips 7 Tricks: https://youtu.be/L9SKTj2gevA
Support me with your Amazon purchases, click here: https://amzn.to/2Kxp533
Contents:
1. Advanced Transpose 0:39
2. Calendar Picker 1:38
3. Slicers 3:05
4. Scenario Manager 4:22
5. CONVERT Function 7:09
6. Convert Currency Live 8:03
7. Hide Cells 10:14
8. Remove Blanks 10:48
9. People Graph 11:17
10. Track Changes 12:40
11. Advanced Filter 15:10
12. Analysis Tools 17:52
13. NETWORKDAYS Function 18:51
14. Embedding 19:38
15. Advanced Select 20:50</t>
  </si>
  <si>
    <t>This is the first of four videos focusing on Eigenvector Centrality and Pagerank. It is based on Gephi and its use in analysing social networks.</t>
  </si>
  <si>
    <t>This is a simple overview of how to perform thematic / content analysis using the new (2019) NVivo 12 software.</t>
  </si>
  <si>
    <t>Polinode and the Social Media Research Foundation recently announced an integration between NodeXL Pro and Polinode’s Networks product. Polinode Networks is a tool for visualising and analysing network data in a web-browser. NodeXL Pro is an Microsoft Office Excel add-in that performs advanced social network analysis with the ability to connect directly to many social networks including Facebook, Twitter and YouTube.
In this video, Marc Smith, Co-Founder of the Social Media Research Foundation, and Andrew Pitts, Founder &amp; CEO of Polinode, run a joint webinar where they provided some background and demonstrated the integration live.
Marc and Andrew cover:
1. A brief introduction to NodeXL and Polinode;
2. How to create a network in NodeXL and export it to Polinode. 
3. Analysing that same network in Polinode and sharing it with other users; 
4. Some Q&amp;A and discussion with the webinar attendees.
The live network from the demo is available at: http://bit.ly/polinodeNodeXLDemo.</t>
  </si>
  <si>
    <t>#osint #Twitter
https://github.com/twintproject/twint
An advanced Twitter scraping &amp; OSINT tool written in Python that doesn't use Twitter's API, allowing you to scrape a user's followers, following, Tweets and more while evading most API limitations. 
Installing
Git:
git clone https://github.com/twintproject/twint.git
pip3 install -r requirements.txt
Pip:
pip3 install twint
CLI Basic Examples and Combos
A few simple examples to help you understand the basics:
    twint -u username - Scrape all the Tweets from user's timeline.
    twint -u username -s pineapple - Scrape all Tweets from the user's timeline containing pineapple.
    twint -s pineapple - Collect every Tweet containing pineapple from everyone's Tweets.
    twint -u username --year 2014 - Collect Tweets that were tweeted before 2014.
    twint -u username --since 2015-12-20 - Collect Tweets that were tweeted since 2015-12-20.
    twint -u username -o file.txt - Scrape Tweets and save to file.txt.
    twint -u username -o file.csv --csv - Scrape Tweets and save as a csv file.
    twint -u username --email --phone - Show Tweets that might have phone numbers or email addresses.
    twint -s "Donald Trump" --verified - Display Tweets by verified users that Tweeted about Donald Trump.
    twint -g="48.880048,2.385939,1km" -o file.csv --csv - Scrape Tweets from a radius of 1km around a place in Paris and export them to a csv file.
    twint -u username -es localhost:9200 - Output Tweets to Elasticsearch
    twint -u username -o file.json --json - Scrape Tweets and save as a json file.
    twint -u username --database tweets.db - Save Tweets to a SQLite database.
    twint -u username --followers - Scrape a Twitter user's followers.
    twint -u username --following - Scrape who a Twitter user follows.
    twint -u username --favorites - Collect all the Tweets a user has favorited (gathers ~3200 tweet).
    twint -u username --following --user-full - Collect full user information a person follows
    twint -u username --profile-full - Use a slow, but effective method to gather Tweets from a user's profile (Gathers ~3200 Tweets, Including Retweets).
    twint -u username --retweets - Use a quick method to gather the last 900 Tweets (that includes retweets) from a user's profile.
    twint -u username --resume resume_file.txt - Resume a search starting from the last saved scroll-id.
Attribuzione Audio NoCopyRightSound.
https://www.youtube.com/watch?v=t2Ti8d992RM Disclaimer:
All information contained in this site and all software provided by it are intended solely for the purpose of helping users to secure their online privacy from eventual cyberattacks. Such information and software do NOT constitute professional advice/services, are indicative and provided for educational use only. The site does not guarantee their accuracy or completeness. The use of such information and software for any purpose other than the abovementioned is strictly forbidden. The site and/or the site’s owner(s) hold no responsibility for any misuse of the above by third parties and reserve their rights to ban the access of users or take any legal action against users, should any misuse be noticed.</t>
  </si>
  <si>
    <t>This video will show you how to open stanford facebook dataset in gephi tool.</t>
  </si>
  <si>
    <t>An overview of network insights into the connections among users who tweeted about #DigiCroatia</t>
  </si>
  <si>
    <t>Twitter Network Analysis: #APSA2016 on Day 1 and Day 2 of the 2016 American Political Science Association conference</t>
  </si>
  <si>
    <t>the easiest way to connect power BI with Twitter API
Twitter Developer : https://developer.twitter.com
Postman : https://www.getpostman.com
Used API : https://developer.twitter.com/en/docs/tweets/timelines/api-reference/get-statuses-user_timeline
Get Twitter ID : http://gettwitterid.com</t>
  </si>
  <si>
    <t>Polinode is a tool for collecting information on relationships between people. For example, who works with whom? Who do people go to for advice? And any other question you like. With a powerful survey tool to collect the data and integrated visualization and analysis functionality to explore the network data, Polinode aims to help organizations and non-profits cut through complexity. Go to https://www.polinode.com to signup for free!</t>
  </si>
  <si>
    <t>In this tutorial we walk through creating a survey from scratch.</t>
  </si>
  <si>
    <t>Some tips for editing from @mihkal</t>
  </si>
  <si>
    <t>In this short video we aim to get you up and running with creating relationship-based surveys in Polinode quickly.</t>
  </si>
  <si>
    <t>In this tutorial we upload a network and walk through all of the interactive functionality that Polinode provides including metrics, layers, views and a lot more.</t>
  </si>
  <si>
    <t>This walkthrough video about connecting the social network analysis software package NodeXL to the social media platform Twitter can afford to be brief because connecting the two is a very brief, relatively simple process. Follow along with me and you'll see how painless the process can be.</t>
  </si>
  <si>
    <t>In this Python tutorial, the Tweepy module is used to stream live tweets directly from Twitter in real-time. The tweets are visualized and then the TextBlob module is used to do sentiment analysis on the tweets.
_xD83D__xDCBB_Code: https://github.com/vprusso/youtube_tutorials/tree/master/twitter_python
⭐️ Contents ⭐️
⌨️ (00:06) Streaming live tweets
⌨️ (23:17) Cursor and pagination
⌨️ (43:28) Analyzing tweet data
⌨️ (1:03:16) Visualizing tweet data
⌨️ (1:20:18) Sentiment analysis
_xD83D__xDD17_Tweepy Website:http://www.tweepy.org/
_xD83D__xDD17_Cursor Docs: http://docs.tweepy.org/en/v3.5.0/cursor_tutorial.html
_xD83D__xDD17_API Reference: http://docs.tweepy.org/en/v3.5.0/api.html
Tutorial from Vincent Russo of Lucid Programming. Check out his YouTube channel: http://bit.ly/lucidcode
_xD83D__xDC26_Vincent on Twitter: @captainhamptons
--
Learn to code for free and get a developer job: https://www.freecodecamp.org
Read hundreds of articles on programming: https://medium.freecodecamp.org
And subscribe for new videos on technology every day: https://youtube.com/subscription_center?add_user=freecodecamp</t>
  </si>
  <si>
    <t>Revealing the community grouping pattern of Twitter users in a conversation about a topic. Network is generated based on Retweet relationship between users.
Case study:
Twitter accounts of @anisbaswedan (Minister of Education and Culture of Indonesia) and @susipudjiastudi (ndonesian Maritime and Fisheries Minister)</t>
  </si>
  <si>
    <t>New version: https://www.youtube.com/watch?v=BQMk21YD2nA
Sentiment Analysis and Text Analytics Add-In for Excel https://text2data.com
Simple and powerful tool for Analysts and BI developers.
Incorporate advanced NLP, Machine Learning services into your daily work tool, no programming required!</t>
  </si>
  <si>
    <t>Link To Code:
https://github.com/ritvikmath/ScrapingData/blob/master/Scraping%20Twitter%20Data.ipynb
Create New Twitter App:
https://apps.twitter.com/app/new
Download Anaconda:
https://www.anaconda.com/download/
Twitter Operators:
https://developer.twitter.com/en/docs/tweets/rules-and-filtering/overview/standard-operators.html
Tweepy Documentation:
http://docs.tweepy.org/en/v3.5.0/</t>
  </si>
  <si>
    <t>This brief video assumes that you have already installed the social network analysis plugin NodeXL (if you haven't, see http://www.youtube.com/watch?v=1yCjhTuLA1o online) and are interested in entering edge lists and making some elementary visualization choices.  The video is intended for an introductory undergraduate audience, but should also be useful for the generalist who wants to get started in visualizing social networks but who doesn't have a deep methodological grounding.</t>
  </si>
  <si>
    <t>This video from Associate Professor of Sociology James Cook provides a brief orienting introduction to the Social Science capstone course at the University of Maine at Augusta for the Spring 2020 semester.</t>
  </si>
  <si>
    <t>This video is a very basic introduction to the use of R in conjunction with the package igraph to take a social network, describe it in the form of an edge list, and generate an image of a network graph. This is intended to be a beginner's video for those entering into the use of R and igraph for the first time, not an encyclopedic reference.  Produced for the social science program at the University of Maine at Augusta.</t>
  </si>
  <si>
    <t>In the social sciences, we often study outcomes associated with the environmental context in which a person lives. Environmental effects can be difficult to see across the long span of a person’s life, but they more easily become apparent in the short season of a Maine garden. Come into the garden to see the drastic effect of local conditions on individual outcomes, even under conditions of genetic sameness.</t>
  </si>
  <si>
    <t>This video contains tips on the content, organization, and style of effective academic presentations with an emphasis on slide organization and screen-in-screen style for distance presentation.  Recorded for the University of Maine at Augusta social science program.</t>
  </si>
  <si>
    <t>On June 1, 2020, hundreds of people from across mid Coast Maine assembled in the town of Rockland to voice their support for the message that Black Lives Matter and to demonstrate for justice for George Floyd.  After meeting in Chapman Park and kneeling in silence for 9 minutes, protesters marched down Main Street in cooperation with the Rockland Police Department.  This is video footage from that march.</t>
  </si>
  <si>
    <t>三星課程網www.tutortristar.com
演講主題:看不見的消費者-社群行銷,臉譜偵測,文字探勘,語意分析
-集客術與分析工具NodeXL與NVivo10
日期:20140104
講者:三星統計林崑峯</t>
  </si>
  <si>
    <t>_xD83D__xDC49_ The new MAXQDA 2020 is here! 
Experience the new and enhanced features in our free 14-day trial: https://www.maxqda.com/trial
- - - - - - - - - - - - - - - - - - - - - - - - - - - - - - - - - - - - - - - - - - - - - - - - - - - - - - - - - - - - - - - - - - - - - - - - - - - - - - - - - -
MAXQDA allows you to import data directly from Twitter and analyze this data using known MAXQDA tools. Using advanced options, you can search for tweets and selected hashtags, usernames or terms, and import these into your MAXQDA project.
A notable feature is that you can automatically code the tweets with up to 100 author names and with up to 100 hashtags during the import process and later if necessary. This automatic coding function is an advantage for researchers, as it saves a great deal of time in preparatory work that can be allocated instead to the actual analysis.
The features described are available in MAXQDA Standard, MAXQDA Plus and MAXQDA Analytics Pro. MAXQDA Base users may find a limited range of functionality in their product.</t>
  </si>
  <si>
    <t>Includes working with r for,
- getting tweets from twitter
- saving data in a csv file
- getting worldwide and local twitter trends
- getting user timeline
Machine Learning videos: https://goo.gl/WHHqWP
R is a free software environment for statistical computing and graphics, and is widely used by both academia and industry.  R software works on both Windows and Mac-OS. It was ranked no. 1 in a KDnuggets poll on top languages for analytics, data mining, and data science. RStudio is a user friendly environment for R that has become popular.</t>
  </si>
  <si>
    <t>Tutorial on how to download twitter data into R. Link to code below. Brackets aren't allowed in YouTube descriptions (which means I can't include the R code in here, link to code - http://storybydata.com/get-twitter-data-into-r-tutorial/</t>
  </si>
  <si>
    <t>More Twitter API Info: https://stevesie.com/apps/twitter-api
Twitter API: https://developer.twitter.com/en/docs/basics/getting-started
Twitter Bearer Token Generation: https://developer.twitter.com/en/docs/basics/authentication/guides/bearer-tokens
Jupyter Notebook: https://github.com/Stevesie/jupyter-notebooks/blob/master/Twitter%20Followers%20-%20Trump%20vs.%20Obama.ipynb
Learn how to use the Twitter API for collecting public data from Twitter! We'll walk through step-by-step in this tutorial to show you exactly what you need to get started and access data with an authorization token.</t>
  </si>
  <si>
    <t>For complete professional training visit at https://www.bisptrainings.com/Home
Follow us on Facebook: https://www.facebook.com/bisptrainings/ 
Follow us on Twitter: https://twitter.com/bisptrainings 
Follow us on Linkedin:  https://www.linkedin.com/company/13367555/admin/
Email: support@bisptrainings.com Call us: +91 7694095404 or +1 786-629-6893</t>
  </si>
  <si>
    <t>Tutorial for UCINET Factor Analysis : 教學範例 
您可以傳一份,您想要分析的資料,給我們幫您試做看看
UCINET  原廠授權經銷商
SoftHome International ; Software for Science
The best softwares reseller in Taiwan
13F, NO. 55, SEC.1, CHIEN KUO N-ROAD, TAIPEI, 10491,TAIWAN
info@softhome.com.tw     www.softhome.com.tw
全傑科技股份有限公司 科學軟體世界
臺北市中山區建國北路一段五十五號十三樓
電話Tel: 02-25078298 傳真Fax: 02-25078303
以上操作由本公司之高金海先生所示範,若有錯誤疏失,歡迎來電指正
本公司保證所銷售之軟體 皆為原版合法軟體</t>
  </si>
  <si>
    <t>活動參考頁面:https://www.tutortristar.com/?page_id=1021</t>
  </si>
  <si>
    <t>煙花易冷
二胡：吳欣潓
原唱/周杰倫 Ktv伴奏
原音未修飾檔  
使用iPad錄音
建議使用音質良好的耳機
或音響聆聽唷！
二胡、陶笛、瑜伽教學
FB搜尋：吳欣潓
（社教館/藝文推廣處/社區大學講師）
line帳號：sallyw613</t>
  </si>
  <si>
    <t>UCINET Tutorial for DL Edit : 教學範例 
您可以傳一份,您想要分析的資料,給我們幫您試做看看
UCINET  原廠授權經銷商
SoftHome International ; Software for Science
The best softwares reseller in Taiwan
13F, NO. 55, SEC.1, CHIEN KUO N-ROAD, TAIPEI, 10491,TAIWAN
info@softhome.com.tw     www.softhome.com.tw
全傑科技股份有限公司 科學軟體世界
臺北市中山區建國北路一段五十五號十三樓
電話Tel: 02-25078298 傳真Fax: 02-25078303
以上操作由本公司之高金海先生所示範,若有錯誤疏失,歡迎來電指正
本公司保證所銷售之軟體 皆為原版合法軟體</t>
  </si>
  <si>
    <t>Meerkat is a social network analysis application under development by Dr. Osmar Zaiane and his lab. It offers facilities for automated community mining, various layout algorithms for helpful visualizations, and timeframe event analysis for dynamic networks that have been observed at multiple points in time. For more information go to: http://www.aicml.ca/node/41</t>
  </si>
  <si>
    <t>參考文章:Customer repurchase intention  A general structural equation model</t>
  </si>
  <si>
    <t>Underwater sensor networks are envisioned to enable applications for oceanographic. http://ns2simulator.com/
They are,
• data collection
• pollution monitoring
• offshore exploration
• disaster prevention
• assisted navigation
• Tactical surveillance applications.
Important concepts of underwater sensor networks:
• Sensing coverage
• Communication coverage
• Sensor networks with autonomous underwater vehicles
• Multipath and fading problems
• High bit error rates
• Routing and data aggregation
• Network coverage and node placement
• Localization and tracking systems
• Time synchronization
• Data collection, storage and management
• Energy efficiency and power control
• Reliable transport and quality of service
• Cross-layer design and optimization</t>
  </si>
  <si>
    <t>版本:201809
三星統計 www.tutortristar.com</t>
  </si>
  <si>
    <t>In this video, we show how to make a "degree distribution" in Gephi. Please note that technically speaking, the "degree distribution" is a probability distribution and what Gephi calls a "degree distribution" is only a frequency distribution (and not normalized).</t>
  </si>
  <si>
    <t>錄製：林芳苓老師（龍華科技大學資訊管理學系）
後製：陳茂旗先生（龍華科技大學資訊管理學系）
監製：科技部數位人文籌畫小組
Pajek軟體下載頁面：
http://mrvar.fdv.uni-lj.si/pajek/
Pajek案例下載頁面：
http://vlado.fmf.uni-lj.si/pub/networ...</t>
  </si>
  <si>
    <t>昨天我們問了：
「疫情影響下，最近困擾你的銷售問題是?」
共有47個人去表達了意見，
我們不去考慮統計抽樣的問題，
我的目的只想抓出大部分的人關注的問題點是什麼？</t>
  </si>
  <si>
    <t>錄製：林芳苓老師（龍華科技大學資訊管理學系）
後製：陳茂旗先生（龍華科技大學資訊管理學系）
監製：科技部數位人文籌畫小組
Pajek軟體下載頁面：
http://mrvar.fdv.uni-lj.si/pajek/
Pajek案例下載頁面：
http://vlado.fmf.uni-lj.si/pub/networks/data/esna/default.htm</t>
  </si>
  <si>
    <t>參考投影片:http://www.slideshare.net/beckett53/spss20140926
三星課程網 http://www.tutortristar.com
作者:謝章升 fega53@gmail.com
邀約演講與授課請電洽三星統計07-3909246
錄製日期:2015/09/18</t>
  </si>
  <si>
    <t>參考網頁: https://www.tutortristar.com/?page_id=1996</t>
  </si>
  <si>
    <t>主題：數位行銷基本力課程第一段
錄製日期：20190602
地點：台中</t>
  </si>
  <si>
    <t>參考網頁:https://www.tutortristar.com/?page_id=3853</t>
  </si>
  <si>
    <t>完整FB入門教學影片請參考 
https://bit.ly/300DMoq</t>
  </si>
  <si>
    <t>參考更多 https://www.tutortristar.com/?page_id=2230</t>
  </si>
  <si>
    <t>FB行銷活動預算最佳化中，出價策略怎麼用？
最低成本、成本上限、出價上限、目標成本各是什麼意思？</t>
  </si>
  <si>
    <t>參考網頁:https://www.tutortristar.com/?page_id=2364</t>
  </si>
  <si>
    <t>Part 5 of the Node XL videos. It is the last video in this set and contains a demonstration of how to download data from 3 party sources (Twitter in this case). Feel free to contact me in case of any queries and feedback</t>
  </si>
  <si>
    <t>This Processing tutorial introduces the software and provides a background on the field of data visualization. Watch more at http://www.lynda.com/Processing-tutorials/Interactive-Data-Visualization-Processing/97578-2.html?utm_medium=viral&amp;utm_source=youtube&amp;utm_campaign=videoupload-dev-T5lRLA_Vn7o.
This tutorial is a single movie from the first chapter of the Interactive Data Visualization with Processing course presented by lynda.com author Barton Poulson. The complete course is 7.75 hours long and shows how read, map, and illustrate data with Processing, an open-source drawing and development environment
Introduction
1. Basics of Visualization
2. Basics of Processing
3. Basics of Drawing
4. Variables
5. Drawing Attributes
6. Dynamic Drawings
7. Interaction
8. Media
9. Grouping Code
10. Reading Data
11. Varieties of Data Visualizations
12. Elements of Design for Visualization
13. Elements of Interaction
14. Publishing and Sharing
Conclusion</t>
  </si>
  <si>
    <t>GET IT HERE - https://goo.gl/T3zAa5
Accidentally deleted Photos, Videos,Contact,Documents or any files by accident from your Android device? But Wait!! Don't panic, Just Follow this One tutorial and Recover your deleted data in no time.
↓ ↓ ↓ ↓ 
GET IT HERE (Wondershare Data Recovery) - https://goo.gl/T3zAa5
SUBSCRIBE To The Android Guy For More Cool Stuff- http://goo.gl/vp4rG9
How to Get Playstore GiftCards For FREE - https://goo.gl/gvwfLq
How To Get PAID APPS For FREE Legally - https://goo.gl/INmLoH
Best Android Games Trending Now - https://goo.gl/mS3KQR
Top 5 Light Weight Android Games (Under 100mb)-https://goo.gl/Tb9zlf
How Does Virtual-Reality Work - Experience VR On A Budget-https://goo.gl/KhHN5h
We Are Social Now,Join Us On On Fb and Twitter (We can have a chat!!)
Join US On Facebook (We Can have a chat!) - https://www.facebook.com/iamTheAndroidGuy/
Follow Us On Twitter For Updates - https://twitter.com/TheAndroidGuyYo
Support The Android Guy On Patreon - https://www.patreon.com/TheAndroidGuy</t>
  </si>
  <si>
    <t>Access Files: 
https://people.highline.edu/mgirvin/AllClasses/216_2010/Content/05Access/Access.htm
This video goes with the Highline Community College Busn 216 Computer Applications Class Access 2010.
Topics Covered In Video:
1. Create Queries in Access: Simple Query to show sell price
2. Create Queries in Access: Word Criteria
3. Create Queries in Access: Parameter Query
4. Create Queries in Access: Simple query to show cost
5. Create Queries in Access: Contains Criteria
6. Create Queries in Access: Less Than Criteria
7. Create Queries in Access: Greater Than Or Equal To Criteria
8. Create Queries in Access: AND Criteria
9. Create Queries in Access: OR Criteria
10. Create Queries in Access: Formula For Inventory Value
11. Create Queries in Access: Formula For Gross Profit
12. Create Queries in Access: Formula For Average
13. Create Queries in Access: Formula For Average "Group by"
14. Create Queries in Access: Parameter Query for Average
15. Create Queries in Access: Reorder Phone List
16. Create Queries in Access: Between Criteria</t>
  </si>
  <si>
    <t>The Jaccard index, also known as Intersection over Union and the Jaccard similarity coefficient, is a statistic used for gauging the similarity and diversity of sample sets. #BigData #JaccardDistance 
Follow me on Instagram _xD83D__xDC49_ https://www.instagram.com/ngnieredteacher/
Visit my Profile _xD83D__xDC49_ https://www.linkedin.com/in/reng99/
Support my work on Patreon _xD83D__xDC49_ https://www.patreon.com/ranjiraj</t>
  </si>
  <si>
    <t>How to run a correlation analysis using Excel and write up the findings for a report</t>
  </si>
  <si>
    <t>The video explains how to create a simple histogram and one with cloured columns. At the end it explains how to export this chart.
Literature:
http://www.amazon.de/gp/search/ref=as_li_qf_sp_sr_tl?ie=UTF8&amp;camp=1638&amp;creative=6742&amp;index=aps&amp;keywords=R%20Statistics&amp;linkCode=ur2&amp;tag=softwatutori-21</t>
  </si>
  <si>
    <t>www.bit.ly/R-videos  |  Coursera Data Science Specialization</t>
  </si>
  <si>
    <t>Web Identity Search Tool (WIST) analyzes Facebook for connections between any 2 users; analyze links in a short time that you never knew existed</t>
  </si>
  <si>
    <t>Beskrivelse</t>
  </si>
  <si>
    <t>Part of CIS 166 - this is how to read the output from wireshark to learn what issues there are with a network from an information security viewpoint.</t>
  </si>
  <si>
    <t>Perform complex text analysis with ease. Automatically find unique phrase patterns within text, identify phrase and word frequency, custom latent variable frequency and definition, unique and common words within text phrases, and more. This is data mining made easy.
Video Topics:
1) How to insert text content data for analysis
2) Perform qualitative content analysis on sample survey
3) Review text content phrase themes and findings within data
4) Review frequency of words and phrase patterns found within data
5) Label word and phrase patterns found within data</t>
  </si>
  <si>
    <t>Learn how to create a basic Project Network Diagram (PND) in PowerPoint 2010 using the Activity-on-Arrow diagramming method. You will also learn how to determine the Critical Path through a project, as well as the overall duration of a project.</t>
  </si>
  <si>
    <t>Using the Twitter API (v1.0) to consume a JSON in Excel using Data Explorer, Powerpivot and Power View.
Download the Twitter Analytics for Excel: http://extendedresults.com/products/twitteranalytics/
The Blog:
http://thepoweruser.wordpress.com/
My Twitter:
@EscobarMiguel90
Special thanks to the MSFT Team who developed this tool and helped me understand it more!</t>
  </si>
  <si>
    <t>Watch my complete Networking Tutorial Playlist: http://goo.gl/WXNhTr
Video walkthrough for using the Command Prompt to troubleshoot network connectivity using 4 KEY COMMANDS: PING, TRACERT, IPCONFIG, NSLOOKUP
::::: RELATED VIDEOS ::::::
Network Troubleshooting using Command Prompt:
http://youtu.be/AimCNTzDlVo
Create a Bootable USB Flash Drive using Command Prompt:
http://youtu.be/gpgNKkoDPZA
Learn to use Basic Command Prompt Commands:
http://youtu.be/MNwErTxfkUA
Introduction to Linux and Basic Linux Commands:
http://youtu.be/IVquJh3DXUA
Install Ubuntu Linux using a bootable USB Flash Drive:
http://youtu.be/lIF8e_5F9B4</t>
  </si>
  <si>
    <t>I tried to use the new Office add-in for AX 2012 to build a simple report of customer balances.   I wanted the customer name also but in the end just could NOT get the Office add-in to generate my report.
Using Atlas the report was done in less than a minute, yet I struggled ( I had to edit this video to get the time down) to deliver using the new Office add-in,</t>
  </si>
  <si>
    <t>Here we show you how to import data from database to Excel spread sheet. Based on the article "Click...and the Database Loads Into Excel. An easy way to import data into a spreadsheet" By Lois S. Mahoney and Judith K. Welch.</t>
  </si>
  <si>
    <t>Save tweets for any search keyword or conference #hashtag in a Google sheet forever with the Twitter Archiver add-on for Google Docs. 
Download from http://j.mp/twitter-archiver
Tutorial: http://labnol.org/?p= 6505
Monitor your brand on twitter, backup politician's tweets, research trending hashtags and more. The saved tweets can be archived in other formats including CSV and PDF easily.
Follow on Twitter: http://twitter.com/labnol</t>
  </si>
  <si>
    <t>In this Excel tutorial, you'll learn how to clean up data using the TRIM, PROPER, and Text to Columns functions (and more).
By http://breakingintowallstreet.com/ "Financial Modeling Training And Career Resources For Aspiring Investment Bankers"
Why Do You Need to "Clean Up" Data? Often you've pasted in data from websites or PDFs or other sources, and you get lots of ugly formatting and other problems, such as extra spaces, non-printable characters, etc.
Also, data may be grouped together in cases where it's better to be separated (as in the address data here).
This happens all the time on the job, and cleaning up the data makes your life easier and makes it 100x easier to manipulate and analyze it.
You COULD go in and manually fix it, but you might want to jump off the roof of a tall building after doing that.
Instead, we'll use these functions to automate the process:
Text Manipulation Formulas (Across all PC and Mac versions):
=TRIM             Remove extra spaces
=PROPER     Makes first letter in each word uppercase
=CLEAN        Removes all non-printable characters from text
=UPPER        Capitalizes all letters in all words     
=LOWER       Turns all letters in all words to lowercase
Alt + A + E / Alt + D + E      Text to Columns
Ctrl + C                                 Copy (CMD + C on the Mac)
Alt + E + S + F                     Paste Formulas (Ctrl + CMD + V, CMD + F on the Mac)
Alt + E + S + V                     Paste Values (Ctrl + CMD + V, CMD + V on the Mac)
Alt + O + C + A                    Auto-Fit Column Width
Alt + H + C + A                    Center Text
How to Clean Up This Data in 5 Steps:
1. First, remove all the extra spaces and capitalize each individual word with TRIM and PROPER - could throw in CLEAN for good measure.
2. Then, separate everything into separate columns with the "Text to Column" function.
May have to apply this several times if different characters separate each type of data (commas vs. spaces).
3. Fix anything that still requires fixing in these separate columns - capitalize all state abbreviations, make sure ZIP codes with trailing 0 still work properly (change format to text), and so on.
May also need to apply additional TRIMs here.
Must be really careful with copying and pasting data as values - have to do that to avoid errors!
4. Add column headers at the top, based on copy and paste of original header.
5. Delete extra rows/columns and shift everything over or up properly.
What Next?
Go apply this to real data that you're working with... depends a bit on the specific problems with the data, but you can never go wrong with TRIM, PROPER, and Text to Columns!
If you're more advanced, you could try automating this entire process with VBA and macros,
but that also gets complicated and may not save you much time since you need to know what the data looks like before writing code for that.</t>
  </si>
  <si>
    <t>A quick tutorial on using the shortest path tool in gephi</t>
  </si>
  <si>
    <t>Connecting Excel 2016 with JSON data is easy. Using Get &amp; Transform (formerly PowerQuery) allows you to write a query to create a table from your JSON data.
Written Tutorial: https://syntaxbytetutorials.com/import-json-data-in-excel-2016-or-2019-or-office-365-using-a-get-transform-query/</t>
  </si>
  <si>
    <t>This video shot for students at the University of Maine at Augusta explains how to link a Twitter account to the social network software package NodeXL, and how to update NodeXL to the most recent version in the UMA computer labs (required to use Twitter search).  Updating software is unfortunately a regular part of life if you use software for social research.</t>
  </si>
  <si>
    <t>Includes: sorting, finding, filtering, removing duplicates, DSUM &amp; DCOUNT, tables, data validation, subtotals and text importer wizard. Phew! Lots...</t>
  </si>
  <si>
    <t>Subscribe Now:
http://www.youtube.com/subscription_center?add_user=ehowtech
Watch More:
http://www.youtube.com/ehowtech
Counting the occurrences of a number or a text item in a range in Excel is something that you can do by looking at each column individually. Count the occurrences of a number or a text item in a range in Excel with help from a mechanical engineer with 32 years of experience in a large aerospace company in this free video clip.
Expert: Edward Russell
Filmmaker: Patrick Russell
Series Description: If you're looking for a powerful spreadsheet creation tool, look no farther than Microsoft Excel. Get tips on Excel with help from a mechanical engineer with 32 years of experience in a large aerospace company in this free video series.</t>
  </si>
  <si>
    <t>How To Import an Excel 2013 CSV Contacts File into Outlook 2013
Import contacts from an Excel spreadsheet into outlook,
STEP BY STEP IMPORT YOUR CONTACT LIST INTO YOUR OUTLOOK 2013
If you have a lot of business or personal contact information that you keep in a spreadsheet, you can import it straight into Outlook with just a little preparation.</t>
  </si>
  <si>
    <t>This is a tutorial on using QDA Miner to analyze qualitative research.
0:09 - Creating a project
1:23 - Adding a code
2:23 - Coding a segment of text
4:14 - Highlight or dim already-coded text 
4:57 - Text retrieval - list all instances of a keyword
7:16 - Coding retrieval - list all instances of a code
9:30 - Coding frequency - count how many times each code appears
QDA Miner runs on Windows. Download:
http://www.provalisresearch.com/Downl...
And there are several workarounds to run it on a Mac: 
http://provalisresearch.com/products/...
An alternative program, which runs on both Mac and Windows, is Qualyzer:
http://qualyzer.bitbucket.org/downloa...
http://qualyzer.bitbucket.org/getStar...</t>
  </si>
  <si>
    <t>This week: learning about the social structure of a twitter stream by analyzing a NodeXL SNApshot.
A discussion of the graph http://bit.ly/snapshot-24571 at https://nodexlgraphgallery.org, a network of 5,853 Twitter users whose tweets contained "netneutrality" "net neutrality", or who were replied to or mentioned in those tweets, tweeted on Wednesday and Thursday 6-7 August 2014.
To learn more about analyzing the structure of NodeXL SNApshots, see the Pew Research paper "Mapping Twitter Topic Networks: From Polarized Crowds to Community Clusters" by Marc Smith and friends: http://bit.ly/PewMappingTwitter.
To support NodeXL: https://nodexlgraphgallery.org/Pages/SupportNodeXL.aspx.</t>
  </si>
  <si>
    <t>Import Data, Copy Data from Excel (or other spreadsheets) to R: CSV &amp; TXT Files with Free Practice Dataset: (https://bit.ly/2rOfgEJ) _xD83D__xDC4D__xD83C__xDFFC_Best Statistics &amp; R Programming Language Tutorials: ( https://goo.gl/4vDQzT )
►► Like to support us? You can Donate (https://bit.ly/2CWxnP2), Share our Videos, Leave us a Comment and Give us a Like! Either way We Thank You!
How to Import CSV data into R or How to Import TXT files into R from Excel or other spreadsheets using function in R 
►How to import CSV data into R? We will be using "read.table" function to import comma separated data into R
► How to import txt data file into R? You will learn to use "read.delim" function to import the tab-delimited text file into R 
► You will also learn to use "file.choose" argument for file location, "header" argument to let R know the data has headers or variable names and "sep" argument to let R know how the data values are separated.
►►Download the dataset here: https://statslectures.com/r-scripts-datasets
►►Like to support us? You can Donate https://bit.ly/2CWxnP2  or Share the Videos!
►► Watch More: 
► Intro to Statistics Course: https://bit.ly/2SQOxDH
►R Tutorials for Data Science https://bit.ly/1A1Pixc
►Getting Started with R (Series 1): https://bit.ly/2PkTneg
►Graphs and Descriptive Statistics in R (Series 2): https://bit.ly/2PkTneg
►Probability distributions in R (Series 3): https://bit.ly/2AT3wpI
►Bivariate analysis in R (Series 4): https://bit.ly/2SXvcRi
►Linear Regression in R (Series 5): https://bit.ly/1iytAtm
►ANOVA series https://bit.ly/2zBwjgL
►Linear Regression Concept and with R https://bit.ly/2z8fXg1
►Puppet Master of Statistics: https://bit.ly/2RDAAv4
►Hypothesis Testing: Concepts in Statistics https://bit.ly/2Ff3J9e
◼︎ Table of Content
0:00:17 What are the two main file types for saving a data file (CSV and TXT)
0:00:36 How to save an Excel file as a CSV file (comma-separated value)
0:01:10 How to open a CSV data file in Excel
0:01:20 How to open a CSV file in a text editor
0:01:36 How to import CSV file into R? using read.csv function
0:01:44 How to access the help menu for different commands/functions in R
0:02:04 How to specify file location for R?  using file.choose argument on read.csv function
0:02:31 How to let R know our data has headers or variable names when importing the data into R? By using the “header” argument on read.csv function
0:03:22 How to import CSV file into R? using read.table function
0:03:38 How to specify the file location for the read.table function in R? using file.choose argument 
0:03:46 How to specify how variables/columns are separated when importing data into R? the "sep" argument on read.table function will do that; for example if you don't specify that your data is comma separated, R ends up reading it all in as one variable
0:04:10 How to save a file in Excel as tab-delimited text (TXT) file
0:04:50 How to open a tab-delimited (.TXT) data file in a text editor
0:05:07 How to open a tab-delimited (.TXT) data file in excel
0:05:20 How to import tab-delimited (.TXT) data file into R? using read.delim function
0:05:44 How to specify the file path for read.delim function in R? using  file.choose argument 
0:06:06 How to import tab-delimited (.TXT) data file into R? using read.table function
0:06:23 How to specify that the data has headers or variable names when importing the data into R? using header argument on read.table function
This video is a tutorial for programming in R Statistical Software for beginners, using RStudio.
Follow MarinStatsLectures
Subscribe: https://goo.gl/4vDQzT
website: https://statslectures.com
Facebook:https://goo.gl/qYQavS
Twitter:https://goo.gl/393AQG
Instagram: https://goo.gl/fdPiDn
Our Team: 
Content Creator: Mike Marin (B.Sc., MSc.) Senior Instructor at UBC. 
Producer and Creative Manager: Ladan Hamadani (B.Sc., BA., MPH)
These videos are created by #marinstatslectures to support some courses at The University of British Columbia (UBC) (#IntroductoryStatistics and #RVideoTutorials for Health Science Research), although we make all videos available to the everyone everywhere for free.
Thanks for watching! Have fun and remember that statistics is almost as beautiful as a unicorn!</t>
  </si>
  <si>
    <t>Tutorial for UCINET Cluster Analysis : 教學範例 
您可以傳一份,您想要分析的資料,給我們幫您試做看看
UCINET  原廠授權經銷商
SoftHome International ; Software for Science
The best softwares reseller in Taiwan
13F, NO. 55, SEC.1, CHIEN KUO N-ROAD, TAIPEI, 10491,TAIWAN
info@softhome.com.tw     www.softhome.com.tw
全傑科技股份有限公司 科學軟體世界
臺北市中山區建國北路一段五十五號十三樓
電話Tel: 02-25078298 傳真Fax: 02-25078303
以上操作由本公司之高金海先生所示範,若有錯誤疏失,歡迎來電指正
本公司保證所銷售之軟體 皆為原版合法軟體</t>
  </si>
  <si>
    <t>In this segment for COM/SOC 375, the undergraduate Social Networks class at the University of Maine at Augusta, we work through the installation of the NodeXL extension and the task of moving network data from UCINET to NodeXL, despite the challenges of disappearing files.  Recorded September 21, 2012.</t>
  </si>
  <si>
    <t>This video serves as a brief introduction to our Intro to Sociology course at the University of Maine at Augusta in Fall 2019, including information about accessing the course syllabus and course textbook.</t>
  </si>
  <si>
    <t>Tutorial for UCINET  : 教學範例 
您可以傳一份,您想要分析的資料,給我們幫您試做看看
UCINET  原廠授權經銷商
SoftHome International ; Software for Science
The best softwares reseller in Taiwan
13F, NO. 55, SEC.1, CHIEN KUO N-ROAD, TAIPEI, 10491,TAIWAN
info@softhome.com.tw     www.softhome.com.tw
全傑科技股份有限公司 科學軟體世界
臺北市中山區建國北路一段五十五號十三樓
電話Tel: 02-25078298 傳真Fax: 02-25078303
以上操作由本公司之高金海先生所示範,若有錯誤疏失,歡迎來電指正
本公司保證所銷售之軟體 皆為原版合法軟體</t>
  </si>
  <si>
    <t>A walkthrough of running a QAP correlation with UCINET for the UMA undergraduate networks course.</t>
  </si>
  <si>
    <t>In this video for the undergraduate social networks course of the University of Maine at Augusta -- http://uma.edu -- I walk through the process for installing UCINET social network analysis software and working around some of the oddities of UCINET software.  These include: anti-virus software warnings, changes in software versions between the documentation that comes with UCINET and the version you will be using, the consequences of security settings you may have on your computer for accessing data files, and a quick look at the difference between output log files and the data files containing actual network data, with .##d and .##h files in pairs.</t>
  </si>
  <si>
    <t>How to move network and attribute data from Excel into UCINET. In this case, the network data was already in matrix form.
steve borgatti</t>
  </si>
  <si>
    <t>This clip demonstrates how to transform a matrix of data to a vector of data in EXCEL</t>
  </si>
  <si>
    <t>In this video for the University of Maine at Augusta (http://uma.edu) undergraduate social networks course, Asst. Prof. James Cook walks through the task of converting different kinds of 2-mode data (dichotomous, valued, and multiple affiliations) to 1-mode matrices using UCINET software.  Depending on the type of data you're working with, you'll want to use different commands with different options selected -- otherwise, you may end up with a meaningless result.</t>
  </si>
  <si>
    <t>This video considers how to use UCINET software to configure data and successfully run a QAP regression analysis to explain variation in some dyadic relation.  Produced in Fall 2012 for the undergraduate social networks course at the University of Maine at Augusta.</t>
  </si>
  <si>
    <t>In this how-to video for an undergraduate social networks course at the University of Maine at Augusta, we use the NodeXL software package to look at the Twitter network of Maine politics from September 16 to 23 2012, particularly following the #mepolitics hashtag.  The point of the exercise is to consider which aspects of Kozo Sugiyama's rules for clear network visualization should be heeded, and which in the face of a big network should be bent a little bit.  By bundling edges, patterns in the flow of tweets on Maine politics become more apparent.</t>
  </si>
  <si>
    <t>A directed graph with 48 nodes (precedence diagram) is drawn using the sugiyama layouting algorithm. A hillclimbing algorithm is applied to reduce the crossings between nodes (which is not the best choice as it produces local minimas sometimes [see video]; future versions will use a genetic algorithm for better results). View it at 480p and full screen (sorry for the narrow vid).
For a detailed explanation of the sugiyama algorithm see here: https://drive.google.com/open?id=1uAAch1SxLLVBJ53ZX-zX4AnwzwhcXcEM</t>
  </si>
  <si>
    <t>In this episode: more ways to identify top tweeters, and scratching the surface of the "Excel" part of NodeXL.
A discussion of a tweets about 5G over the last month, looking at the social graph (https://nodexlgraphgallery.org/Pages/Graph.aspx?graphID=30410) and Follower to Tweet ratio chart (https://nodexlgraphgallery.org/Pages/Graph.aspx?graphID=30411).
NodeXL can be downloaded from http://nodexl.codeplex.com/releases, where you'll find some basic information. For an introductory tutorial, see http://sunlightfoundation.com/blog/2012/05/24/tools-for-transparency-a-how-to-guide-for-social-network-analysis-with-nodexl/. For help with technical questions, search the discussion board at http://nodexl.codeplex.com/discussions. 
To support NodeXL, go to https://nodexlgraphgallery.org/Pages/SupportNodeXL.aspx.</t>
  </si>
  <si>
    <t>This video is recorded for exam review in SOC 350, the Sociology of Gender course at the University of Maine at Augusta</t>
  </si>
  <si>
    <t>社會網絡分析NodeXL實作</t>
  </si>
  <si>
    <t>【歡迎參加少年警訊／耆樂警訊】請踴躍報名及廣傳_xD83D__xDCAA__xD83C__xDFFB_（附報名表）
1．少年警訊（6－25歲）
報名表：
https://www.police.gov.hk/info/doc/jpc/memebership_application_form.pdf
請將已填妥表格寄：
灣仔告士打道123號舊灣仔警署2樓少年警訊及青少年聯絡組收
查詢電話：
2828 7526
（警察公共關係科少年警訊）
2．耆樂警訊（55歳或以上）
報名表：
https://www.police.gov.hk/info/doc/SPC_Membership_Application_Form.pdf
請將已填妥表格寄：
灣仔告士打道123號舊灣仔警署2樓耆樂警訊及長者聯絡組收
查詢電話：
2828 7532
（警察公共關係科耆樂警訊）
救救孩子義工團報名表： 
https://docs.google.com/forms/d/e/1FAIpQLSdrVGVKWUrNsJ_WWYQuyzF53PXv9bj-eCUwkP88lvJ3aAkFmg/viewform?usp=pp_url
聯署：
還我公平公正選舉 要求馮驊立即下台
https://forms.gle/4V3zpxSazuq34qqc7
請大家免費訂閱我的頻道，如有失散請重新再訂閱。感謝大家。
我的副頻道：【救救孩子】
​https://www.youtube.com/channel/UCUh54ejlnZPBA2iKQm6ojAw
基本資料：
大衛23的whatsapp # 98483426
1）大衛Sir頻道：
23同盟.com   http://23同盟.com/
2）23條聯署：
23條.com  http://23條.com/
＊感謝網友Thomas送贈域名</t>
  </si>
  <si>
    <t>歡迎來到捨情老師直播平台！
如果還有任何的問題都歡迎提 討論唷！！
喜歡頻道請「訂閱+鈴噹」即可迅速得知影片直播唷！
====================================================
喜歡捨情的頻道可以給予支持的話！歡迎「贊助（斗內）」唷！
歐付寶：https://goo.gl/xYZx3t
官方LINE：＠jvn8415g
【工商、合作邀約】：atai064@gmail.com
====================================================
日常篇：
+7沙哈VS+7弒神PK影片：https://www.youtube.com/watch?v=gZcLJjn0ag4
+7熾天使VS+7沙哈PK實測：https://www.youtube.com/watch?v=JONHMd7kMqk
沙哈連結： https://www.youtube.com/watch?v=jUnLuIv-EHw
暴神連結： https://www.youtube.com/watch?v=pNAyFO_3F4I
====================================================
故事篇：
鬼話連篇（彈珠聲）：https://www.youtube.com/watch?v=W21I60pN7CA
鬼話連篇（大扣A）：https://www.youtube.com/watch?v=aLGZs3ZJ3Sg
麥當勞點餐：https://www.youtube.com/watch?v=GQbZcQ3izs4
鬼話連篇（大扣A）台語版：https://www.youtube.com/watch?v=xOI3dWQ5s7w
鬼話連篇（彈珠聲）台語版：https://www.youtube.com/watch?v=2DxwOfB3wAU
教職旅途之小美的故事：https://www.youtube.com/watch?v=T3x6lUMuPSg
阿金的故事：https://www.youtube.com/watch?v=a8a_TNuYk2I
憶起蝌蚪的那件事：https://www.youtube.com/watch?v=aS8Znr8J9Hc&amp;feature=youtu.be
====================================================
技術篇：
天堂M 情報網：https://www.lineagem.com.tw/ 
天堂M中文攻略網：http://www.olgame.tw/lm/
美神風雲討論文章：http://www.gamebase.com.tw/forum/1844/topic/69161372/3
VT設定教學影片：https://youtu.be/HQBF8DioY-Y
妖精三重矢腳本：https://youtu.be/8IRfRiAErKU
====================================================
電腦硬體服務加LINE【@wec7430m 】霖鴻電腦工作室為您服務！
霖鴻電腦3C買賣社團https://www.facebook.com/groups/LinHon/</t>
  </si>
  <si>
    <t>☞數據說明 1【 懶人電玩、娜 娜聯合製作】
https://youtu.be/ox1Td8FMlxw
☞教學斗內&amp;設備贊助連結：（娜娜推薦使用）
https://p.ecpay.com.tw/7BF35
☞E-mail：
minsa.tsai@gmail.com
☞Thank for your donation：
https://paypal.me/minsatsai
☞各項數據說明：
主力大單：委買口數－委賣口數
散戶小單：委買筆數－委賣筆數
大戶：均買口數－均賣口數，均買＝委買口／委買筆，均賣＝委賣口／委賣筆
主力籌碼：賣成筆數－買成筆數
多空力道：外盤量-內盤量
☞各項數據應用：（引用源自 金湯尼 冰火能量圖）
重要程度：主力籌碼＞主力大單＞大戶
利用主力籌碼判斷已經進場的多空累積能量
主力籌碼＞+1500，盤勢偏多；主力籌碼＜-1500，盤勢偏空
主力籌碼＞+3000，為多方趨勢盤；主力籌碼＜-3000，為空方趨勢盤
主力大單＞+2000口時，盤勢偏多；＜-2000口時，盤勢偏空
大戶＞0.2時，盤勢偏多；大戶＜-0.2時，盤勢偏空
☞盤後盤新功能：OP即時籌碼
黃色表價平成交價
CALL：綠色表SC＞BC，紅色表BC＞SC
PUT：綠色表BP＞SP，紅色表SP＞BP
莊家思維(賣方)：綠色大量CALL表壓力，紅色大量PUT表支撐。
履約價：綠色CALL+綠色PUT表壓力，紅色CALL+紅色PUT表支撐。
☞各項數據原理請參閱聚財網『吳大』所發表的文章：
1.您不能不知道的一件事___原來期貨交易的「聖杯」，就在您的身邊
http://wearn.tw/939171
2.成交筆數差=成交力差
http://wearn.tw/935045
☞當沖必讀
1.吳氏三點操盤法
http://wearn.tw/930272
2.細說過高破低與破低過高
http://wearn.tw/932951
3.吃豆腐口訣 
http://wearn.tw/932697
4.細說摸底與摸頭技巧-當沖適用
http://wearn.tw/934654
☞關鍵點位操盤法：
1.前高與前低關鍵點操盤法
http://wearn.tw/937964
2.昨高與昨低關鍵點操盤法
http://wearn.tw/938455
3.以今開+昨開與昨收3個關鍵點操盤法
http://wearn.tw/938467
☞吳式戰法圖解：
http://wearn.tw/977460
http://wearn.tw/984064
部分公開戰法：
http://wearn.tw/990255
【免費資源推薦】
老余的金融筆記  內的影片
https://www.facebook.com/KevinyuFutures/
老余 的 youtube
https://www.youtube.com/user/mtKevinYu
【付費書籍推薦】
濁酒 實戰台指期
http://wearn.tw/m/9431
濁酒 實戰台指期2
http://wearn.tw/m/9531
☞實戰台指期導讀：
http://wearn.tw/944937
☞聚財推薦連結：
https://www.wearn.com/bbs/register.asp?invite=dj0Vdj0w
☞聚財推薦序號：
dj0Vdj0w
☞注意事項：
1.直播會延遲約15秒左右。播放速度設為1.5倍，能有效縮短延遲時間。
2.若發現不動或延遲時間過久，重新整理即可。
3.本平台之所有訊息僅供學術及教育目的，並不提供任何投資建議或指示。</t>
  </si>
  <si>
    <t>PAD直播 - 10 lIKE = 1抽 EVA合作 / 保命有得分 - 緊身衣 / パズドラ / Puzzle and Dragons / 廣東話
加入YouTube頻道會員 , 只需HK$10.00/月
可在即時通訊中使用的自訂 Emoji , 
可以加入Co-op Club的LINE群 (LINE ID : coopclub)
還可以參加頻道專屬遊戲,保命友得分,協力評君分,等等...
https://www.youtube.com/channel/UCcCloL2sJAUTBacyn5rMPGA/join
Co-op Club 音樂頻道
https://www.youtube.com/channel/UCfPVFzNOqQesTWfU_r6L7vg/featured
點唱區 ~ 按以下連結答問題 , 提交 , 每次點一首 , 唔該～￼￼
https://forms.gle/Yd7d2mWEwo6jtZDPA
Facebook 群組 Co-op Club 任你噏
https://www.facebook.com/groups/734790030295308/</t>
  </si>
  <si>
    <t>大數據每日[早盤]08:47-[夜盤]15:03才會計算，故才會開啟直播紀錄與盤後檢視。
善心人斗內、贊助捐款:
https://p.ecpay.com.tw/DA303
直播數據解析說明:
優生-娜娜 : https://youtu.be/rwnLPXXMRj4 
遊戲人間-懶人電玩https://youtu.be/QY2NT4rlF1Y
(由:懶人電玩、娜娜贊助播出)
[使用技巧]
友台連結:
小蔡老師 :https://youtu.be/RlBjM7T8eXQ
Beaver     :https://youtu.be/2pn2yRUs23w
[免責聲明]: 
1. 本平台之所有訊息僅供學術及教育目的，並不提供任何投資建議或指示。
2. 大數據之顯示 不可視為買賣依據。
3. 投資人若依此為買賣依據, 須自負盈虧，本平台概不負責。
4. 不保證資料正確性及其連線穩定性。
[注意事項]:
1.直播會有延遲狀況，故為正常現象。
2.若發現不動或延遲時間過久，請重新整理試看看。</t>
  </si>
  <si>
    <t>안녕하세요 구리리입니다! 이번에는 시대를 초월한 마음을 불러보았습니다ㅎ_ㅎ/ 쩌는 믹싱은 한.님이 도와주셨습니다!!!!!
구독&amp;좋아요도 부탁드릴게요!!!
◆original:: 犬夜叉OST/時代を越える想
◆유하미님의 가사Ver:: https://youtu.be/8f_TlvVW_U4
◆Mix:: Han님 https://youtube.com/c/HANOFFICAIL
◆Cover:: 구리리/グリリ ◆Mail :: tlsdoghkd@naver.com
※댓글란 유의사항※
동영상과 전혀 상관없는 다른 분의 이름을 적는다던가
다른 동영상 댓글란에 제 이름을 쓰는 행위는 삼가해주세요!
(이누야샤/犬夜叉OST)시대를 초월한 마음【COVER by Guriri】</t>
  </si>
  <si>
    <t>An example of using semantic network analysis to study the dynamics of cultural frames of peace coverage.</t>
  </si>
  <si>
    <t>#ashanty #atta #aurel</t>
  </si>
  <si>
    <t>♥️小額贊助♥️包子隊長 
https://p.ecpay.com.tw/9755E
信用卡、ATM、網路ATM、超商都通用
⭐訂閱包子隊長一起捍衛中華民國：
https://www.youtube.com/channel/UCfYig2nRSwuwpUHxIzhkmcQ
✅訂閱
⭕分享
_xD83D__xDD14_開小鈴鐺
這樣有最新影片的時候
就會即時提醒大家觀看唷_xD83E__xDD17_
如果有任何建議與意見情報分享
FB粉絲專頁：
包子隊長-捍衛中華
https://www.facebook.com/pages/category/Non-Governmental-Organization--NGO-/%E5%9C%9F%E5%8C%85%E5%AD%90%E5%BF%97%E5%B7%A5%E5%9C%98-415101675977305/
包子隊長的店
全台首間韓流小物店
好哆福 好物.好文創.好主意  
好哆福 快樂.鬆餅.茶
電話:(02) 2351~4688
營業時間:11:30~19:30(每週二公休) 
地址：台北市紹興南街15-2號（近仁愛路）
捷運最近是善導寺6號往5號方向走約6分鐘（因為5號要爬樓梯）
公車：搭乘至仁愛紹興街口⬇️↙️
（仁愛幹線.原263）261.270.621.37.651.630
備用副頻道
無所不包
https://www.youtube.com/channel/UCtao4A1HwuqTiCu_6isijhg
#守護民主 #監察委員不適任 #野台開講
#韓國瑜 #高雄市長
#愛與包容
#韓流北上發起人
#包子隊長
#王麒傑
#捍衛中華民國
#live #直播 #頻道
#love</t>
  </si>
  <si>
    <t>_xD83C__xDF53_《林小姐愛生活》頻道新上線，懇請支持、訂閱！
　　https://pse.is/RWMGL
_xD83C__xDFA4_每晚７點直播，一三五七22:01進行_xD83C__xDFA4_10點聯播。
_xD83D__xDCB0_小額贊助高雄林小姐，感謝聽友們的支持❤
 　贊助連結 ➜ https://p.ecpay.com.tw/EC1C7
_xD83C__xDF53_加入高雄林小姐會員 ➜ https://reurl.cc/e54ZYm
▬▬▬▬▬▬▬▬▬▬▬▬▬▬▬▬▬▬▬▬▬▬▬▬
_xD83D__xDD06_▶︎ 訂閱 YouTube 頻道：https://pros.is/LVP2U
_xD83D__xDD06_▶︎ 訂閱 Telegram 頻道：https://t.me/lin1118
_xD83D__xDD06_▶︎ FB粉專：高雄林小姐 https://pros.is/NXUU9
_xD83D__xDD06_▶︎ Instagram (IG) 搜尋 ksmisslin
▬▬▬▬▬▬▬▬▬▬▬▬▬▬▬▬▬▬▬▬▬▬▬▬
#訂閱按下小鈴鐺一選擇全部_xD83D__xDD14_ #Vtuber</t>
  </si>
  <si>
    <t>_xD83D__xDCB0_ https://reurl.cc/ObDyXR 
歷史哥小額贊助網址，您的支持是我們創作的動力！
（贊助方式：信用卡、ATM、網路ATM、超商）
--
◎https://reurl.cc/b6gn4d 立刻加入歷史哥會員
★https://reurl.cc/alYZ59 副頻道【歷史哥生活】歡迎訂閱！
◎「訂閱」【高雄歷史哥】按下「小鈴鐺」#收到最新訊息
https://www.youtube.com/c/高雄歷史哥 
◎歷史哥專屬FB【澄清唬】 https://www.facebook.com/UseUrBrainPlz/ 
▼固定直播。每晚十點【歷史哥閒談系列】#開放CALL IN互動▼
https://www.youtube.com/playlist?list=PLHCt1j_3kaOZXXWXgf6sYpb8Ytc_SpAj8 
▼播放清單▼
【歷史哥訪談系列】 #訪談名人 #政治人物 #特定人物 #直播主聯播互訪。
https://www.youtube.com/playlist?list=PLHCt1j_3kaOZ28o8exu6-yWC56DWdUJPh
【歷史哥出任務/快閃直播】#街訪 #外地現場等 #其他手機直播等
https://www.youtube.com/playlist?list=PLHCt1j_3kaObwiAi1XkXZJcW2FZffGD4j
【歷史哥精彩短篇】 #快速學習新知 
https://www.youtube.com/playlist?list=PLHCt1j_3kaOYGWe3WZpdqIcI3miE88eKw
▼其他平台資訊▼
★FB在地生活版【Care高雄】 https://reurl.cc/d0D1Zq
●TG官方頻道 https://reurl.cc/625jO5 (最新訊息推播)
○TG官方回報群 https://reurl.cc/mnDRVj (TG問題回報)
●TG粉絲討論群 https://reurl.cc/0o147o (粉絲聊天室)
△推特 Twitter官方 https://twitter.com/MrHisBro 
▲IG官方 https://www.instagram.com/mrhisbro/ 
△歷史哥官方信箱 KHMrHistory99@gmail.com 
#歷史哥澄清唬
#高雄歷史哥
#澄清唬
#歷史哥</t>
  </si>
  <si>
    <t>#犬夜叉 #時代を越える想い #二胡
犬夜叉-超越時空的思念 二胡版 by 永安
Inuyasha - To Love's End / Affections Touching Across Time (Erhu Cover by YungAn)
http://blog.xuite.net/wangan/njb/42497891
偶然間在Youtube上看到『快樂男聲』中李行亮的表演，他翻唱日本動畫『犬夜叉』中的配樂『超越時空的思念』。Google了一下，原來這是大陸網友昭朔琰填詞後改名為『櫻散零亂』，並由暮落楓原唱、李行亮翻唱。這首歌短小精悍、旋律性非常強，讓人印象深刻。
雖然我甚麼歌都拉，但這還是第一次嘗試動畫配樂！曲子本身是bB調的，並不難。但是要用二胡畫出櫻花散落的意境就難了，拉不好的地方請多多指正！旋律很單純，大家可以看著下面的簡譜一起拉喔！
阿～這是2011兔年開春第一篇，先向大家拜個年囉～ ^_^
犬夜叉-超越時空的思念 二胡版
原名：時代を越える想い／Affections Touching Across Time
犬夜叉OST專輯發表：2001年
中文版曲名：《四季亂語之春-櫻散零亂》
演唱：暮落楓／作詞：昭朔琰／作曲：和田薰
簡譜：永安／二胡：永安
1=bB
春又來 人已去 風煙殘 夕陽晚
3 5 6  6 1 2  3 5 3  2 1 6
櫻花開 頃刻散 零亂
3 2 6  3 2 6  5 3
年光逝 韶華落 飛絮轉 不堪看
3 5 6  6 1 2  3 5 3  2 1 6
路漫漫 空夢斷 零亂
3 2 6  3 2 6  5 6
渡忘川 彼岸 忘不掉 人長歎
3 5 6  5 6  7 5 6  5 2 3
古井下 月光思念裝滿
3 5 6  5 6 1 7 5 3
櫻花瓣 飛過 風幽怨 水清寒
3 5 6  5 6  7 5 6  5 2 3
離傷黯 遊絲轉 零亂
3 2 6  3 2 6  5 6
渡忘川 彼岸 忘不掉 人長歎
3 5 6  5 6  7 5 6  5 2 3
古井下 月光思念裝滿
3 5 6  5 6 1 7 5 3
櫻花瓣 飛過 風幽怨 水清寒
3 5 6  5 6  7 5 6  5 2 3
離傷黯 遊絲轉 零亂
3 2 6  3 2 6  5 6
離傷黯 遊絲轉 零亂
3 2 6  3 2 6  5 6</t>
  </si>
  <si>
    <t>歡迎加入我的鯨魚群!  會員連結Sponsor Channel:
https://www.youtube.com/channel/UCYYi0PUCrmyzAYciUSM8HPA/join</t>
  </si>
  <si>
    <t>We show how to build a machine learning document classification system from scratch in less than 30 minutes using R.  We use a text mining approach to identify the speaker of unmarked presidential campaign speeches.  Applications in brand management, auditing, fraud detection, electronic medical records, and more.</t>
  </si>
  <si>
    <t>Please SUBSCRIBE:
https://www.youtube.com/subscription_center?add_user=mjmacarty
http://alphabench.com/data/monte-carlo-simulation-tutorial.html
Demonstration of technique to create a dynamic chart in Excel that updates automatically as data changes. A histogram is one of the most common tools used to visualize quantitative data. The histogram is one of the most widely used graphs to help describe data by showing the shape of the underlying distribution. 
This example uses integer based data and so pays careful attention to "bin" or category width.  With more continuous data, this treatment of category width can safely be ignored 
The formula comments displayed on the sheet are part of a free add-in that can be downloaded by clicking on the resources/files link on my channel page, or by visiting:
https://www.alphabench.com</t>
  </si>
  <si>
    <t>UCINET Tutorial for NETDRAW Property : 教學範例 
您可以傳一份,您想要分析的資料,給我們幫您試做看看
UCINET  原廠授權經銷商
SoftHome International ; Software for Science
The best softwares reseller in Taiwan
13F, NO. 55, SEC.1, CHIEN KUO N-ROAD, TAIPEI, 10491,TAIWAN
info@softhome.com.tw     www.softhome.com.tw
全傑科技股份有限公司 科學軟體世界
臺北市中山區建國北路一段五十五號十三樓
電話Tel: 02-25078298 傳真Fax: 02-25078303
以上操作由本公司之高金海先生所示範,若有錯誤疏失,歡迎來電指正
本公司保證所銷售之軟體 皆為原版合法軟體</t>
  </si>
  <si>
    <t>訂閱百姓隨時收到老馬消息：https://goo.gl/KuqEsC
Youtube Live 【http://www.youtube.com/user/vinson58/live 】
Youtube 遊戲【https://gaming.youtube.com/user/vinson58/live 】
#平民百姓
********************************************************************
七大死因 系列：https://goo.gl/4ean04
********************************************************************
【斗內百姓吃石頭】
PayPal：http://pics.ee/PKY
歐付寶：http://pics.ee/Op1
請依各位衡量自已的經濟能力，斗內後請於FB留私訊給百姓，百姓會拉乾爹乾姐進專屬群，專屬群組內除了可以私下和百姓聊天打屁外，也可以和百姓一起玩遊戲同樂，舉辦抽獎或者是活動也是以乾爹乾姐優先喔！甘溫喔！
百姓粉專：https://www.facebook.com/PMGOG8
百姓instagram：https://www.instagram.com/vinson58/
G8GAME攻略：http://www.g8game.com.tw/
G8GAME粉專：https://www.facebook.com/G8Game
工商合作：
Mail：purplezh19@gmail.com</t>
  </si>
  <si>
    <t>練習檔下載：http://bit.ly/2GxohGZ</t>
  </si>
  <si>
    <t>三星統計 https://www.tutortristar.com/</t>
  </si>
  <si>
    <t>三星課程網 http://www.tutortristar.com
作者:謝章升 fega53@gmail.com
邀約演講與授課請電洽三星統計07-3909246
錄製日期:2013/09/13</t>
  </si>
  <si>
    <t>*Tableau被富比士評為前三最需要的技術能力
富比士(Forbes)是世界知名的商業雜誌，在研究美國4萬筆工作徵才需求後選出前十大未來最需要的技術能力，今天要介紹的Tableau就在其中排名第三!
在這部Tableau基礎教學影片我會帶你們從無到有製作出一份視覺化圖表，你可以輕易的透過Tableau的介面，以拖拉的方式處理大量資料，完成圖表。不需懂寫程式，也不需懂設計，都能快速上手。
Tableau使用的場景非常廣泛，不管是校務資料管理、醫療產業的醫管、網路社群使用者足跡資料、製造業或IOT所蒐集的深層資料、零售及電商的銷庫資料，都能藉由tableau 視覺化分析數字背後的故事。
影片將分為三個部份：
1.如何連接到你想分析的數據源 
2.創建視覺化圖表 
3.展示你的發現以及將你的見解與其他人分享
*Tableau Desktop 試用版下載連結（由Tableau台灣代理商Nextlink提供）：
https://partners.tableau.com/UserData//1567/Mailings/4c5f8d1c-54cf-4b55-8696-d0cf8ddbef1d.htm
分析資料excel檔：
https://drive.google.com/file/d/16053NqSXenUyPLkOevdc3XLmbvukR2z-/view?usp=sharing
0:54連接資料源介面展示
2:03資料源連接與前製準備
4:20維度(Dimensions) 與 度量(Measures) 
5:46創建視圖
7:26分層結構
9:05篩選器和顏色
10:23Quick Table Calculations快速表計算
12:11視覺化表格
14:09Show Me
16:16Dashboard
18:09Story
文圖步驟詳解：
https://reurl.cc/2E4Dn
本頻道粉絲團(每雙週發佈Tableau教學影片)：
https://www.facebook.com/tableaunote/
本影片使用Movavi剪接
https://www.movavi.com</t>
  </si>
  <si>
    <t>University of California Santa Barbara &amp; Catania University: Extension of NodeXL for visualizing large time-evolving networks and Significant Anomalous Regions in such networks</t>
  </si>
  <si>
    <t>This how-to video for the undergraduate social networks course at the University of Maine at Augusta -- http://uma.edu -- walks through the process of entering network data into the UCINET matrix spreadsheet editor, then visualizing that network using the embedded NetDraw program.  To try out UCINET data for yourself, visit Analytic Technologies on the web at http://www.analytictech.com/ucinet/ where you can download the software for a 60-day free trial.</t>
  </si>
  <si>
    <t>Paradigma labs want contribute to the Gephi project and to research community with another powerful and real time tool. This tool is able to capture the Twitter Streaming, filter the huge information with some keywords, and create a useful graph to represent the semantic of the hashtag emergence.
Co occurrences networks are generally used to provide a graphic visualization of potential relationships between people, organizations, concepts or other entities. Using co occurrences of #hashtags into the tweets, we can detect the "potential hashtags" or its emergence.
In this video, you can watch a sample performance of this tool filtering twitter stream with "SOPA", "ACTA" and "PIPA" words and detecting some hashtags associations in real time.
About Paradigma:
http://en.paradigmatecnologico.com</t>
  </si>
  <si>
    <t>Part 2 of the Node XL videos. It contains the introduction to Node XL and an example. Feel free to contact me in case of any queries and feedback</t>
  </si>
  <si>
    <t>Tutorial designed to support the ITL-207 networking course at Washington &amp; Jefferson College.</t>
  </si>
  <si>
    <t>You use social networks every day, but how can we understand how they work to affect our decisions, our careers, our health, and our histories?  The field of Social Network Analysis is the dynamic and highly adaptable group of techniques that let us quantify and understand the complex structures and flows of relationships, thoughts, and things between people around the world. Look at your own social networks at these links:
Check your own personal Facebook social network with Touchgraph: http://www.touchgraph.com/facebook
Check your own personal LinkedIn social network with Socilab: http://socilab.com/
Check your own personal Twitter social network with Mentionmapp: http://mentionmapp.com/
Social Network Analysis can enrich the research of faculty and the studies of students—look for workshops run by the Duke Network Analysis Center and classes featuring graph theory, network theory, and social networks.  Networks are everywhere—what will you discover with them?</t>
  </si>
  <si>
    <t>This is part one of a three-part introduction to NodeXL and its use for network analysis and visualization. Part one covers the visualization of a sample workbook.</t>
  </si>
  <si>
    <t>Apresento o que é e algumas funcionalidades do NODEXL. Video introdutório para quem nunca viu o programa.</t>
  </si>
  <si>
    <t>This tutorial goes from import through the whole analysis phase for a citation network. Data can be accessed at http://www.cs.umd.edu/~golbeck/INST633o/Viz.shtml</t>
  </si>
  <si>
    <t>Get network insights with just a few clicks with NodeXL.  If you can make a pie chart, you can make a network chart with this easy to use add-in for Excel. Import from Twitter, Facebook, YouTube, Wikis, and more and get quick insights into webs of connections.  Highlight the key people and pages and identify the clusters, groups, and neighborhoods.</t>
  </si>
  <si>
    <t>This brief video for the University of Maine at Augusta Analyzing Social Media course walks through a session of entering edge lists and using some elementary visualization techniques with the software package NodeXL, available for free at http://nodexl.codeplex.com .  University of Maine at Augusta is on the web at http://uma.edu .</t>
  </si>
  <si>
    <t>Learn to make social media network maps in just a few clicks in this short How-To guide to using NodeXL Pro Automation features. Get professional insights into networks like hashtags and other connected structures using the free "data recipes" we provide on: http://www.smrfoundation.org/nodexl/automation/</t>
  </si>
  <si>
    <t>Learn how to connect your domain with Google services like Gmail, Google Docs, Google Drive, Google Calendar, and more! In this tutorial, I'll show you how to setup G Suite, how to connect it to your hosting account, and how to invite collaborators or employees to use G Suite services from your domain!
SUBSCRIBE?
https://www.youtube.com/JerryBanfield?sub_confirmation=1.
COURSES?
https://jerrybanfield.com/courses/
Read Videos as Blog Posts!
https://jerrybanfield.com/blog/
Say Hi on Social Media!
https://www.facebook.com/jbanfield
https://www.youtube.com/jerrybanfield
https://twitter.com/JerryBanfield
https://www.twitch.tv/jerrybanfield/
https://www.instagram.com/jerrybanfield/
https://www.linkedin.com/in/jerrybanfield/
https://medium.com/@jerrybanfield
https://mixer.com/jerrybanfield
https://dlive.tv/jerrybanfield
https://www.pinterest.com/jerrybanfield/
https://open.spotify.com/artist/6JSSA7iFpLxZPdsJfp27UU
https://soundcloud.com/jbanfield
https://www.tiktok.com/@jerrybanfield/
https://itunes.apple.com/us/artist/1136847388
__
SPONSOR?  Let's make a video together where I will apply my digital marketing and online advertising skills to promoting you and your business, podcast, channel, brand, company, book, course, or hosting starting at https://jerrybanfield.com/contact/
COACHING?  Are you ready to help people, grow your following faster than ever, and reach the next level?  Join my mastermind for group calls and upgrade to 1 on 1 coaching via https://jerrybanfield.com/contact/
__
RECOMMENDED TOOLS: 
I host my Wordpress website with Kinsta!
https://jerry.tips/kinsta
I host my video courses on Uthena with Thinkific!
https://thnk.cc/jerry
I do email marketing with ActiveCampaign!
https://jerry.tips/activecampaign
I have a business line of credit with Kabbage!
https://jerry.tips/kabbage
I teach on Skillshare!
https://jerry.tips/skillshare
I use QBSE for accounting!
http://fbuy.me/n5ckB
I use GoTranscript for video transcriptions!
https://gotranscript.com/r/61527
I watch video courses on Masterclass!
https://jerry.tips/masterclassall
My camera is the Canon XA11 Professional Camcorder!
https://amzn.to/2BiLY8P
My microphone is the Electro Voice RE-20 Cardioid!
https://amzn.to/2oB6YNT
My preamp is DBX 286s Microphone Pre-amp Processor!
https://amzn.to/2oBcd08
My USB Audio Interface is Focusrite Scarlett 2i2 (2nd Gen) USB Audio Interface!
https://amzn.to/2oAQ4Px
I use SoFi for student loan refinancing!
https://www.sofi.com/share/293999
I got my first business loan from LendingClub!
https://jerry.tips/lendingclub
I have my whole studio setup listed on Amazon!
https://amazon.com/shop/jbanfield
I use TubeBuddy to manage my YouTube channel!
https://www.tubebuddy.com/jerrybanfield
Love,
Jerry Banfield in Saint Petersburg, Florida
https://jerrybanfield.com/
PS: This description contains affiliate links that allow you to find the items mentioned in this video and support the channel at no cost to you!  If you are like me, you will love using the links when you are ready to research and buy because you will know this helps me continue sharing the best of what I know here for free with you!  Thank you for your support!</t>
  </si>
  <si>
    <t>Como usar Google Analytics, vídeo 1. En este vídeo repasamos los conceptos más básicos de Google Analytics para que vayas familiarizándote con ellos para la posterior interpretación de los datos. 
Google Analytics te ayuda a analizar el rendimiento de tu sitio web y es una herramienta gratuita que proporciona Google. Mejora tu web usando los datos que arroja Google Analytics.
Dale al ME GUSTA si te ha sido de utilidad!! Tienes la info por escrito en http://coach2coach.es/como-usar-google-analytics-paso-1-que-es-y-que-informacion-contiene/
EN ESTE CANAL TAMBIÉN TIENES UN VÍDEO PARA HACER TU WEB GRATIS CON WORDPRESS. NO TE LO PIERDAS.
Más información general sobre diseño web en wordpress en el blog de Coach2Coach
http://coach2coach.es</t>
  </si>
  <si>
    <t>In this course, we'll be looking at database management basics and SQL using the MySQL RDBMS. The course is designed for beginners to SQL and database management systems, and will introduce common database management topics.
Throughout the course we'll be looking at various topics including schema design, basic C.R.U.D operations, aggregation, nested queries, joins, keys and much more.
_xD83D__xDD17_Company Database Code: https://www.giraffeacademy.com/databases/sql/creating-company-database/
⭐️ Contents ⭐
⌨️ (0:00) Introduction
⌨️ (2:36) What is a Database?
⌨️ (23:10) Tables &amp; Keys
⌨️ (43:31) SQL Basics
⌨️ (52:26) MySQL Windows Installation
⌨️ (1:01:59) MySQL Mac Installation
⌨️ (1:15:49) Creating Tables
⌨️ (1:31:05) Inserting Data
⌨️ (1:38:17) Constraints 
⌨️ (1:48:11) Update &amp; Delete
⌨️ (1:56:11) Basic Queries
⌨️ (2:08:37) Company Database Intro
⌨️ (2:14:05) Creating Company Database
⌨️ (2:30:27 ) More Basic Queries
⌨️ (2:26:24) Functions
⌨️ (2:45:13) Wildcards
⌨️ (2:53:53) Union
⌨️ (3:01:36) Joins
⌨️ (3:11:49) Nested Queries
⌨️ (3:21:52) On Delete
⌨️ (3:30:05) Triggers
⌨️ (3:42:12) ER Diagrams Intro
⌨️ (3:55:53) Designing an ER Diagram
⌨️ (4:08:34) Converting ER Diagrams to Schemas
Course developed by Mike Dane. Check out his YouTube channel for more great programming courses: https://www.youtube.com/channel/UCvmINlrza7JHB1zkIOuXEbw
_xD83D__xDC26_Follow Mike on Twitter: https://twitter.com/GiraffeAcademy
_xD83D__xDD17_The Giraffe Academy website: http://www.giraffeacademy.com/
--
Learn to code for free and get a developer job: https://www.freecodecamp.org
Read hundreds of articles on programming: https://medium.freecodecamp.org
And subscribe for new videos on technology every day: https://youtube.com/subscription_center?add_user=freecodecamp</t>
  </si>
  <si>
    <t>( R Training : https://www.edureka.co/data-analytics-with-r-certification-training )
This Edureka R Programming Tutorial For Beginners (R Tutorial Blog: https://goo.gl/mia382) will help you in understanding the fundamentals of R and will help you build a strong foundation in R. Below are the topics covered in this tutorial:
1. Variables
2. Data types
3. Operators
4. Conditional Statements
5. Loops
6. Strings
7. Functions
Check out our R Playlist: https://goo.gl/huUh7Y
Subscribe to our channel to get video updates. Hit the subscribe button above.
#R #Rtutorial #Ronlinetraining #Rforbeginners #Rprogramming
How it Works?
1. This is a 5 Week Instructor led Online Course, 30 hours of assignment and 20 hours of project work
2. We have a 24x7 One-on-One LIVE Technical Support to help you with any problems you might face or any clarifications you may require during the course.
3. At the end of the training you will be working on a real time project for which we will provide you a Grade and a Verifiable Certificate!
- - - - - - - - - - - - - - - - -
About the Course
Edureka's Data Analytics with R training course is specially designed to provide the requisite knowledge and skills to become a successful analytics professional. It covers concepts of Data Manipulation, Exploratory Data Analysis, etc before moving over to advanced topics like the Ensemble of Decision trees, Collaborative filtering, etc. During our Data Analytics with R Certification training, our instructors will help you:
1. Understand concepts around Business Intelligence and Business Analytics
2. Explore Recommendation Systems with functions like Association Rule Mining , user-based collaborative filtering and Item-based collaborative filtering among others
3. Apply various supervised machine learning techniques
4. Perform Analysis of Variance (ANOVA)
5. Learn where to use algorithms - Decision Trees, Logistic Regression, Support Vector Machines, Ensemble Techniques etc
6. Use various packages in R to create fancy plots
7. Work on a real-life project, implementing supervised and unsupervised machine learning techniques to derive business insights
- - - - - - - - - - - - - - - - - - -
Who should go for this course?
This course is meant for all those students and professionals who are interested in working in analytics industry and are keen to enhance their technical skills with exposure to cutting-edge practices. This is a great course for all those who are ambitious to become 'Data Analysts' in near future. This is a must learn course for professionals from Mathematics, Statistics or Economics background and interested in learning Business Analytics.
- - - - - - - - - - - - - - - -
Why learn Data Analytics with R?
The Data Analytics with R training certifies you in mastering the most popular Analytics tool. "R" wins on Statistical Capability, Graphical capability, Cost, rich set of packages and is the most preferred tool for Data Scientists.
Below is a blog that will help you understand the significance of R and Data Science: Mastering R Is The First Step For A Top-Class Data Science Career
Having Data Science skills is a highly preferred learning path after the Data Analytics with R training. Check out the upgraded Data Science Course
For more information, please write back to us at sales@edureka.co or call us at IND: 9606058406 / US: 18338555775 (toll-free).
Facebook: https://www.facebook.com/edurekaIN/
Twitter: https://twitter.com/edurekain
LinkedIn: https://www.linkedin.com/company/edureka
Telegram: https://t.me/edurekaupdates</t>
  </si>
  <si>
    <t>This video demonstrates how to create a wordcloud of any given text-corpora/article using wordcloud module in Python.
Code here: https://github.com/nikhilkumarsingh/wordcloud-example
Explore my tutorials: https://www.indianpythonista.tech/tutorials/
More awesome topics covered here:
WhatsApp Bot using Twilio and Python: http://bit.ly/2JmZaNG
Discovering Hidden APIs: http://bit.ly/2umeMHb
RegEx in Python: http://bit.ly/2Hhtd6L
Introduction to Numpy: http://bit.ly/2RZMxvO
Introduction to Matplotlib: http://bit.ly/2UzwfqH
Introduction to Pandas: http://bit.ly/2GkDvma
Intermediate Python: http://bit.ly/2sdlEFs
Functional Programming in Python: http://bit.ly/2FaEFB7
Python Package Publishing: http://bit.ly/2SCLkaj
Multithreading in Python: http://bit.ly/2RzB1GD
Multiprocessing in Python: http://bit.ly/2Fc9Xrp
Parallel Programming in Python: http://bit.ly/2C4U81k
Concurrent Programming in Python: http://bit.ly/2BYiREw
Dataclasses in Python: http://bit.ly/2SDYQub
Exploring YouTube Data API: http://bit.ly/2AvToSW
Jupyter Notebook (Tips, Tricks and Hacks): http://bit.ly/2At7x3h
Decorators in Python: http://bit.ly/2sdloX0
Inside Python: http://bit.ly/2Qr9gLG
Exploring datetime: http://bit.ly/2VyGZGN
Computer Vision for noobs: http://bit.ly/2RadooB
Python for web: http://bit.ly/2SEZFmo
Awesome Linux Terminal: http://bit.ly/2VwdTYH
Tips, tricks, hacks and APIs: http://bit.ly/2Rajllx
Optical Character Recognition: http://bit.ly/2LZ8IfL
Facebook Messenger Bot Tutorial: http://bit.ly/2BYjON6
Facebook: https://www.facebook.com/IndianPythonista/
Github: https://www.github.com/nikhilkumarsingh/
Twitter: https://twitter.com/nikhilksingh97
#python #wordcloud #pil</t>
  </si>
  <si>
    <t>Networks are a data structure commonly found in any social media service that allows populations to author collections of connections.  The Social Media Research Foundation's NodeXL project makes analysis of social media networks accessible to most users of the Excel spreadsheet application.  With NodeXL, network charts become as easy to create as pie charts.  Recent research created by applying the tool to a range of social media networks has already revealed the variations in network structures present in online social spaces.  A review of the tool and images of Twitter, flickr, YouTube, Facebook and email networks will be presented. 
Description: We now live in a sea of tweets, posts, blogs, and updates coming from a significant fraction of the people in the connected world.  Our personal and professional relationships are now made up as much of texts, emails, phone calls, photos, videos, documents, slides, and game play as by face-to-face interactions.  Social media can be a bewildering stream of comments, a daunting fire hose of content.  With better tools and a few key concepts from the social sciences, the social media swarm of favorites, comments, tags, likes, ratings, updates and links can be brought into clearer focus to reveal key people, topics and sub-communities.  As more social interactions move through machine-readable data sets new insights and illustrations of human relationships and organizations become possible.  But new forms of data require new tools to collect, analyze, and communicate insights.  
The Social Media Research Foundation (http://www.smrfoundation.org), formed in 2010 to develop open tools and open data sets, and to foster open scholarship related to social media.  The Foundation's current focus is on creating and publishing tools that enable social media network analysis and visualization from widely used services like email, Twitter, Facebook, flickr, YouTube and the WWW. The Foundation has released the NodeXL project (http://nodexl.codeplex.com/), a spreadsheet add-in that supports "network overview discovery and exploration".  The tool fits inside your existing copy of Excel in Office (2007, 2010, 2013, 2016) and makes creating a social network map similar to the process of making a pie chart.  
Using NodeXL, users can easily make a map of public social media conversations around topics that matter to them. Maps of the connections among the people who recently said the name of a product, brand or event can reveal key positions and clusters in the crowd.  Some people who talk about a topic are more in the "center" of the graph, they may be key influential members in the population.  NodeXL makes it a simple task to sort people in a population by their network location to find key people in core or bridge positions.  NodeXL supports the exploration of social media with import features that pull data from personal email indexes on the desktop, Twitter, Flickr, YouTube, Facebook, Wikis, blogs and WWW hyper-links.  The tool allows non-programmers to quickly generate useful network statistics and metrics and create visualizations of network graphs. 
A book Analyzing Social Media Networks with NodeXL: Insights from a connected world is available from Morgan-Kaufmann.  The book provides an introduction to the history and core concepts of social network analysis along with a series of step-by-step instructions that illustrate the use of the key features of NodeXL.  The second half of the book is dedicated to chapters by a number of leading social media researchers that each focus on a single social media service and the networks it contains. Chapters on Twitter, email, YouTube, flickr, Facebook, Wikis, and the World Wide Web illustrate the network data structures that are common to all social media services.  
A recent report co-authored with the Pew Research Center's Internet Project documents the discovery of the six basic forms of social media network structures present in social media platforms like Twitter.  The report, "Mapping Twitter Topic Networks: From Polarized Crowds to Community Clusters" provides a step by step guide to analyzing social media networks.</t>
  </si>
  <si>
    <t>Ever imagined how Facebook's data could be seen is a visual way? This is the Social Hypertree.
Facebook is a social hub full of relations, just think of visualizing all that data utilizing a simple web application! Social Hypertree grabs 10 mutual friends, and for each friend it grabs all the mutual friends between him and you! This data is then visualized in a dynamic and interactive graph, the colors are also what gives part of the experience, when the data is done loading the page fades into black and the nodes appear.. the experience is noething you can think of, the only way to realize this is watching it.
This is my first video, please comment letting me know what you think of it!
Daniel</t>
  </si>
  <si>
    <t>Learn the R programming language in this tutorial course. This is a hands-on overview of the statistical programming language R, one of the most important tools in data science.
_xD83D__xDCBB_Course Files: https://drive.google.com/drive/folders/15U8WjVKbYXaq6N6Wb_6bCr9QZ1DwCkAO
_xD83D__xDCBB_ Course created by Barton Poulson from datalab.cc.
_xD83D__xDD17_ Check out the datalab.cc YouTube channel: https://www.youtube.com/user/datalabcc
_xD83D__xDD17_ Watch more free data science courses at http://datalab.cc/
⭐️ Course Contents ⭐️
⌨️ (0:00:00) Welcome
⌨️ (0:02:20) Installing R
⌨️ (0:07:17) RStudio
⌨️ (0:11:52) Packages
⌨️ (0:19:16) plot()
⌨️ (0:27:49) Bar Charts
⌨️ (0:32:10) Histograms
⌨️ (0:39:44) Scatterplots
⌨️ (0:44:39) Overlaying Plots
⌨️ (0:52:30) summary()
⌨️ (0:55:49) describe()
⌨️ (1:00:17) Selecting Cases
⌨️ (1:06:14) Data Formats
⌨️ (1:21:39) Factors
⌨️ (1:28:34) Entering Data
⌨️ (1:34:18) Importing Data
⌨️ (1:42:29) Hierarchical Clustering
⌨️ (1:49:35) Principal Components
⌨️ (1:59:16) Regression
⌨️ (2:08:36) Next Steps
--
Learn to code for free and get a developer job: https://www.freecodecamp.org
Read hundreds of articles on programming: https://www.freecodecamp.org/news
And subscribe for new videos on technology every day: https://youtube.com/subscription_center?add_user=freecodecamp</t>
  </si>
  <si>
    <t>This is the cleanest, least labor intensive way I've found to take data you have in excel and create a word cloud in powerpoint. It does require a little effort, and manual positioning of words, but this is the simplest way I've found.
********Macro 1 (copy and paste between the sub/end sub)**********
For Each Word In Range("A1:A100")
    Word.Font.Size = Word.Offset(, 1).Value
    Word.Font.Color = Word.Offset(, 2).Value
Next Word
*******Macro #2 (copy and paste between the sub/end sub)*********
Dim rng As Range
Dim PowerPointApp As Object
Dim myPresentation As Object
Dim mySlide As Object
Dim myShape As Object
'Copy Range from Excel
  Set rng = ThisWorkbook.ActiveSheet.Range("A1:A100")
'Create an Instance of PowerPoint
  On Error Resume Next
    'Is PowerPoint already opened?
      Set PowerPointApp = GetObject(class:="PowerPoint.Application")
    'Clear the error between errors
      Err.Clear
    'If PowerPoint is not already open then open PowerPoint
      If PowerPointApp Is Nothing Then Set PowerPointApp = CreateObject(class:="PowerPoint.Application")
    'Handle if the PowerPoint Application is not found
      If Err.Number = 429 Then
        MsgBox "PowerPoint could not be found, aborting."
        Exit Sub
      End If
  On Error GoTo 0
'Optimize Code
  Application.ScreenUpdating = False
'Create a New Presentation
  Set myPresentation = PowerPointApp.Presentations.Add
'Add a slide to the Presentation
  Set mySlide = myPresentation.Slides.Add(1, 11) '11 = ppLayoutTitleOnly
'Copy Excel Range
  rng.Copy
'Paste to PowerPoint and position
  mySlide.Shapes.PasteSpecial DataType:=2  '2 = ppPasteEnhancedMetafile
  Set myShape = mySlide.Shapes(mySlide.Shapes.Count)
    'Set position:
      myShape.Left = 66
      myShape.Top = 152
'Make PowerPoint Visible and Active
  PowerPointApp.Visible = True
  PowerPointApp.Activate
'Clear The Clipboard
  Application.CutCopyMode = False</t>
  </si>
  <si>
    <t>Learn the basics of trees, data structures. This video is a part of HackerRank's Cracking The Coding Interview Tutorial with Gayle Laakmann McDowell.
http://www.hackerrank.com/domains/tutorials/cracking-the-coding-interview?utm_source=video&amp;utm_medium=youtube&amp;utm_campaign=ctci</t>
  </si>
  <si>
    <t>#gsuite #gsuiteSetup #gsuiteTutorial
G Suite Setup Tutorial. In this Video, I show you how to setup Google Apps For Business or the new named G Suite. 
Creators connect with me at: https://collab.tube/joshuaherbison
Complete the setup of your G-Suite account for DKIM, DMARC and SPF: https://youtu.be/EtvP2f-RDmo
Sign up for G Suite at: http://ideapro.com/url/g-suite
We will be using a Wordpress website, with cPanel &amp; Apache web hosting.
Send Business Correspondence to:
Idea Pro LLC or Joshua Herbison
2901 E Greenway Rd. #54171
Phoenix, AZ 85032</t>
  </si>
  <si>
    <t>Presenting you “Twitter API with Python”.
Python is simple enough for beginners, powerful enough for the pros. Use it for IOT, Web Scraping, Big Data, and more.
The goal is simple: learn Python by building real projects step-by-step while we explain every concept along the way.  For the next 30 Days you're going to learn how to:
• Scrape Data from nearly Any Website (including javascript-enabled sites)
• Build your own Python applications for all types of automation
• Send Emails &amp; SMS text messages to your friends our your customers
• Read &amp; Write CSV, aka comma separated values, files to better store your data locally and work in popular programs like Microsoft Excel and Apple Numbers
• Understand the basics behind the Python programming language so you're ready to build more advanced projects like Web Applications
This course is there to teach you all these features step by step.
Feel free to share this video.
Check Out Our Channel: https://www.youtube.com/channel/UCBwpMr85NLRe4RmfE6jTRnw/
Subscribe To My Channel and Get More Exclusive Tips:  https://www.youtube.com/channel/UCBwpMr85NLRe4RmfE6jTRnw?sub_confirmation=1
Check out our related videos:
Day 1: Python Basics - Strings Variables and Integers in Python Programming: https://youtu.be/HEuyXkc8mOs
Day 2: Lists, Dictionaries &amp; Tuples in Python Programming: https://youtu.be/gGxOJRdPxpo
Day 2: More Details on Dictionaries in Python Programming: https://youtu.be/_6frOPx4lEA
Day 3: Loops - For Loops and While Loops in Python Programming: https://youtu.be/mytTczyWuKg
Day 4: Conditionals in Python Programming: https://youtu.be/f5saYBYOAGg
Day 4: Using Conditional Expressions in Python Programming: https://youtu.be/hGB0t_sySH0
Day 5: Functions in Python Programming - Part 1: https://youtu.be/yZTbWGwqRNM
Day 5: Functions in Python Programming - Part 2: https://youtu.be/GAD1y8uFv18
Day 6: String Substitution in Python Programming: https://youtu.be/qDRuBTw60Mw
Day 6: String Formatting and Substitutions All Together in Python Programming: https://youtu.be/AZea1StgoJY
Day 7: Classes in Python Programming - Part 1: https://youtu.be/_5j0aG9Dpmw
Day 8: Classes in Python Programming - Part 2: https://youtu.be/tgc6Fwmrj5s
Day 9: Classes in Python Programming - Part 3: https://youtu.be/FOJ4ale_9BY
Day 9: Classes in Python Programming - Part 4: https://youtu.be/nOXoucNuIxQ
Day 10: Setup Python to send Email with Gmail: https://youtu.be/IYhKdvfPas0
Day 11: HTML and Plain Text Emails through Python and Gmail: https://youtu.be/I0eQA9Pb4tU
Day 12: Send Formatted Emails to a Set of Users in Python Programming: https://youtu.be/X0ci0r0iLiQ
Day 13: Using External Template Files with Context Data in Python Programming: https://youtu.be/6diiOTQ970M
Day 14: CSV Files with Python - Read, Write &amp; Append: https://youtu.be/0Vl0iwkXrQ8
Day 15: Functions to Dynamically Add Data to CSV with Python: https://youtu.be/bgVGJRiAcy0
Day 16: Edit CSV with Python - Part 1: https://youtu.be/Xf-WAYytfKo
Day 16: Edit CSV with Python - Part 2: https://youtu.be/pOJ1KNTlpzE
Day 17: Read Data Function for CSV File in Python Programming: https://youtu.be/VD41zBbzSfA
Day 18: Running Python Commands &amp; Arguments in Terminal: https://youtu.be/8gHsoKKlK4Y
Day 19: Integrating - Part 1: https://youtu.be/o6KzrntU1L4
Day 20: Integrating - Part 2: https://youtu.be/_gNuaiaVHlk
Day 21: Web Scraping with Python 3 Python Requests &amp; BeautifulSoup: https://youtu.be/-y6eLGtaBZk
Day 22: Web Scraping in Python Programming - Part 2: https://youtu.be/Jwul8lrFtIU
Day 23: Web Scraping in Python Programming - Part 3: https://youtu.be/XmbqjiHxHso
Day 24: Web Scraping in Python Programming - Part 4: https://youtu.be/XIFQKMg_FT0
Day 25: Web Scraping on Javascript Driven HTML using Python - Part 1: https://youtu.be/vcnomT0CP0Y
Day 25: Web Scraping on Javascript Driven HTML using Python - Part 2: https://youtu.be/-yVNqaxejVg
Day 26: Get Data with an API in Python Programming - Part -1: https://youtu.be/Adh96nNrjAM
Day 26: Get Data with an API in Python Programming - Part -2: https://youtu.be/sRcFNhX2qlU
Day 27: Sending SMS Messages with Python &amp; Twilio - Part 1: https://youtu.be/8PYyHnD0djI
Day 27: Sending SMS Messages with Python &amp; Twilio - Part 2: https://youtu.be/c8cRuJm-r44
Day 28: Twilio Python Client &amp; SMS: https://youtu.be/jADGlJliapU
Day 29: Twitter API with Python: https://youtu.be/dQG4mkD5Nd4
Day 30: Login with IMAP in Python Programming: https://youtu.be/Gql_NQv3ND4
Day 30: Fetch &amp; Convert Email in Python Programming: https://youtu.be/bbPwv0TP2UQ
Day 30: Save Emails Locally in Python Programming: https://youtu.be/Jt8LizzxkPU
Check out our Social Media:
Google + : http://bit.ly/2NxLHUi
Facebook: http://bit.ly/2x2gLlq
Copyright© Python Codex.</t>
  </si>
  <si>
    <t>Analysis and Visualization of Facebook Network of Friends using Gephi</t>
  </si>
  <si>
    <t>Like us on facebook :
https://www.facebook.com/shoutouthigh5/
Latest video: Sentiment Analysis
https://www.youtube.com/watch?v=WoO19YOwCRk
Download the dataset:
https://github.com/HighFiveLearning/Text_Mining/blob/master/comments.csv
(Right click on Raw and click on 'Save link as...')
Five simple steps to create a world cloud in R!
- Reading the file
- Creating a corpus
- Cleaning the corpus (removing stopwords, numbers, etc.)
- Creating a term document matrix
- Finally creating a word cloud!
Please note:
1) Closely look at the word cloud and remove words that do not make sense using the stopwords command
2) Keep your file in the working directory ; check it using getwd() command
3) These single word word clouds are called unigrams
4) Given a choice, I would take the data frame of the term document matrix and use it in Tableau to create a word cloud</t>
  </si>
  <si>
    <t>► Resume Template and Cover letter I used for applying to software internships and full-time jobs:
https://resume.joma.io
► Hang out with me or watch me play Valorant on Twitch
https://www.twitch.tv/jomaoppa
► Social Media
https://www.instagram.com/jomaoppa/
https://twitter.com/jomaoppa
https://www.facebook.com/jomaoppa
► Travelling? 
Save $55 for Airbnb: https://www.airbnb.com/c/jma366?currency=USD
Save $6 for Uber: https://www.uber.com/invite/jonathanm35052ue
Save $5 for Lyft: https://www.lyft.com/ici/MA45788
► Take a coding quiz! See if you're qualified for top tech companies and if you do really well, you can skip phone interviews:
https://triplebyte.com/a/OOGxKKg/d</t>
  </si>
  <si>
    <t>The talk is related to our new book: "Algorithm Design with Haskell" by Richard Bird and Jeremy Gibbons.
The book is devoted to five main principles of algorithm design: divide and conquer, greedy algorithms, thinning, dynamic programming, and exhaustive search. These principles are presented using Haskell, leading to simpler explanations and shorter programs than would be obtained with imperative languages. Carefully selected examples, both new and standard, reveal the commonalities and highlight the differences between algorithms. The algorithm developments use equational reasoning where applicable, clarifying the applicability conditions and correctness arguments.
In the talk, I propose to describe the premise of the book, including in particular the small aspect in which Haskell is insufficient, and to give an example.</t>
  </si>
  <si>
    <t>Shot 8th July 2013 at UNSW</t>
  </si>
  <si>
    <t>This free, online event was held on October 27, 2008, and was convened by the Ash Center's Government Innovators Network. Visit the Government Innovators Network to view the slide presentations related to this event, for information on future webinars, and to explore innovations in government at www.innovations.harvard.edu.
Event description: (Excel) .NetMap is an add-in for Office 2007 that provides social network diagram and analysis tools in the context of a spreadsheet. Adding the directed graph chart type to Excel opens up many possibilities for easily manipulating networks and controlling their display properties.
This session provided a walk-through of the basic operation of .NetMap. 
This tutorial was conducted by Marc Smith with an introduction by David Lazer.</t>
  </si>
  <si>
    <t>Social Network Analysis (SNA) has evolved as a popular, standard method for modeling meaningful, often hidden structural relationships in communities.  Existing SNA tools often involve extensive pre-processing or intensive programming skills that can challenge practitioners and students alike.  NodeXL, an open-source template for Microsoft Excel, offers a potentially low-barrier-to-entry framework for teaching and learning SNA.  We present the findings of 2 user studies of 21 graduate students who engaged in SNA using NodeXL.  We found NodeXL to be an effective tool for a diverse set of users, and significantly, a tightly integrated metrics/visualization tool that can spark insight and facilitate sense-making for students of SNA.  Our presentation will focus on the unique features that made NodeXL learnable and usable. After a brief overview of the NodeXL tool, we will describe our research methodology, based on Multi-dimensional In-depth Long-term Case studies (MILCs), an approach that enables effective evaluations of complex visual analytics tools.  We will discuss NetViz Nirvana, layout principles that can increase the readability and interpretative power of social network visualizations, and present a sample of visualizations produced by the students.  Finally, we will offer lessons learned for educators, researchers, and developers of SNA tools such as NodeXL.</t>
  </si>
  <si>
    <t>Bajamos informacion y la subimos a NodelXL para graficar una red En este caso tomamos como ejemplo la red hidrográfica en Venezuela. Nivel muy básico</t>
  </si>
  <si>
    <t>A video for undergraduates in social media courses at the University of Maine at Augusta that walks through the NodeXL installation process.  To learn about the UMA social media certificate, visit http://www.uma.edu/uma-social-media-certificate.html on the web.</t>
  </si>
  <si>
    <t>Visualizing Twitter Social Network Data using Gephi: Part 1
In this presentation you will learn how to visualize Twitter social data (Network Data) using open source tool Gephi. Most of the data visualization is done after the network data collected from Twitter and then processed on local machine. The Data was collected in realtime however the processing is done locally one a single machine. The objective of this presentation is to learn the open source graph visualization rather then process large amount of data. 
Twitter GraphML Content: 
https://docs.google.com/file/d/0B385K_-eDQPxenkzZzdzUDM0RlE/edit?usp=sharing
https://docs.google.com/file/d/0B385K_-eDQPxckVOYmxrQm1ZZmM/edit?usp=sharing
Gephi: http://gephi.org/
Blog: http://cloudcelebrity.wordpress.com/2013/02/20/visualizing-social-network-data-using-gephi/</t>
  </si>
  <si>
    <t>This is part two of a three-part introduction to NodeXL and its use for network analysis and visualization. Part two covers data imports and analysis.</t>
  </si>
  <si>
    <t>The graph represents a network of 1,271 Twitter users whose recent tweets contained "#ShakeUpShow", data obtained from Twitter on Friday, 26 May 2017 at 02:09 UTC. The tweets in the network were tweeted over the 9-day, 4-hour, 22-minute period from Tuesday, 16 May 2017 at 21:34 UTC to Friday, 26 May 2017 at 01:57 UTC.</t>
  </si>
  <si>
    <t>A Tutorial on various methods to import data into NodeXL.
Made as project work for the course " IT in Business Management" 
at VGSOM, IIT Kharagpu .
By Mayank and Anuradha - Team Dark Horses</t>
  </si>
  <si>
    <t>An introduction to the Network Overview Discovery and Exploration add-in for Excel 2007/2010.  NodeXL allows users to create network diagrams as easily as they can generate pie charts in a spreadsheet.  Social media networks from Twitter, email, YouTube, flickr, WWW, wikis, and Facebook are all available through NodeXL. Network metrics and visualizations are easy to generate with no programming skills required.  This video illustrates the use of NodeXL by mapping the connections among people who tweet the term "NodeXL".</t>
  </si>
  <si>
    <t>In the live demo you will learn how to visualizing social network data using NodeXL. NodeXL is an open source addon to Excel great to download social network data from Twitter, Facebook or flicker. In this example I am using twitter #Hashtag to collect social network data. 
NodeXL: http://nodexl.codeplex.com/
My Blog: http://cloudcelebrity.wordpress.com/</t>
  </si>
  <si>
    <t>This how-to exercise for COM/SOC 375 -- the undergraduate Social Networks at the University of Maine at Augusta -- proceeds step-by-step through the process of importing and visualizing Twitter and Facebook data using the Excel template NodeXL available free online at http://nodexl.codeplex.com . With software like this in constant development, the process is not without potholes; we consider some strategies for navigating around them.</t>
  </si>
  <si>
    <t>Map and report for the connections among the #FabChangeWeek tweeters.</t>
  </si>
  <si>
    <t>Explico neste video como fazer as entradas de dados no NODEXL e realizar uma primeira análise de redes. Video básico e introdutório. É aconselhável ter visto o primeiro video da série.</t>
  </si>
  <si>
    <t>In you social media ROI strategy identifying your influencers is critical. In this video I show you how to use NodeXL to find out the Twitter users that lead the conversation about SkillFeed, a training platform.
https://www.skillfeed.com/courses/1811-crash-course-on-social-media-roi</t>
  </si>
  <si>
    <t>For Assignment #2 in Fall 2012 undergraduate Social Networks at the University of Maine at Augusta, how do we think of parent/child and spouse/partner relations as a set of edges and vertices in an edge list or a sociogram?  How do we realize these in NodeXL?</t>
  </si>
  <si>
    <t>Basics of Social Network Analysis 
In this video Dr Nigel Williams explores the basics of Social Network Analysis (SNA): Why and how SNA can be used in Events Management Research. 
The freeware sound tune 'MFF - Intro - 160bpm' by Kenny Phoenix http://www.last.fm/music/Kenny+Phoenix was downloaded from Flash Kit 
http://www.flashkit.com/loops/Techno-Dance/Techno/MFF_-_In-Kenny_Ph-10412/index.php   
The video's content includes:
Why Social Network Analysis (SNA)?
Enables us to segment data based on user behavior.
Understand natural groups that have formed:
a. topics
b. personal characteristics
Understand who are the important people in these groups. 
Analysing Social Networks: 
Data Collection Methods: 
a. Surveys 
b. Interviews 
c. Observations
Analysis:  
a. Computational analysis of matrices
Relationships:
A. is connected to B. 
SNA Introduction:
[from] A. Directed Graph [to] B. e.g. Twitter replies and mentions 
A. Undirected Graph B. e.g. family relationships 
What is Social Network Analysis?
Research technique that analyses the Social structure  that emerges from the combination of relationships among members of a given population (Hampton &amp; Wellman (1999); Paolillo (2001); Wellman (2001)).
Social Network Analysis Basics: Node and Edge
Node:
“actor” or people on which relationships act
Edge: 
relationship connecting nodes; can be directional
Social Network Analysis Basics: Cohesive Sub-group
Cohesive Sub-group: 
a. well-connected group, clique, or cluster, e.g. A, B, D, and E
Social Network Analysis Basics: Key Metrics
Centrality (group or individual measure): 
a. Number of direct connections that individuals have with others in the group (usually look at incoming connections only).
b. Measure at the individual node or group level.
Cohesion (group measure): 
a. Ease with which a network can connect.
b. Aggregate measure of shortest path between each node pair at network level reflects average distance.
Density (group measure):
a. Robustness of the network.
b. Number of connections that exist in the group out of 100% possible. 
Betweenness (individual measure):
a. Shortest paths between each node pair that a node is on. 
b. Measure at the individual node level. 
Social Network Analysis Basics: Node Roles: 
Node Roles: 
Peripheral – below average centrality, e.g. C. 
Central connector – above average centrality, e.g. D. 
Broker – above average betweenness, e.g. E.
References and Reading
Hampton, K. N., and Wellman, B. (1999). Netville Online and Offline Observing and Surveying a Wired Suburb. American Behavioral Scientist, 43(3), pp. 475-492.
Smith, M. A. (2014, May). Identifying and shifting social media network patterns with NodeXL. In Collaboration Technologies and Systems (CTS), 2014 International Conference on IEEE, pp. 3-8.
Smith, M., Rainie, L., Shneiderman, B., and Himelboim, I. (2014). Mapping Twitter Topic Networks: From Polarized Crowds to Community Clusters. Pew Research Internet Project.</t>
  </si>
  <si>
    <t>In this how-to video for the undergraduate social networks course at the University of Maine at Augusta, we work through installing, entering edge lists, and visualizing tie strength with NodeXL, an Excel template available from the Social Media Research Foundation at http://nodexl.codeplex.com on the web.</t>
  </si>
  <si>
    <t>This video, created for the undergraduate social networks course at the University of Maine at Augusta ( http://uma.edu ), uses the example of the Maine Politics hashtag #mepolitics to demonstrate methods for searching, extracting and visualizing twitter relations as social networks using free and open-source NodeXL software ( http://nodexl.codeplex.com ).</t>
  </si>
  <si>
    <t>Networks can be viewed at three levels: the vertex, the group and the graph.
Get insights at each level of your network with NodeXL.
https://www.nodexlgraphgallery.org/Pages/Registration.aspx
#ThinkLink #SNA #BigData #DataVis #SMM #InfoVis #marketing #digitalmarketing #socialmedia #influencermarketing</t>
  </si>
  <si>
    <t>This video, produced for the Undergraduate Social Network Analysis course at the University of Maine at Augusta, shows how simple and quick installing NodeXL software can be.  Within minutes, you can be entering network information and playing with network visualization.
Update: it's been more than three years since this video was shot, and in the meantime the link to download and install NodeXL has changed to https://www.smrfoundation.org/nodexl/installation/ .</t>
  </si>
  <si>
    <t>DURGA SIR Youtube Live Stream Session LIST
==========================================
UI Technologies by Durga Sir
Youtube Live Stream On 29-06-2020@8:15 AM IST
Youtube Live Stream Link:https://youtu.be/nHKVqBzldwU
------------------------------------------------------------
Django with Realtime Project Youtube Live Stream by Durga Sir
Youtube Live Stream On 29-06-2020@11:00AM IST
Youtube Live Stream Link:https://youtu.be/0BkXJ_OxFxo
----------------------------------------------------------
Java New Features From Java 8 to 14 by Durga sir &amp; Nagoor Babu sir
Youtube Live Stream On 29-06-2020@2:00PM IST
Youtube Live Stream Link:https://youtu.be/p1Md20vO4Ts
-------------------------------------------------------
GIT For DEVOPS Youtube Live Stream By Durga Sir
Youtube Live Stream On 29-06-2020@5:00PM IST
YouTube Live Stream Link :https://youtu.be/pqUFu4cPcD8
=========================================================
Python in Simple Way Youtube Live Stream by Durga Sir
Youtube Live Stream On 28-06-2020@7:30PM IST
YouTube Live Stream Link :https://youtu.be/WVnevZMSLDY
============================================
UNIX/LINUX Youtube Live Stream  by Durga Sir
Youtube Live Stream On 28-06-2020@9:30PM IST
YouTube Live Stream Link :https://youtu.be/SKhp-T-AzQg</t>
  </si>
  <si>
    <t>This walkthrough video demonstrates one variety of user-friendly social media data mining -- how to uncover meaning in Twitter search networks using the software package NodeXL Pro.  Three applications: NodeXL's ready-made Top Ten function, working with word pairs in the text of Tweets to generate semantic networks, and characterizing hashtag overlaps for a more concentrated account of meaning in network form.  I work with the example of the hashtag #Paris. Created for the undergraduate social network analysis course at the University of Maine at Augusta.</t>
  </si>
  <si>
    <t>WE found Heaven In Minecraft!
_xD83D__xDC9C_ Become a super awesome YouTube Member! https://www.youtube.com/aphmaugaming/join
_xD83D__xDC9C_ Come at a look at my merch! _xD83D__xDC9C_
https://teespring.com/stores/shop-aphmau 
► Instagram: https://www.instagram.com/aphmau_ 
====. * ･ ｡ﾟ☆ [Friends!] ☆｡ﾟ･* .====
★ Chris: Escalante: https://twitter.com/CEscalanteMusic 
★ Michael Zekas: https://twitter.com/michaelazekas
★ Moeka: https://www.youtube.com/c/MegaMoeka
#Minecraft #Aphmau</t>
  </si>
  <si>
    <t>SUBSCRIBE to BRAWADIS ▶ http://bit.ly/SubscribeToBrawadis
FOLLOW ME ON SOCIAL
▶ Twitter: https://twitter.com/Brawadis
▶ Instagram: https://www.instagram.com/brawadis/
▶ Snapchat: brawadis
Hi! I’m Brandon Awadis and I like to make dope vlogs, pranks, reactions, challenges and basketball videos. Don’t forget to subscribe and come be a part of the BrawadSquad!</t>
  </si>
  <si>
    <t>WE STARTED A PRANK WAR...
▻  Subscribe to see more videos from me! ◅
 https://www.youtube.com/channel/UCVAbWl3d3XuHY28wU9DoDpA
▻  I post dancing videos every FRIDAY here ◅ 
✦  Instagram-https://www.instagram.com/piersonwodzynski/
▻ Check out my last video: YELLING COMPLIMENTS AT STRANGERS ◅
✦ https://www.youtube.com/watch?v=cxN6evnvza4&amp;t=20s
Brent Rivera - @Brent Rivera
Ben Azelart -  @Ben Azelart 
Lexi Hensler - @Lexi Hensler   
Lexi Rivera - @Alexa Rivera 
Jeremy Hutchins:  @Jeremy Hutchins  
Andrew Davila - @Andrew Davila 
Dom Brack - @thedombrack
Mason Fulp: @MasonFulp 
Logan Wodzynski: @LoganWodzynski
▻ About me! ◅
✦ How old are you?
I'm 21 years old
✦ Where are you located?
Sunny Southern California!
✦ Why did you start Youtube?
To connect with more people! To learn from others &amp; be able to share what makes me happy in life!
Music by Joakim Karud http://youtube.com/joakimkarud
Has anyone told that you’re KILLIN the GAME today?? I love u!</t>
  </si>
  <si>
    <t>Short explanation of a simple measure of modularity.  How well does your structure detection method work?</t>
  </si>
  <si>
    <t>How to use the free open source vector image editor Inkscape to draw an ink splash or splatter. Get inkscape here: http://www.inkscape.org</t>
  </si>
  <si>
    <t>This is the accompanying video for the CHI 2013 paper "Weighted Graph Comparison Techniques for Brain Connectivity Analysis".
Abstract: The analysis of brain connectivity is a vast field in neuroscience with a frequent use of visual representations and an increasing need for visual analysis tools. Based on an in-depth literature review and interviews with neuroscientists, we explore high-level brain connectivity analysis tasks that need to be supported by dedicated visual analysis tools. A significant example of such a task is the comparison of different connectivity data in the form of weighted graphs. Several approaches have been suggested for graph comparison within information visualization, but the comparison of weighted graphs has not been addressed. We explored the design space of applicable visual representations and present augmented adjacency matrix and node-link visualizations. To assess which representation best support weighted graph comparison tasks, we performed a controlled experiment. Our findings suggest that matrices support these tasks well, outperforming node-link diagrams. These results have significant implications for the design of brain connectivity analysis tools that require weighted graph comparisons. They can also inform the design of visual analysis tools in other domains, e.g. comparison of weighted social networks or biological pathways.</t>
  </si>
  <si>
    <t>Webucator is rolling out our instructor-led online Excel 2010 courses and this tutorial was created as part of the course development process.  The Introduction to Excel 2010 class outline is under development and will soon be available at http://www.webucator.com/net/course/introduction-to-microsoft-excel-2010-training.cfm</t>
  </si>
  <si>
    <t>A visualization of the "Louvain" community detection algorithm in action. The input graph is the result of the search "windows". See http://www.slideshare.net/keithpjolley/keith-jolley-project-report-final-rev-b for more context.</t>
  </si>
  <si>
    <t>http://www.NeuroXL.com This demo shows an example of using NeuroXL Clusterizer in financial services marketing clustering of households by their banking status)</t>
  </si>
  <si>
    <t>This video will show you how to change node size in network according to their degree.</t>
  </si>
  <si>
    <t>Did this because I couldnt be bothered writing up how to do it and I'll forget in two weeks. It is however, very easy... you will need graph data in a format Gephi plays nice with. I used netvizz 0.5.
Quickly find out who is the broker between networks etc. Marketing people (and MI5) must love this stuff.</t>
  </si>
  <si>
    <t>Learn how to make 7 genius life hacks and put them to the ultimate test to see who will survive in a giant, real life orbeez pool backyard obstacles challenge for 24 hours! You will finally answer the question everyone wants to know… Do life hacks actually work?? You won’t believe these shocking results! Last time, brothers (not twins) the key bros competed in a do it yourself candy making competition filled with gummy food vs real food, fake foods, and tasty edible ice cream. Today there is an insane wipeout style obstacle course where the floor is over 1 Million Orbeez instead of hot lava, there are impossible Dude Perfect level trick shots you don’t want to miss, a TikTok art challenge on an Avengers Captain America quality shield, a homemade squishy tutorial, watermelon hacks, amazing science experiments, and even a few pranks. Trying and testing the craziest hacks is so hilarious you will want to see your friends react! It’s another awesome and amazing viral video in this satisfying comedy entertainment and easy tutorial life hack and prank compilation series. 
JOIN OUR INFLUENCER SUMMER CAMP CONTEST: Click here now: http://bit.ly/3i2qqhV
Thank you Adobe for sponsoring this video. #ad
#lifehacks #InRealLife #24Hours #orbeez #diy #HowTo #lifehack #genius #artchallenge #collinskey #tiktok #pool #testing #IRL
JOIN OUR FREE KEYPER CLUB! http://www.keyperclub.com/
FOLLOW COLLINS KEY
Instagram: https://www.instagram.com/CollinsKey/
Twitter: https://twitter.com/CollinsKey
Snapchat: CollinsKey
DEVAN'S LINKS: 
Insta:https://www.instagram.com/DevanKey/
Twitter: https://twitter.com/DevanKey
Snapchat: DevanKey
Bella Mancuso
Instagram: https://www.instagram.com/BelleMancuso
Watch More Awesome Videos:
9 Genius DIY Life Hacks Plus The Best New Art Challenge You Need To Know How To Do
https://www.youtube.com/watch?v=PUvp9fmAAAY
The Norris Nuts - LETTING OUR KIDS TURN 21 AGAIN w/the Norris Nuts
https://www.youtube.com/watch?v=vHFKe8io49s
Preston - Trapped in ICE Prison for 24 Hours... - Challenge
https://www.youtube.com/watch?v=0Odbn6IHHOU
Unspeakable - INFINITE GAMEBOARD MINECRAFT CHALLENGE!
https://www.youtube.com/watch?v=O4dKrH69aR0
Brent Rivera - SURPRISING MY FRIENDS WITH THEIR FAVORITE SINGER!!
https://www.youtube.com/watch?v=UDEVTuAIKxQ
The Royalty Family - Ferran's DREAM Finally COMES TRUE! | The Royalty Family
https://www.youtube.com/watch?v=VGqd8iWddmk
10 Amazing Watermelon LifeHacks!! Experiment at Home
https://www.youtube.com/watch?v=8_D9wHSbKKw</t>
  </si>
  <si>
    <t>Links:
http://www.raspberrypi.org/downloads
http://osxfuse.github.com/
http://nodejs.org/download/
http://expressjs.com/
Commands:
sudo dd if=YourRaspianImage of=/dev/diskXYZ
ssh pi@IPAddress
mkdir .ssh
ssh-keygen
scp id_rsa.pub pi@IPAddress:.ssh/authorized_keys
sshfs pi@IPAddress: SomeDirectory
wget http://nodejs.org/dist/v0.8.16/node-v0.8.16.tar.gz
tar -zxf node-v0.8.16.tar.gz
cd node-v0.8.16
./configure
make
sudo make install
sudo apt-get install screen
screen
screen -r
sudo sh install-node.sh
node --version
npm ---version
sudo node node-server.js
Node.js example server:
var http = require('http');
http.createServer(function(req, res) {
  res.end('Hello, Raspberry Pi');
}).listen(80);</t>
  </si>
  <si>
    <t>这里下载探探APP: https://tantanapp.onelink.me/QIxD/c39d5a1a
Download Tantan app: https://tantanapp.onelink.me/QIxD/c39d5a1a
-----------------------------------------------------------------------------------------------------------------------------------------------------------
我们是来自新加坡的姐妹花，每周都会发视频哦～ 我们的视频，都会尽量加上中文字幕，方便大家都理解，所以记得订阅支持我们
We are a pair of sisters from Singapore and we post a video on YouTube every week! :D 
GET TO KNOW US BETTER AT:
Tiffanie - http://instagram.com/iamtiffanie
Michy - http://Instagram.com/linmixue
FACEBOOK PAGE - https://www.facebook.com/TiffWithMi/
Collaborations/Advertising - tiffwithmi@gmail.com</t>
  </si>
  <si>
    <t>Ouça o novo àlbum "Coração Bandido" via streaming:
http://smarturl.it/CoracaoBandido
___________________________________
Música: Rede Social
LETRA:
Pode me bater, pode me xingar
Pode até pedir tempo pra pensar, faz o que quiser
Mas só não diz que a gente tem que terminar
Que eu não vou aceitar
Pode me humilhar, me chamar de resto
Pode me gritar, dizer que eu não presto
Faz o que quiser mas pelo amor de Deus
Não diz que é o nosso fim
da outra chance pra mim
Eu troquei retrato pelo telefone
E no Whatsapp até mudei meu nome
Mas só que eu fui descoberto
Quando tentei ser esperto
Eu cai no fake, fui desmascarado
Era um face falso e eu fui enganado
Era você me testando
Me deu corda e eu fui me enforcando
Você não merecia nada do que eu fiz
Eu só te fiz infeliz
Eu cai, botei nosso amor em jogo
Eu trai, mas não vou trai de novo
Aprendi que essa tal rede social pode acabar
Com o casamento ou com um namoro de um casal
Deletei meu perfil do Facebook
Eu mudei, nunca mais te dou o truque
Aprendi que essa tal rede social pode acabar
com o casamento ou com um namoro de um casal
Prometo nunca mais mentir pra você.</t>
  </si>
  <si>
    <t>Mini Curso Gratuito promovido pela Escola do Marketing Digital com Alan Lupatini. Descubra as possibilidades de mensuração do Facebook e saiba o que cada dado significa. Aprenda a interpretar resultados e qualifique sua presença e o engajamento entre sua marca e seu público. Conheça outros mini cursos em http://escoladomarketingdigital.com.br/mini-cursos-gratuitos/</t>
  </si>
  <si>
    <t>Bueno amigos en este vídeo les explicare ¿que es una red semántica? y como funciona...</t>
  </si>
  <si>
    <t>Become a cutting-edge TABLEAU expert in as little as 8 HOURS with our newest data science online course — now 95% off.
Dive into all that Tableau 2018 has to offer and take your data science career to whole new heights with “Tableau 2018: Hands-On Tableau Training For Data Science” — currently rated 4.6/5 on Udemy. 
Learn by doing with step-by-step lectures, real-life data analytics exercises and quizzes. 
=================================================
95% OFF — A limited time, YouTube ONLY offer!
Enroll today ==&amp;gt https://www.udemy.com/tableau-2018/?couponCode=YOUTUBE95
=================================================
Here’s what some of our bright students have to say about the course!
“I took almost every course from [instructor] Kirill and his team. This is one of the best ones so far. Examples and pace of the course are perfect in my opinion.” — Philipp S.
“Intuitive guidance about how to interpret data and present it in a way that is easily comprehensible.” — Khushwinder B.
Join over 523,000 data science lovers and professionals in taking your skills to the next level. Leverage opportunities for you or key decision makers to discover data patterns such as customer purchase behavior, sales trends, or production bottlenecks.
Master everything there is to know about Tableau in 2018
========================================
- Getting started
- Tableau basics
- Time series, aggregation and filters
- Maps, scatterplots and launching your first dashboard
- Joining and blending data
- Creating dual axis charts
- Table calculations, advanced dashboards, storytelling
- Advanced data preparation
- Clusters, custom territories, design features
- What’s new in Tableau 2018
Learn on-the-go and at your convenience — via mobile, desktop, and TV — in a 70-lecture course that breaks down topics into fun and engaging videos while covering all the Tableau 2018 functions you’ll ever need. And don’t hesitate to start from the beginning, or skip ahead with our independent modules.
Learn how to make Word Cloud in Tableau through this amazing tutorial!
Get the dataset and completed Tableau workbook here:
https://www.superdatascience.com/yt-tableau-custom-charts-series/
A visualisation method that displays how frequently words appear in a given body of text, by making the size of each word proportional to its frequency. All the words are then arranged in a cluster or cloud of words. Alternatively, the words can also be arranged in any format: horizontal lines, columns or within a shape.
Word Clouds can also be used to display words that have meta-data assigned to them. For example, in a Word Cloud of all the World's countries, population could be assigned to each country's name to determine its size.
Colour used on Word Clouds is usually meaningless and is primarily aesthetic, but it can be used to categorise words or to display another data variable.
Typically, Word Clouds are used on websites or blogs to depict keyword or tag usage. Word Clouds can also be used to compare two different bodies of text together.
To stay up to date with our latest videos make sure to subscribe to SuperDataScience YouTube channel!</t>
  </si>
  <si>
    <t>http://www.LearnCodeOnline.in
Machine learning is just to give trained data to a program and get better result for complex problems. It is very close to data mining. 
While many machine learning algorithms have been around for a long time, the ability to automatically apply complex mathematical calculations to big data – over and over, faster and faster – is a recent development. Here are a few widely publicized examples of machine learning applications you may be familiar with:
The heavily hyped, self-driving Google car? The essence of machine learning.
Online recommendation offers such as those from Amazon and Netflix? Machine learning applications for everyday life.
Knowing what customers are saying about you on Twitter? Machine learning combined with linguistic rule creation.
Fraud detection? One of the more obvious, important uses in our world today.
fb: https://www.facebook.com/HiteshChoudharyPage
homepage: http://www.hiteshChoudhary.com</t>
  </si>
  <si>
    <t>Professor Marcos Paulo Ferreira de Araújo
 Aula 1 – O que é um grafo?
Introduzimos o conceito de grafo, uma representação de elementos e das relações entre eles através de vértices e elos (ou arestas). Apresentamos dois problemas aparentemente não relacionados, mas que podem ser visualizados através de grafos. O primeiro é o famoso problema das Pontes de Königsberg, e o segundo pede para se mostrar que em qualquer grupo existem duas pessoas que possuem o mesmo número de amizades dentro do grupo.</t>
  </si>
  <si>
    <t>Testador de Cabos de Rede, LAN, Telefone, RJ45, RJ11, BNC, USB com Scanner, LCD, e Rastrador de Fios (Network LCD LAN Cable Tester Phone Wire Tracker RJ45 RJ11 BNC USB Scanner 5E, 6E) 
Avaliação Completa no Skooter Blog: http://www.skooterblog.com/2014/04/28/ebay-testador-de-cabos-de-rede-lan-telefone-usb-bnc-e-firewire-com-rastreador-de-cabos-e-display-lcd-network-lcd-lan-cable-tester-phone-wire-tracker-rj45-rj11-bnc-usb-scanner-5e-6e/</t>
  </si>
  <si>
    <t>Professor Marcos Paulo Ferreira de Araújo
Aula 18 – Cortando uma rede de vôlei
Uma certa rede de vôlei possui 20x50 quadradinhos. Com o passar do tempo, alguns dos barbantes que conectam os vértices dos quadradinhos podem se romper, entretanto, será necessário que vários barbantes arrebentem para que a rede se desfaça em dois ou mais pedaços. Qual é o número máximo de barbantes que podemos cortar de modo que a rede continue em um pedaço após os cortes?
Veremos que este problema tem uma relação muito forte com árvores, isto é, grafos conexos e sem ciclos. A solução apresentada, mais do que simplesmente resolver o problema acima, nos diz que qualquer grafo conexo possui um subgrafo com o mesmo número de vértices e que também é uma árvore.</t>
  </si>
  <si>
    <t>Ejercicios con gephi-..... si desean que realice algún video sobre mas ejercicios con gephi me lo comentan
Este link es  para exportar bases de datos a gephy o similar
http://www.youtube.com/watch?v=0v4PPnAX8Lo</t>
  </si>
  <si>
    <t>Video motrando como fazer diagramas de redes utilizando o Diagram Editor - Dia.
Acesse o nosso site www.laercio.com.br
FB: www.facebook.com/laerciovascon­celosofici­al</t>
  </si>
  <si>
    <t>NIVELAMENTO COM ARGAMASSA EPOXIDICA - FACIL APLICAÇÃO, MOLDAVEL, ALTA RESISTENCIA E CURA EM 12 HORAS PARA TRAFEGO LEVE E 24 PARA PESADO.
www.hardyfloor.com.br</t>
  </si>
  <si>
    <t>Tutorial sobre a ferramenta My Maps da Google, mostrando como importar dados georeferenciados, criar pontos de interesse, perimetros e outros objetos geográficos. Mostra também como construir rotas de interesse e mapas informativos tipo coropléticos.
(Recorded with https://screencast-o-matic.com)</t>
  </si>
  <si>
    <t>neste video tutorial mostramos rapidamente algumas caracteristicas principais do Gephi, software que é referência para a análise de redes sociais e outros tipos de rede
(Recorded with http://screencast-o-matic.com)</t>
  </si>
  <si>
    <t>Importando consultas para o Gephi</t>
  </si>
  <si>
    <t>Mostrando o funcionamento de um robo para coletar dados da internet</t>
  </si>
  <si>
    <t>This how-to video for the undergraduate Analyzing Social Media course at the University of Maine at Augusta walks you through three ways to uncover meaningful patterns in the content of Twitter posts through open source NodeXL software.  Method 1: the built-in "Top Ten" metrics function of NodeXL.  Method 2: generating semantic networks.  Method 3: generating hashtag networks.  Learn more about social media education at the University of Maine at Augusta through our Social Media Certificate page, http://www.uma.edu/uma-social-media-certificate.html on the web.</t>
  </si>
  <si>
    <t>In this E-Lecture Prof. Handke discusses several approaches towards the definition of word meaning, among them semantic fiels, componential analysis, meaning postulates and cognitive approaches, such as semantic networks and frames.</t>
  </si>
  <si>
    <t>Understanding betweenesss centrality in social networks is very important, but can also be a bit tricky to calculate.  This video offers a few social networks for you to calculate betweenness centrality with.  Follow along with the first two examples and then try it on your own!  Note: this video works with Linton C. Freeman's version of betweenness centrality from his classic 1977 paper in Sociometry.</t>
  </si>
  <si>
    <t>Network charts help data scientists map relationships at scale and identify clusters of activity. In this example, Mavens have mapped the hashtags used in Instagram posts in conjunction with #Pumpkinspice to quickly identify the key related topics, including recipes, Starbucks, and pumpkin spice hair. 
Credits:
James Campbell, Principal Consultant, Mavens of London
Rachel Singer, Marketing Coordinator, Mavens of London
Chris Tongue, Director @ Dead Ready Productions
Download the full SVG image of this network chart here: http://bit.ly/HNetworkYT</t>
  </si>
  <si>
    <t>NULL</t>
  </si>
  <si>
    <t>http://r-for-beginners.strategic-leadership-llc-india.com/social-network-analysis/social-network-analysis---2-package-sand
library("sand", lib.loc="~/R/win-library/3.1")
library("rgl", lib.loc="~/R/win-library/3.1")
library("igraph", lib.loc="~/R/win-library/3.1")</t>
  </si>
  <si>
    <t>This is the first video of chapter 1 of Network Analysis by Eric Ma. Take Eric's course: https://www.datacamp.com/courses/network-analysis-in-python-part-1
From online social networks such as Facebook and Twitter to transportation networks such as bike sharing systems, networks are everywhere, and knowing how to analyze this type of data will open up a new world of possibilities for you as a Data Scientist. This course will equip you with the skills to analyze, visualize, and make sense of networks. You'll apply the concepts you learn to real-world network data using the powerful NetworkX library. With the knowledge gained in this course, you'll develop your network thinking skills and be able to start looking at your data with a fresh perspective!
Transcript:
Hi! My name is Eric, and I am a Data Scientist working at the intersection of biological network science and infectious disease, and I'm thrilled to share with you my knowledge on how to do network analytics. I hope we'll have a fun time together!
Let me first ask you a question: what are some examples of networks? Well, one example might be a social network! In a social network, we are modelling the relationships between people.
Here’s another one - transportation networks. In a transportation network, we are modelling the connectivity between locations, as determined by roads or flight paths connecting them.
At its core, networks are a useful tool for modelling relationships between entities.
By modelling your data as a network, you can end up gaining insight into what entities (or nodes) are important, such as broadcasters or influencers in a social network. Additionally, you can start to think about optimizing transportation between cities. Finally, you can leverage the network structure to find communities in the network.
Let’s go a bit more technical. Networks are described by two sets of items: nodes and edges. Together, these form a “network”, otherwise known in mathematical terms as a “graph”.
Nodes and edges can have metadata associated with them. For example, let’s say there are two friends, Hugo and myself, who met on the 21st of May, 2016. In this case, the nodes may be “Hugo” and myself, with metadata stored in a key-value pair as “id” and “age”. The friendship is represented as a line between the two nodes, and may have metadata such as “date”, which represents the date on which we first met.
In the Python world, there is a library called NetworkX that allows us to manipulate, analyze and model graph data. Let’s see how we can use the NetworkX API to analyze graph data in memory.
NetworkX is typically imported as nx. Using nx.Graph(), we can initialize an empty graph to which we can add nodes and edges. I can add in the integers 1, 2, and 3 as nodes, using the add_nodes_from() method, passing in the list [1, 2, 3] as an argument. The Graph object G has a .nodes() method that allows us to see what nodes are present in the graph, and returns a list of nodes.
If we add an edge between the nodes 1 and 2, we can then use the G.edges() method to return a list of tuples which represent the edges, in which each tuple shows the nodes that are present on that edge.
Metadata can be stored on the graph as well. For example, I can add to the node ‘1’ a ‘label’ key with the value ‘blue’, just as I would assign a value to the key of a dictionary. I can then retrieve the node list with the metadata attached using G.nodes(), passing in the data=True argument. What this returns is a list of 2-tuples, in which the first element of each tuple is the node, and the second element is a dictionary in which the key-value pairs correspond to my metadata.
NetworkX also provides basic drawing functionality, using the nx.draw() function. nx.draw() takes in a graph G as an argument. In the IPython shell, you will also have to call the plt.show() function in order to display the graph to screen. With this graph, the nx.draw() function will draw to screen what we call a node-link diagram rendering of the graph.
The first set of exercises we’ll be doing here is essentially exploratory data analysis on graphs. Alright, let’s go on and take a look at the exercises! https://www.datacamp.com/courses/network-analysis-in-python-part-1</t>
  </si>
  <si>
    <t>This video shows how to use SNA package to analyze social networks in R programming language. Learn the basics of R language and try data science!
Ram Subramaniam Stanford</t>
  </si>
  <si>
    <t>This how-to video, shot for students in the undergraduate social networks course at the University of Maine at Augusta, demonstrates the use of the MMULT matrix multiplication command in Microsoft Excel to convert a 2-mode matrix into two 1-mode matrices.  The example of overlapping membership on the boards of directors of six Fortune 500 corporations is used as a walkthrough for students to work on their own assignments regarding a similar subject.  The habit of making mistakes and learning from them in the course of working with data is also modeled.  Screwing up is an integral part of doing academic work!  It's how we respond to the inevitable screwups that shapes our success.</t>
  </si>
  <si>
    <t>Social network analysis with several simple examples in R. 
R file: https://goo.gl/CKUuNt
Data file: https://goo.gl/Ygt1rg
Includes,
- Social network examples
- Network measures
- Read data file
- Create network
- Histogram of node degree
- Network diagram
- Highlighting degrees &amp; different layouts
- Hub and authorities
- Community detection
R is a free software environment for statistical computing and graphics, and is widely used by both academia and industry.  R software works on both Windows and Mac-OS. It was ranked no. 1 in a KDnuggets poll on top languages for analytics, data mining, and data science. RStudio is a user friendly environment for R that has become popular.</t>
  </si>
  <si>
    <t>The Sociological Science Behind Social Networks and Social Influence
Watch the newest video from Big Think: https://bigth.ink/NewVideo
Join Big Think Edge for exclusive videos: https://bigth.ink/Edge
---------------------------------------------------------------------------------- 
---------------------------------------------------------------------------------- 
ABOUT BIG THINK:
Smarter Faster™
Big Think is the leading source of expert-driven, actionable, educational content -- with thousands of videos, featuring experts ranging from Bill Clinton to Bill Nye, we help you get smarter, faster. S​ubscribe to learn from top minds like these daily. Get actionable lessons from the world’s greatest thinkers &amp; doers. Our experts are either disrupting or leading their respective fields. ​We aim to help you explore the big ideas and core skills that define knowledge in the 21st century, so you can apply them to the questions and challenges in your own life.
Other Frequent contributors include Michio Kaku &amp; Neil DeGrasse Tyson.
Michio Kaku Playlist: https://bigth.ink/kaku
Bill Nye Playlist: https://bigth.ink/BillNye
Neil DeGrasse Tyson Playlist: https://bigth.ink/deGrasseTyson
Read more at Bigthink.com for a multitude of articles just as informative and satisfying as our videos. New articles posted daily on a range of intellectual topics.
Join Big Think Edge, to gain access to a world-class learning platform focused on building the soft skills essential to 21st century success. It features insight from many of the most celebrated and intelligent individuals in the world today. Topics on the platform are focused on: emotional intelligence, digital fluency, health and wellness, critical thinking, creativity, communication, career development, lifelong learning, management, problem solving &amp; self-motivation.
BIG THINK EDGE: https://bigth.ink/Edge
If you're interested in licensing this or any other Big Think clip for commercial or private use, contact our licensing partner, Executive Interviews: https://bigth.ink/licensing
----------------------------------------------------------------------------------
Follow Big Think here:
_xD83D__xDCF0_BigThink.com: https://bigth.ink
_xD83E__xDDD4_Facebook: https://bigth.ink/facebook
_xD83D__xDC26_Twitter: https://bigth.ink/twitter
_xD83D__xDCF8_Instagram: https://bigth.ink/Instragram
_xD83D__xDCF9_YouTube: https://bigth.ink/youtube
✉ E-mail: info@bigthink.com 
 ----------------------------------------------------------------------------------</t>
  </si>
  <si>
    <t>The social network data sets you find online often aren't in the format you need for the analysis tool you are using. There generally aren't converters that will simply change one format to another. However, you can often do the conversion yourself with some creative cut &amp; paste and search &amp; replace. Here, I pick a file I've never seen before and walk you through how I analyze the format, convert it, and import it into Gephi.</t>
  </si>
  <si>
    <t>DOWNLOAD Lab Code &amp; Cheat Sheet: https://drive.google.com/open?id=0B2JdxuzlHg7OYnVXS2xNRWZRODQ
Let’s try turning some data into a graph for ourselves in R, an open-source statistical program This video is part of a series where we give you the basic concepts and options, and we walk you through a Lab where you can experiment with designing a network on your own in R. Hosted by Jonathan Morgan and the Duke University Network Analysis Center.
Further training materials available at https://dnac.ssri.duke.edu/intro-tutorials.php
Duke Network Analysis Center: https://dnac.ssir.duke.edu</t>
  </si>
  <si>
    <t>Social networks are a means to understand social structures. This has become increasingly relevant with the shift towards mediated interaction. Now we can observe and often analyse links at a scale that far outpaces what was possible only decades ago. While this prompts new methodologies, the large-scale networks we can observe can still be informed by classis questions in social network analysis.
In this class, we take a brisk tour through the classic ideas of social network analysis including preferential attachment, small worlds, homophily, the friendship paradox and clustering. Bernie demonstrates how these ideas are not only applicable to modern digital networks but have been updated with interesting insights fromdata on Twitter, Facebook and the World Wide Web itself.
This is an introductory class, an advanced class session is planned for 2018. 
Readings:
Hidalgo, C.A. (2016). Disconnected, fragmented, or united? A trans-disciplinary review of network science. Applied Network Science, 1(6), 1-19 . http://doi.org/10.1007/s41109-016-0010-3
Hogan, B. (2017). Online Social Networks: Concepts for Data Collection and Analysis. In Fielding, N.G., Lee, R., &amp; Blank, G. (eds). The Sage Handbook of Online Research Methods. Thousand Oaks, Ca: Sage Publications. Pp. 241-258 Retrieved from https://papers.ssrn.com/sol3/papers.cfm?abstract_id=3047869 
Harrington, H.A., Beguerisse-diaz, M., Rombach, M.P., Keating, L. M., &amp; Porter, M.A. (2013). Commentary: Teach network science to teenagers. Network Science, 1(2), 226-247. http://doi.org/10.1017/nws.2013.11
#datascienceclasses</t>
  </si>
  <si>
    <t>In Lesson 4, we move beyond R packages as a data source for text mining and shift our attention to Twitter, a rich source of text data for a variety of educational contexts. For those of you who have set up a twitter developer account, I’ll walk you through the process of using your developer keys and tokens to pull data using Twitter’s API as described by Chris Bail. Note that some of the code he’s provided is outdated and I’ll show you the updated code for passing through your credentials to be able to search and pull tweets. To do so, you’ll need to install and load the rtweet package using the following code:
install.packages("rtweet")
library(rtweet)
The rtweet package provides a range of functions for pulling: tweets from a keyword search; a user(s) friends, followers, favorites, or timeline; and trending tweets based on a specificed topic. For our purposes, we’ll focus the following two functions to collect data from Twitter:
- create_token( ) which passes on our credentials to Twitter’s API so we can access data.
- search_tweets( ) for getting tweets based on a specified kewyord or hastag.
- ts_plot( ) to quickly visualize frequency of tweets over time.
For those of you who have not set up developer credentials, have no fear. I’ll be providing data from Twitter that can be used to work through the examples in this video or for your Part 2 analysis. Data is also provided through the required reading in Text Mining with R for this lesson, which include directions for downloading your own Twitter archive as well as a demonstration of several useful functions for getting and cleaning tweets from the readr, stringr, and base packages respectively:
- read_csv( ) function from the readr package for reading in .csv files.
as.Date( ) from base R for working with twitter timestamps.
- str_detect( ) from the stringr package for finding special characters in text that we want to remove.
- str_remove_all( ) for removing speical characters from our tweets like “&amp;amp, &amp;lt, or &amp;gt”.
On that note, the required readings for this lesson include:
- Sentiment Anlysis from Chris Bail’s Text as Data course.
- Case study: comparing twitter archives from Text Mining with R.
Note that for the case study, we’re primarily interested in the early examples of reading in and cleaning text, and some basic plotting with ggplot. You are not required to work through and understand all the code, but I do ask that you read through the entire chapter to get a sense of other ways you can look at twitter data.
Per usual, if you run into any issues, please post your question or issue to the forum and we’ll figure it out!</t>
  </si>
  <si>
    <t>In Lesson 4 we'll take our first steps at some rudimentary analyses of our tokenized text. We'll start with some basic counts to find the most common words in our text, then examine word frequencies and rank. Finally we'll take a look at inverse document frequency (idf) to find the words that are important (i.e., common) in a text, but not too common, like with stop words.
Functions we'll be revisiting in this lesson include:
- c(  ) is our base R function for combining words, strings, numbers, value etc. into a single list or vector
- dplyr::anti_join( ) helps us remove stop words from our tidy text by comparing words in our tidy data frame against a dictionary of stop words and filtering them out where there are matches in both. 
- dplyr::mutate(  ) adds new variables, or columns, to our data frame. 
dplyr::summarise(  ) returns numerical summaries (e.g. mean, standard deviation, etc.) of a specified column.  
- dplyr::group_by(  ) is used in conjunction with summarise to perform calculations on groupings 
- tidytext::unnest_tokens(  ) takes a column consisting of text in each row and converts it into tokens (e.g. individual words, word pairs, etc.) and does some cleaning (i.e. removing punctuation, converting to lowercase, etc.)
We'll also be introduced to two new functions: 
- dplyr::count(  ) which, as the name implies, counts all the unique values in a specified column
- tidytext::bind_tf_idf(  ) calculates the tf-idf value to help identify common words unique to a specific text. 
We have a bit of required reading for this lesson and we'll be walking through most of it in the video. There are many examples of using ggplot2 to visualize the counts, frequencies, td-idf stats that are generated but you will not be responsible for understanding this code or using it in Unit 1. We'll dive deeper into the tidyverse in Unit 2 as we explore ggplot2 for visualization and move beyond the simple word clouds introduced in Lesson 5. 
Required readings for Lesson 4 include:
- Chapter 1.3: Tidying the works of Jane Austen 
- Chapter 1.5: The gutenbergr package
- Chapter 1.6: Word frequencies (Note: Just for reading. You are welcome to try out the code, but we will learn more about the ggplot package in Unit 2)
- Chapter 3: Analyzing word and document frequency: tf-idf (Note: We'll be working through this entire chapter including sections 3.1 - 3.5; Again, running the ggplot code is optional.)
Finally, I recommend the taking a look at the following resources:  
- WFT is tf-idf? by Enrique Fueyo (web article)
- Term Frequency–Inverse Document Frequency (TF-IDF) by Brad Batesole on Lynda.com (video) 
- What is tf-idf? featuring Josh Moody by 97th Floor (video)</t>
  </si>
  <si>
    <t>Table of Contents:
00:00 - Unit 2 Overview
00:29 - Basic Terminology
01:43 - Network Visualization (Sociogram)
03:21 - Edge Matrix
05:25 - Edge List
06:50 - Node Attribute List
07:40 - Individual Network Metrics
07:59 - Overall Network Metrics
08:03 - Individual Network Metrics
10:54 - Network Theory &amp; SNA
12:23 - Applications in Education
13:18 - Network Formation
16:16 - Describing Network Structure
16:46 - Describing Network Structure
17:26 - Study Background (OCoPs)
18:26 - Network Outcomes
19:27 - To Learn More…</t>
  </si>
  <si>
    <t>Lesson 2 of this unit will introduce you to some fundamental functions for data transformation from the dplyr tidyverse package. Specifically, the lesson will focus on using the following functions for wrangling data:
- mutate(  ) adds new variables that are functions of existing variables
- select(  ) picks variables based on their names.
- filter(  ) picks cases based on their values.
- summarise(  ) reduces multiple values down to a single summary.
- arrange(  ) changes the ordering of the rows.
In addition, we'll also be introduced to group_by(  ) function for summarizing your data by one or more variables (e.g. getting word counts for each document in a corpus) as well as a new operator, the pipe-operator, for performing multiple functions on our data without having to write at lot of repetitious code.
The video tutorial above will walk you through parts of Chapter 5 from R for Data Science while providing some commentary. However, there are additional exercises in the following Required readings from R for Data Science for this lesson include:
- Chapter 5: Data Transformation
- Chapter 6: Workflow Scripts
Required swirl lessons from the R Programming Course include:
- Lesson 2: Workspace and Files
- Lesson 3: Sequences of Numbers 
- Lesson 4: Vectors
Finally, I recommend printing and keeping on hand the following resources:
- dplyr Cheat Sheet
- R for Data Science Cheat Sheet</t>
  </si>
  <si>
    <t>Use Code: FRESH | SUBSCRIBE! https://goo.gl/gKMjmQ 
Follow me @
Twitch: https://www.twitch.tv/mrfreshasian
Twitter: https://www.twitter.com/mrfreshasian
Instagram: https://www.instagram.com/mrfreshasian/
Discord: https://discord.gg/yes
PO BOX:
Fresh
PO Box 4213
STRATHFIELD SOUTH NSW 2136
Business Inquiries: fresh@clickmgmt.com.au
mrfreshasian@gmail.com</t>
  </si>
  <si>
    <t>xd
LIKE and SUBSCRIBE if you enjoyed this video!
WATCH ME LIVE ON TWITCH! https://twitch.tv/McCreamy
Join my Notification Crew: click the _xD83D__xDD14_ Bell &amp; on Twitch click the _xD83D__xDC9C_
_xD83D__xDC26_ TWITTER - https://twitter.com/McCreamy
_xD83D__xDCF7_ INSTAGRAM - https://instagram.com/mccreamy
For more Fortnite Battle Royale gameplay watch me live at
https://twitch.tv/McCreamy
Music ▼
▶ Video Music 3: Epidemic Sounds
▶ Outro Music: https://goo.gl/MrwCEu
Still reading, what are you doing? Hit that Subscribe button already or you won't get a high elimination victory royale against stream snipers on twitch.tv ( ͡° ͜ʖ ͡°)
USE CODE CREAMY IN THE FORTNITE ITEM SHOP</t>
  </si>
  <si>
    <t>Google Tech Talks
August 10, 2007
ABSTRACT
Anomaly detection has the potential to detect novel attacks, however, keeping the false alarm rate low is a challenging task. We discuss the LERAD algorithm that can learn concise and accurate rules for anomaly detection and demonstrate its effectiveness in network and host datasets. We will also discuss our recent work (KDD 07) on weighting versus pruning during the rule validation.
If there is more time, I can also talk about:
As mobile devices become more pervasive, we study the problem of spatial-temporal anomaly detection for identifying potential abuse. We discuss the STAD algorithm and show its performance on a cell phone dataset.  Credits:...</t>
  </si>
  <si>
    <t>I Trolled A Renegade Raider With BLAZE Skin.. (Fortnite)
Today in fortnite season 3, I trolled a renegade raider skin with the new fortnite blaze skin! This was the funniest prank on Lox!
Lox: https://www.youtube.com/channel/UCmp41vA53WoRtC_oDjosDBQ
Shadical: https://www.youtube.com/user/Shadic375</t>
  </si>
  <si>
    <t>We use a HEART RATE Monitor to see how scared I am!
_xD83D__xDD14_ Subscribe &amp; click the bell!  https://www.youtube.com/user/SSundee?sub_confirmation=1
_xD83D__xDC4D_ Hit the Thumbs Up if you liked this video! 
_xD83E__xDD16_ My Friends! _xD83E__xDD16_
@Nicovald 
@BiffleWiffle 
❗️ Follow Me! ❗️
Twitter: https://www.twitter.com/SSundee
Discord: https://discord.gg/SSundee
Instagram: https://instagram.com/ssundeeyt
Facebook:  https://www.facebook.com/pages/SSundee/200010033358843
_xD83D__xDC68__xD83C__xDFFB_‍_xD83C__xDF73_ Awesome Video Editor ► Luke
https://www.youtube.com/channel/UC_87wq7UDK7Hnad9jDoSYTg?view_as=subscriber
_xD83D__xDC68__xD83C__xDFFC_‍_xD83C__xDFA8_ Awesome Thumbnail Maker ► Flash
https://www.youtube.com/channel/UCLy01oVLarj7RNQm52jnGKw
_xD83C__xDFB6_ Music by Ninety9 ► LivesTobu - Such Fun
Video Link: https://www.youtube.com/watch?v=d3Oc26AFDdU
Channel: https://99l.tv/Subscribe
Download the album! https://99l.tv/Levelup-i
Thanks for watching!</t>
  </si>
  <si>
    <t>Who Is The Strongest FaZe Member in the FaZe House? World's Strongest Man @Bradley Martyn  Vs FaZe Clan @FaZe Jarvis @FaZe Teeqo 
Become a Member! - https://biturl.top/JjyUFr
Subscribe to Jarvis &amp; Kay! https://bit.ly/2JdniAn
Use Code "FaZeKay" in the Fortnite Item Shop!
FOLLOW MY INSTAGRAM &amp; TWITTER
-Instagram - @FaZeKay
-Twitter - @FaZeKay
Business Contact - FaZeKayBusiness@gmail.com</t>
  </si>
  <si>
    <t>EEL 6935 Network Science and Application - Social Network Analysis and Its Application on Digital Marketing and Decision Making
• Analyzed social network and the potential influence that the social network may impact on decision making
• Detected the sources of complex social network by applying Susceptible In (SI) model using network centrality
• Promoted the designed paradigm for a new promising digital marketing approach to efficiently target the right group</t>
  </si>
  <si>
    <t>Kinetic object with 32 independently moving lines. Controlled by an integrated computersystem. The video shows some of the constantly changing ordered and random structures that appear and disappear. Dimensions: 4.12m. X 2.49m.  X 0.23m. 2007 - 2010.</t>
  </si>
  <si>
    <t>Learn to create cool animated backgrounds for your HTML CSS content containers or the whole page background. You can choose to use either Flash animations or Javascript animations. We apply strategic CSS to layer and position our elements just right to create the effect.</t>
  </si>
  <si>
    <t>Updated Building a Dashboard:
http://www.youtube.com/watch?v=NM0OZJUhzI0
April 23, 2013
======
Advizor Solutions provides visual analysis and data visualization software. Advizor products combine data visualization software with in-memory data-management and predictive analytics to provide problem solving capabilities. Advizor products offer large-scale enterprise solutions as well as benefits to individuals and small businesses.  For more information visit http://www.OfficeAdvizor.com</t>
  </si>
  <si>
    <t>I was teaching my niece about integer factoring - this is a visualization done by @Gephi https://gephi.org/ showing the integers from 1-1000 with node scaling based on degree, coloring based on degree and a ForceAtlas animated layout.
Very cool software!</t>
  </si>
  <si>
    <t>This video lecture is produced by S. Saurabh. He is B.Tech from IIT and MS from USA.
How will you solve the travelling salesman problem using dynamic programming.
Given a graph G(V,E), (list of cities and their pairwise distances), the task is to find the shortest possible route that visits each vertex or city exactly once and returns to the origin vertex/city.
This channel is an ultimate guide to prepare for job interviews for software engineers, software test engineers, computer scientists, engineering students specially computer science and IT engineers, MCA and BCA students. The content of this channel will help students prepare for C,C++, Java, data structures and algorithms. It also covers courses related to networking and database. This channel can be used by students of NIIT, IGNOU etc too.
To study interview questions on Linked List watch http://www.youtube.com/playlist?list=PL3D11462114F778D7&amp;feature=view_all
To prepare for programming Interview Questions on Binary Trees 
http://www.youtube.com/playlist?list=PLC3855D81E15BC990&amp;feature=view_all
To study programming Interview questions on Stack, Queues, Arrays visit
http://www.youtube.com/playlist?list=PL65BCEDD6788C3F27&amp;feature=view_all
To watch all Programming Interview Questions visit
http://www.youtube.com/playlist?list=PLD629C50E1A85BF84&amp;feature=view_all
To learn about Pointers in C visit
http://www.youtube.com/playlist?list=PLC68607ACFA43C084&amp;feature=view_all
To learn C programming from IITian S.Saurabh visit
http://www.youtube.com/playlist?list=PL3C47C530C457BACD&amp;feature=view_all
Tags:
"travelling salesman problem example"
"travelling salesman problem example using dynamic programming"
"travelling salesman problem example using branch and bound"
"travelling salesman problem using branch and bound"
"travelling salesman problem algorithm"
"dynamic programming travelling salesman problem"
"wiki tsp"
"dynamic programming hamiltonian cycle"
"dynamic programming hamiltonian path problem"
"dynamic programming hamiltonian path"</t>
  </si>
  <si>
    <t>Animation video for Capgemini India pvt ltd ...</t>
  </si>
  <si>
    <t>If you are having troubles with your research paper, I might have a solution for you. My newest course "Research Methods" can be found under following link for a discounted price 14.99$: https://www.udemy.com/course/research-methods-for-business-students/?couponCode=RESEARCH_JUNE_2020</t>
  </si>
  <si>
    <t>Across the sciences, a fundamental setting for representing and interpreting information about entities, the structure and organization of communities, and changes in these over time, is a stochastic network that is topologically rewiring and semantically evolving over time, or over a genealogy. While there is a rich literature in modeling invariant networks, until recently, little has been done toward modeling the dynamic processes underlying rewiring networks, and on recovering such networks when they are not observable.     In this talk, I will present some recent developments in analyzing what we refer to as the dynamic tomography of evolving networks. I will first present a new class of statistical models known as dynamic exponential random graph models for evolving social networks, which offers both good statistical property and rich expressivity; then, I will present new sparse-coding algorithms for estimating the topological structures of latent evolving networks underlying nonstationary time-series or tree-series of nodal attributes, along with theoretical results on the asymptotic sparsistency of the proposed methods; finally, I will present a new Bayesian model for estimating and visualizing the trajectories of latent multi-functionality of nodal states in the evolving networks.     I will show some promising empirical results on recovering and analyzing the latent evolving social networks in the US Senate and the Enron Corporation at a time resolution only limited by sample frequency. In all cases, our methods reveal interesting dynamic patterns in the networks.</t>
  </si>
  <si>
    <t>A great way to explore new data is to use a pairwise correlation matrix. This will pair every combination of your variables and measure the correlation between them. Code and walkthrough: http://amunategui.github.io/Exploring-Your-Data-Set/
MORE:
Signup for my newsletter and more: http://www.viralml.com 
Connect on Twitter: https://twitter.com/amunategui
My books on Amazon:
The Little Book of Fundamental Indicators: Hands-On Market Analysis with Python: Find Your Market Bearings with Python, Jupyter Notebooks, and Freely Available Data:
https://amzn.to/2DERG3d
Monetizing Machine Learning: Quickly Turn Python ML Ideas into Web Applications on the Serverless Cloud:
https://amzn.to/2PV3GCV
Grow Your Web Brand, Visibility &amp; Traffic Organically: 5 Years of amunategui.github.Io and the Lessons I Learned from Growing My Online Community from the Ground Up:
Fringe Tactics - Finding Motivation in Unusual Places: Alternative Ways of Coaxing Motivation Using Raw Inspiration, Fear, and In-Your-Face Logic
https://amzn.to/2DYWQas
Create Income Streams with Online Classes: Design Classes That Generate Long-Term Revenue:
https://amzn.to/2VToEHK
Defense Against The Dark Digital Attacks: How to Protect Your Identity and Workflow in 2019:
https://amzn.to/2Jw1AYS
CATEGORY:DataScience
HASCODE:True</t>
  </si>
  <si>
    <t>Playing around a bit to make an animated graph and at 4k video resolution because why not?
Frames are rendered using the Python module graph-tool (https://graph-tool.skewed.de/) because Gephi is terrible and I needed to see if network analysis via animation was feasible with other tools. I am satisfied with the outcome. :)
Graph mechanics are adapted from graph-tool's examples (https://graph-tool.skewed.de/static/doc/demos/animation.html). 500 nodes are placed and assigned values randomly, and every frame, up to 100 random nodes are reassigned connections of a node pair is closer.
Each node's size and color are determined by betweenness centrality (https://en.wikipedia.org/wiki/Betweenness_centrality) of each node; as a result, they change significantly after each edge reassignment.  Frames stitched together into a single video using ffmpeg.</t>
  </si>
  <si>
    <t>Data Mining with Weka: online course from the University of Waikato
Class 1 - Lesson 6: Visualizing your data
http://weka.waikato.ac.nz/
Slides (PDF): 
http://goo.gl/IGzlrn
https://twitter.com/WekaMOOC
http://wekamooc.blogspot.co.nz/
Department of Computer Science
University of Waikato
New Zealand
http://cs.waikato.ac.nz/</t>
  </si>
  <si>
    <t>Premium Course: https://www.teachexcel.com/premium-courses/68/idiot-proof-forms-in-excel?src=youtube
Excel Forum: https://www.teachexcel.com/talk/microsoft-office?src=yt
Excel Tutorials: https://www.teachexcel.com/src=yt
This tutorial shows you how to fill thousands of rows or columns with incremental numbers or dates with the click of a button.  You will learn multiple ways to quickly fill-in the data, but, you will also learn the quickest way to do so.  For instance, this Excel tutorial will show you the easiest way to fill-in 10,000 (or even a million) rows with numbers starting from one; the method illustrated is much faster than the alternatives outside of VBA.</t>
  </si>
  <si>
    <t>Animation describing a molecular dynamics simulation of a protein complex in the context of its environment. Created using Autodesk Maya, the molecular graphics software VMD and Adobe AfterEffects. Featured in “G. T. Johnson and S. Hertig: A guide to the visual analysis and communication of biomolecular structural data. Nature Reviews Molecular Cell Biology 15 (2014), 690-698.”</t>
  </si>
  <si>
    <t>We present Patina, an application independent system for collecting and visualizing application usage data which requires no instrumentation of the target application for either the data collection or presentation. All data collected through standard window metrics and accessibility APIs. The primary visualization is a smart heatmap overly which is dynamically created to match the content and location of the user interface controls visible in the active application even if the controls change location or shape. After reviewing the design goals, we explain the implementation of both the data collection and presentation parts of the system. Lastly, we explore three additional application of the Patina system based on previous research and report on an internal usage evaluation.
_______________________________________________
Patina is a research project from Autodesk Research.
Justin Matejka, Tovi Grossman &amp; George Fitzmaurice. (2013).
Patina: Smart Heatmaps for Visualizing Application Usage
CHI 2013 Conference Proceedings:
ACM Conference on Human Factors in Computing Systems.
http://autodeskresearch.com/publications/patina
Autodesk Research
http://www.autodeskresearch.com</t>
  </si>
  <si>
    <t>SolarWinds Network Performance Monitor (NPM) makes it easy to quickly detect, diagnose, and resolve performance issues and delivers real-time views and dashboards that enable you to visually track network performance at a glance. Plus, using dynamic network topology maps and automated network discovery, you can deploy and keep up with your evolving network without breaking a sweat. Take a video tour of the powerful enterprise network fault, availability and performance monitoring features in SolarWinds Network Performance Monitor including automated network discovery, network topology maps, node details, advanced network alerting, built-in network reports, &amp; Top 10 lists.</t>
  </si>
  <si>
    <t>We demonstrate installing Data Analysis ToolPak excel addin and how to build a Karl Pearson Correlation Matrix easily. The data set used can be downloaded from http://www.learnanalytics.in/blog/?p=150 .
Please subscribe to our channel to receive updates and also join our Linkedin Group for latest training videos and articles  @http://www.linkedin.com/groups/Learn-Analytics-step-time-4240061</t>
  </si>
  <si>
    <t>Mostro como realizar o download e a instalação do NODEXL
http://nodexl.codeplex.com/</t>
  </si>
  <si>
    <t>Ma boutique SPACEFOX.shop ! : https://www.spacefox.shop/
SUIS MOI ICI C'EST BIEN AUSSI : 
→ INSTAGRAM : http://bit.ly/amixeminsta
→ TWITTER :  http://bit.ly/AmixemTwitter
→ TWITCH AMIXEM :  http://bit.ly/AmixemTwitch
→ SNAPCHAT : amixemsnap
Chris : https://www.youtube.com/user/ChrisGamesOfficiel
Thomas : https://www.instagram.com/thomasdeseur/
Montage : Diane Javelot</t>
  </si>
  <si>
    <t>I Found A CHEATING LEVER In MINECRAFT! If you enjoyed this video, watch more here: https://www.youtube.com/watch?v=Qy7sCJoD4sI&amp;list=PL4RAbPVxU8uo08kV1aoFDIDZniPCJRZTt
_xD83D__xDC9A_ SUBSCRIBE &amp; CLICK THE BELL!
_xD83D__xDC8E_BECOME A MEMBER: https://www.youtube.com/channel/UC0DZmkupLYwc0yDsfocLh0A/join
_xD83D__xDED2_ MERCHANDISE!
Jelly Store: http://jellystore.com
Instagram: http://instagram.com/jellystore_com/
_xD83D__xDC6A_ MY FRIENDS!
Slogoman: https://youtu.be/ngI4qc0gR1M
Crainer: https://youtu.be/0gvEzyuQ0a4
_xD83D__xDE0A_ This video is child friendly / kid friendly / family friendly!
▶️ MORE VIDEOS
Challenges: https://www.youtube.com/watch?v=2Enlli2vEEs&amp;list=PL4RAbPVxU8upvqnkEI2qwFCPj6HPbPfE2
Vlogs: https://www.youtube.com/watch?v=TUovQgaM1cA&amp;list=PL4RAbPVxU8uoZlaa5JwPyrUGwWYobgice
Games: https://www.youtube.com/watch?v=V-BovZAXL7E&amp;list=PL4RAbPVxU8uqPCF2Zrop-hNbpNpqrkrOV
Reacting to: https://www.youtube.com/watch?v=z0u4DGwX88g&amp;list=PL4RAbPVxU8upChlDJekmOVDuZFOtS7aud
❗ FOLLOW ME
Instagram: https://www.instagram.com/jelly/
Twitter: https://twitter.com/Jeiiy
Discord: https://www.discord.gg/Jelly
Facebook: https://www.facebook.com/JellyYoutuber/</t>
  </si>
  <si>
    <t>Lịch chiếu: Chủ nhật - Thứ hai hàng tuần 2 tập
➤ Xem Thêm Nhiều Phim Hay: https://bit.ly/2SWFvql
➤ Trọn Bộ Sơn Trại Tiểu Manh Chủ Thuyết Minh: https://bit.ly/2Asz1Jm
➤ Download app Mango tại: http://bit.ly/2XG1OUZ  
✤ Đạo diễn: Tần Trăn
✤ Diễn viên: Triệu Dịch Khâm, Lý Khải Binh
✤ Sơn Trại Tiểu Manh Chủ xoay quanh câu chuyện tình hài hước và đáng yêu giữa thái tử Lý Triệt và nữ tử Lưu Ngọc Dao. Xinh đẹp, thông minh nhưng lại cá tính và khá bướng bỉnh nên ít ai có thể “thuần phục” được Ngọc Dao. Sau khi bỏ nhà ra đi, cô quyết định lên núi làm sơn tặc, du ngoạn thiên hạ. Trong một lần tình cờ, Ngọc Dao chấp nhận làm cô dâu giả của thái tử và bắt đầu cuộc sống mới trong hậu cung. Ban đầu, cô gặp phải nhiều khó khăn nhưng dần cũng thích nghi được cuộc sống nơi đây. Không chỉ vậy, thái tử còn bị thu hút bởi cá tính đặc biệt của nàng, và đem lòng thương nhớ từ lúc nào không hay.
© Bản quyền thuộc về : MGTV VietNam
© Copyright by MGTV VietNam  ☞ Do not Reup</t>
  </si>
  <si>
    <t>Más info en http://www.blog.pc-serveis.es/recursos-web/analisis-de-facebook-twitter-linkedin-y-redes-sociales-con-gephi
Gephi es una Herramienta muy potente y gratuita para la visualización y consulta de grafos, así como el análisis de redes sociales. Es una aplicación de código abierto que incluye un paquete de software de visualización escrito en lenguaje Java con la plataforma NetBeans que se puede descargar gratuitamente desde la página de su organización. Entre otros premios, Gephi ha sido seleccionado con el galardón "Google Summer of Code" en los años 2009, 2010, 2011 y 2012.</t>
  </si>
  <si>
    <t>It is easy to analyze the network in Excel with the help of PrimaXL, an add-in software. 
Amazon: https://www.amazon.com/dp/B077G8CTSR     (10$ Coupon included)
Facebook : https://www.facebook.com/fianresearch/
Free trial : http://www.fianresearch.com/eng_index.php
Purchase license : https://sites.fastspring.com/fianresearch/instant/primaxllicensekeyv2015a</t>
  </si>
  <si>
    <t>This is part three of a three-part introduction to NodeXL and its use for network analysis and visualization. Part three covers the use of analyses to support more sophisticated visualization.</t>
  </si>
  <si>
    <t>Clase de Análisis de Redes Sociales por Lada Adamic, con subtítulos en español</t>
  </si>
  <si>
    <t>Learn to make social media network maps in just a few clicks in this short How-To guide to using NodeXL Pro Automation features. Get professional insights into networks like hashtags and other connected structures using the free "data recipes" we provide.</t>
  </si>
  <si>
    <t>This is the first video in a set of 5 videos for NodeXL, a network analysis and data visualization tool. Feel free to contact me in case of any queries and feedback</t>
  </si>
  <si>
    <t>How to get the data to create your twitter friends network. 
Post at: http://davidsherlock.co.uk/creating-twitter-graphs-of-friends-using-twecoll-and-gephi/</t>
  </si>
  <si>
    <t>A short introduction to Gephi through the visualization of my Facebook network from the Data J Lab at Tilburg University</t>
  </si>
  <si>
    <t>Visualizing Twitter Social Network Data using Gephi: Part 3
In this presentation you will learn how to visualize Twitter social data (Network Data) using open source tool Gephi. Most of the data visualization is done after the network data collected from Twitter and then processed on local machine. The Data was collected in realtime however the processing is done locally one a single machine. The objective of this presentation is to learn the open source graph visualization rather then process large amount of data. 
Twitter GraphML Content: 
https://docs.google.com/file/d/0B385K_-eDQPxenkzZzdzUDM0RlE/edit?usp=sharing
https://docs.google.com/file/d/0B385K_-eDQPxckVOYmxrQm1ZZmM/edit?usp=sharing
Gephi: http://gephi.org/
Blog: http://cloudcelebrity.wordpress.com/2013/02/20/visualizing-social-network-data-using-gephi/</t>
  </si>
  <si>
    <t>Se realiza la importación de datos y la creación de un grafo simple mediante GEPHI.
Datos: https://www.dropbox.com/s/nb2dq525ukw4kn9/nodosej.csv?dl=0
https://www.dropbox.com/s/l6bae6uhevy5nc1/linkej.csv?dl=0</t>
  </si>
  <si>
    <t>En este video vemos de una forma sencilla como elaborar y exportar una tabla de nodos y otra de links a Gephi. En la tabla de nodos se debe hacer una columna de ID que será la identificación de los nodos y Label que es la forma en que nosotros distinguimos el nodo. En la tabla de links tenemos que hacer las columnas: Source, Target, Weight, Label, Type. Source dice desde donde va el link. Target es a donde llega el link. Weight es el peso del link. Label es como distinguimos el link, el nombre que le otorgamos a la interacción entre los nodos. Type es el tipo de lin existe Directed y Undirected, dirigido y no dirigido respectivamente.
Es importante usar los nombres en ingles para que Gephi los lea correctamente.</t>
  </si>
  <si>
    <t>A brief tutorial for using the Gephi Twitter Streaming Importer.</t>
  </si>
  <si>
    <t>Sesión práctica para aprender a cambiar la apariencia del Sociograma generado a partir de un grupo de Facebook, gracias a los atributos de los nodos obtenidos con la app Netvizz.</t>
  </si>
  <si>
    <t>O monitoramento em redes sociais é muito útil para empresas ou personalidades que possuem uma presença em mídias. Por isso, resolvi trazer esse assunto para o meu canal e recomendar algumas ferramentas que podem te ajudar nessa tarefa.
No vídeo, menciono que o monitoramento pode ser feito nas principais redes sociais, como Facebook, Twitter e YouTube. Porém, para o Snapchat e LinkedIn ainda não há muitos recursos disponíveis. De qualquer forma, já é possível obter dados bem relevantes das primeiras redes citadas.
FERRAMENTAS PARA MONITORAMENTO EM REDES SOCIAIS
Entre as ferramentas que recomendo no vídeo estão: Hootsuite (www.hootsuite.com), Sprout Social (www.sproutsocial.com) e Scup (www.scup.com), que é brasileira. Um ponto interessante é que algumas delas dá a possibilidade de responder o usuário sem sair da plataforma.
No vídeo também comento um pouco sobre as métricas de monitoramento em redes sociais. Então, se você trabalha com isso, aperte o play e saiba como lidar com as interações positivas, neutras ou negativas.
_xD83D__xDD34_ ASSINE O CANAL: https://goo.gl/Pr0m63
★ FACEBOOK: https://www.facebook.com/fabioricotta
★ LINKEDIN: https://www.linkedin.com/in/fabioricotta
★ TWITTER: https://twitter.com/fabioricotta
★ SNAPCHAT: fabioricotta
★ INSTAGRAM: https://www.instagram.com/fabioricotta
_xD83D__xDD34_ CONTATOS PARA TREINAMENTOS CORPORATIVOS
Agência Mestre: https://www.agenciamestre.com
Rua Cubatão, nº 86 - conj. 1802/Bairro Paraíso – SP
Telefone: (11) 2364-5494
_______________________________________________________
A música usada nesse vídeo possui Royalty-free. Ela está disponibilizada na biblioteca do YouTube de músicas livres de royalties. Segue o link: https://www.youtube.com/audiolibrary/music</t>
  </si>
  <si>
    <t>Uso de Graphviz:
http://irisus90.wordpress.com/2011/06/25/uso-de-graphviz-desde-java/</t>
  </si>
  <si>
    <t>Esse vídeo é mostrado como fazer a instalação do Node.js no seu computador.
O Node.js será necessário em todos os próximos vídeos das séries de Node e de React.
Qualquer dúvida, deixe um comentário.
Site para donwload: www.nodejs.org
Comandos para testar: 
# node -v
# npm -v</t>
  </si>
  <si>
    <t>The Sidemen to a Mukbang because their other video idea fell apart haha
_xD83D__xDC49__xD83C__xDFFB_ Subscribe to our 2nd Channel: https://www.youtube.com/MoreSidemen _xD83D__xDC48__xD83C__xDFFB_
_xD83D__xDC55_: Sidemen Clothing: http://www.sidemenclothing.com
_xD83D__xDCF8_: Sidemen Instagram: http://www.instagram.com/Sidemen
_xD83D__xDC24_: Sidemen Twitter: http://www.twitter.com/Sidemen
✏️: SUBMIT A #SidemenSunday IDEA HERE
https://forms.gle/JDuGrSzM4F6mdo6D9
-----------------------------------------------------------------------------------------------------------------------
▶️ SIDEMEN ◀️
_xD83D__xDD34_ SIMON (Miniminter)
● http://www.youtube.com/Miniminter
● http://www.youtube.com/MM7Games
● http://www.instagram.com/Miniminter
● http://www.twitter.com/Miniminter
_xD83D__xDD35_ JOSH (Zerkaa)
● http://www.youtube.com/Zerkaa
● http://www.youtube.com/ZerkaaPlays
● http://www.instagram.com/Zerkaa
● http://www.twitter.com/ZerkaaHD
_xD83D__xDD34_ ETHAN (Behzinga)
● http://www.youtube.com/Behzinga
● http://www.youtube.com/Beh2inga
● http://www.instagram.com/Behzingagram
● http://www.twitter.com/Behzinga
_xD83D__xDD35_ VIK (Vikkstar123)
● http://www.youtube.com/Vikkstar123
● http://www.youtube.com/Vikkstar123HD
● http://www.youtube.com/VikkstarPlays
● http://www.instagram.com/Vikkstagram
● http://www.twitter.com/Vikkstar123
_xD83D__xDD34_ TOBI (Tobjizzle)
● http://www.youtube.com/TBJZL
● http://www.youtube.com/Editingaming
● http://www.instagram.com/Tobjizzle
● http://www.twitter.com/Tobjizzle
_xD83D__xDD35_ JJ (KSI)
● http://www.youtube.com/KSI
● http://www.youtube.com/KSIOlajidebtHD
● http://www.instagram.com/KSI
● http://www.twitter.com/KSIOlajidebt
_xD83D__xDD34_ HARRY (W2S)
● http://www.youtube.com/W2S
● http://www.youtube.com/W2SPlays
● http://www.instagram.com/Wroetoshaw
● http://www.twitter.com/Wroetoshaw</t>
  </si>
  <si>
    <t>Im done with pewdiepie
Floor Gang Merch! https://represent.com/store/pewdiepie (Thank you)
Subscribe to become a FLOOR GANG Member here: https://www.youtube.com/channel/UC-lHJZR3Gqxm24_Vd_AJ5Yw/join
Get exclusive epic pewdiepie inside epic access and huge PP!
Outro: add Just Die Already as wishlist #ad: https://store.steampowered.com/app/979070/Just_Die_Already/
And Check out https://youtu.be/FQgLsYOKP8w Arkade Blaster Pro! #ad
Pewdiepie's Pixelings DOWNLOAD:
iOS: https://buff.ly/2pNG0aT
Android: https://buff.ly/34C68nZ
#pewdiepie #pixelings
Minecraft Playlist:
https://www.youtube.com/watch?v=mhgS6...
My Stores:
TSUKI:
https://tsuki.market/
Merch:
https://represent.com/store/pewdiepie
I drink GFUEL (affiliate link):
https://gfuel.ly/31Kargr
My Setup (affiliate links):
Chair: https://clutchchairz.com/pewdiepie/
Official Razer hardware:
Razer Nari Ultimate headset: http://rzr.to/pdp-razer-nari 
Razer Customs phone cases: http://rzr.to/pdp-razer-case
NordVPN DOWNLOAD (affiliate link):
Go to https://NordVPN.com/pewdiepie and use code PEWDIEPIE to get 70% off a 3 year plan plus 1 additional month free.</t>
  </si>
  <si>
    <t>My website: http://smediahub.com/
There’s a lot of criticism towards Facebook for not really allowing an easy way to export your personal data. However, netvizz Facebook app by Bernhard Rieder (professor at University of Amsterdam) provides a tool that can do just that and even much more.
The way netvizz functions is very simple. First, you need to authorize the app to have access to your Facebook friendship connections. The next step is to open the app page and choose whether you want to export your own personal network or any of the groups that you belong to. If you have more than 1000 friends the process may take a long time (several minutes), but it’s worth it, because at the end you get a GDF file (which is a variation of CSV format) where all your Facebook friendships, relationships and even some meta-data are encoded. You can then open this file using a network visualization package (for example, Gephi) and get a neat visual representation of your Facebook network, communities that it’s comprised of, and the most influential members.</t>
  </si>
  <si>
    <t>Access and use of NodeXL Social Network Analysis (SNA) software</t>
  </si>
  <si>
    <t>Tutorial de como usar o ucinet. Exercício resolvido.</t>
  </si>
  <si>
    <t>Introduction to network analysis and visualization with GEPHI. Datasets and tutorial here: http://www.martingrandjean.ch/gephi-introduction
Papers using Gephi: http://cogentoa.tandfonline.com/doi/full/10.1080/23311983.2016.1171458 and https://halshs.archives-ouvertes.fr/halshs-01610098 and http://dx.doi.org/10.3166/lcn.10.3.37-54
[NOTICE] No, there's no sound, that's a way to make this tutorial available for non-english speakers (and for people working without headphones), with all the informations displayed during the tutorial (and a comprehensive tutorial online to complete the video, link above).</t>
  </si>
  <si>
    <t>Nesse vídeo é feita uma breve introdução de como se criar uma rede no Gephi (software de análise de redes).
/***Links***/
Como mencionado no vídeo, segue abaixo os links que podem ser necessários para a devida instalação do Gephi:
1 - JDK 7 - http://www.oracle.com/technetwork/pt/java/javase/downloads/jdk7-downloads-1880260.html
2- JRE 7 - http://www.oracle.com/technetwork/java/javase/downloads/jre7-downloads-1880261.html
3- Auxilio de Instalação - http://gephi.github.io/users/install/</t>
  </si>
  <si>
    <t>How to use UCINET</t>
  </si>
  <si>
    <t>Learn more advanced front-end and full-stack development at: https://www.fullstackacademy.com
Gephi is an open-source network analysis software package written in Java that allows us to visualize all kinds of graphs and networks. In this Gephi tutorial, we walk through how Network Analysis can be used to visually represent large data sets in a way that enables the viewer to get a lot of value from the data just by looking briefly at the graph.
Watch this video to learn:
- What Network Analysis involves
- How to use Gephi to visually represent and analyze data sets
- Different examples using Gephi</t>
  </si>
  <si>
    <t>Introdução ao uso do sistema Gephi para análise baseada em grafos.  Este tutorial usa o exemplo do grafo baseado no romance Les Miserables e segue os mesmos passos do tutorial disponível em: https://gephi.github.io/users/quick-start/</t>
  </si>
  <si>
    <t>How to install Gephi and excel conversion plugin
Java 7 - http://www.oracle.com/technetwork/java/javase/downloads/jre7-downloads-1880261.html 
Gephi - http://gephi.github.io/users/download/</t>
  </si>
  <si>
    <t>Instalar complemento de Excel</t>
  </si>
  <si>
    <t>Learn how the Sentinel Visualizer software program uses Social Network Analysis (SNA) to find the most central players in any network using a variety of metrics.
Find hidden relationships among people, places, things, and events. Use SNA metrics like Betweenness, Closeness, Degree, Centrality Eigenvalue, Hub, and Authority to visualize the hubs, spokes, and powerful people who span cells. 
For more information on SNA, visit: http://www.fmsasg.com/SocialNetworkAnalysis</t>
  </si>
  <si>
    <t>This video takes a few moments to demystify the formula for social network density.  What does it mean to say that the density of a social network is the number of actual ties divided by the number of possible ties?  Why is the number of possible ties in a network equal to n*(n-1) for a directed network but equal to (n*(n-1))/2 for an undirected network?  And what does the letter n refer to in this context, anyway?  In just a few minutes, I'll try to explain it all.  This video is produced for the social science program of the University of Maine at Augusta</t>
  </si>
  <si>
    <t>DOWNLOAD Lab Code &amp; Cheat Sheet: https://drive.google.com/open?id=0B2JdxuzlHg7OYnVXS2xNRWZRODQ
So what then is “closeness” or “betweenness” in a network? How do we figure these things out and how do we interpret them? This video is part of a series where we give you the basic concepts and options, and we walk you through a Lab where you can experiment with designing a network on your own in R. Hosted by Jonathan Morgan and the Duke University Network Analysis Center.
Further training materials available at https://dnac.ssri.duke.edu/intro-tutorials.php
Duke Network Analysis Center: https://dnac.ssir.duke.edu</t>
  </si>
  <si>
    <t>Recorded with https://screencast-o-matic.com</t>
  </si>
  <si>
    <t>Social Capital - Constructing a Sociogram: The the third part of a the video series on social capital. Al Condeluci, CEO of Community Living and Support Services (CLASS), gives an overview of social capital using sociograms, a graphical representation to divide relationships into three categories: Close Realationships, Enjoyment, and Acquaintances. These relationships are further broken down into "clusters" or different communities such as family, work, and neighborhoods.    
CLASS website: ClassCommunity.org
CLASS Twitter: @CLASSPGH</t>
  </si>
  <si>
    <t>This video, recorded for the social science program at the University of Maine at Augusta, is an exploration of a student's question: "when did it become acceptable to shame men for crying?"  We can look at the when question across time using Google's record of the text of books from 1800-2008.  But we can also consider the important question of WHERE crying is more and less uneven between women and men.  The answer, it appears, is at the same time regional and universal.</t>
  </si>
  <si>
    <t>This video lecture is an hour-and-a-half-long basic introduction to the logic of bivariate regression.  It aims to start from the ground up, assuming that you know nothing more than how to add, subtract, and multiply numbers.  The lecture has two parts: the first part aims to demonstrate the interpretation of a simple two-variable regression equation, and the second part works with actual data on United States federal election voter turnout.</t>
  </si>
  <si>
    <t>Sign up for free courses from Princeton, Stanford, UMich, and Penn, spanning the Humanities, Medicine, CS, Business, Math, ... http://www.coursera.org.</t>
  </si>
  <si>
    <t>This video, produced for students at the University of Maine at Augusta, walks through three methods for creating a concept map (pen and paper, Microsoft Word, Google Drive) and uploading it to Blackboard for faculty review.  Click on links included at the beginning of the video to review the section in which you're interested.</t>
  </si>
  <si>
    <t>http://leaderboardx.herokuapp.com/
A sociogram is a diagram of interpersonal relationships within a group. The arrows point to who they have nominated.
Their circle size and color is determined by their nominations.</t>
  </si>
  <si>
    <t>http://presentationchoices.com/  |  In this video, we'll review what InfoPath is and briefly go over the two parts of InfoPath...Designer and Filler. We'll also look at InfoPath's tight integration with SharePoint. And we'll peek at new interface features...the Ribbon and Backstage View.
(This video is from the "InfoPath Forms for SharePoint 2010" series of training videos that are available at http://cbtclips.com/infopath2010/index.aspx)</t>
  </si>
  <si>
    <t>using community detection toolbox in matlab for your own datasets and observing the clustering pattern.
Reference: http://www.mathworks.com/matlabcentral/fileexchange/45867-community-detection-toolbox</t>
  </si>
  <si>
    <t>In Lesson 3 we'll introduce you to the tidytext format and tokenization. Specifically, the lesson will focus on unnest_tokens(  ) function for tokenizing text into meaningful units of analysis, which for much of Unit 1 &amp; 2 will be the individual words within a text or body of texts. 
The video tutorial above will walk you through the first half of Chapter 1 from Text Mining with R book. Required readings include:
- Chapter 1: The Tidy Text Format
- Chapter 1.1: Contrasting tidy text with other data structures
- Chapter 1.2: The unnest_tokens function
- Chapter 1.3: Tidying the works of Jane Austen
Required swirl lessons from the R Programming Course include:
- Lesson 7: Matrices and Data Frames
Finally, I recommend the taking a look at the following video by Data Camp:
- Cleaning and Preprocessing Text</t>
  </si>
  <si>
    <t>A step by step guide of how to run k-means clustering in Excel. Please note that more information on cluster analysis and a free Excel template is available at http://www.clusteranalysis4marketing.com</t>
  </si>
  <si>
    <t>Different ways to look at the labels on nodes in gephi including an option to see it only when you mouse over the node.</t>
  </si>
  <si>
    <t>DOWNLOAD Lab Code &amp; Cheat Sheet: https://drive.google.com/open?id=0B2JdxuzlHg7OYnVXS2xNRWZRODQ
What is clustering or degree distribution, and how do they affect our interpretation of what’s going on in a network? We define these terms in this video. This video is part of a series where we give you the basic concepts and options, and we walk you through a Lab where you can experiment with designing a network on your own in R. Hosted by Jonathan Morgan and the Duke University Network Analysis Center.
Further training materials available at https://dnac.ssri.duke.edu/intro-tutorials.php
Duke Network Analysis Center: https://dnac.ssir.duke.edu</t>
  </si>
  <si>
    <t>Convert Twitter data into network structures, and create visualizations in Gephi to explore the relationships among Twitter users/hashtags. 
For how to collect Twitter into MongoDB, please check: https://www.youtube.com/watch?v=eMqgwCVQNIA
The python code of converting Twitter to network is available at: https://github.com/xbwei/Visualizing-Social-Media-Data/blob/master/Visualize%20Twitter%20Data/Mongo_Twitter_to_Gephi.py</t>
  </si>
  <si>
    <t>See the overall structure of the #PDF17 social media network from Twitter. The graph represents a network of 2,558 Twitter users whose recent tweets contained "#pdf17". The network was obtained from Twitter on Sunday, 11 June 2017 at 14:13 UTC.  The tweets in the network were tweeted over the 2-day, 20-hour, 58-minute period from Thursday, 08 June 2017 at 17:05 UTC to Sunday, 11 June 2017 at 14:04 UTC.</t>
  </si>
  <si>
    <t>See the geographic distribution of tweets about "NodeXL" using a combination of NodeXL and PowerMap.</t>
  </si>
  <si>
    <t>Social media such as twitter could be a great source of data for researchers interested in examining participants’ thoughts, experiences, and reactions. In this webinar, we will address the following questions: How do you search for relevant participants’ generated data? How do you upload the data onto the NVivo software for analysis? How do you use the hermeneutic phenomenological approach in the data analysis process?
To buy Dr. Philip Adu's new book, 'A Step-by-Step Guide to Qualitative Data Coding', please go to Amazon (https://www.amazon.com/Step-Step-Guide-Qualitative-Coding/dp/1138486876/ref=sr_1_3?ie=UTF8&amp;qid=1543874247&amp;sr=8-3&amp;keywords=Philip+adu)</t>
  </si>
  <si>
    <t>I'm experimenting with some video for my presentation at the 2016 American Political Science Convention over the weekend of September 1st through 4th (presenting my research on incivility in social media during the presidential primary). This is just a first run but I thought it was pretty cool looking, so I'm sharing it.
Here is a 3D fly through from data I collected on 3-15-2016 (a date where the rate of "F word" usage was in the top 5 for the entire year). Each sphere is a person who tweeted about Donald Trump on 3-15-2016 and each line is a connection with another person. Colors indicate "neighborhoods" of conversation (e.g. people linked together). The size of sphere is relative to the volume of tweets for that person and the size of the person's name is relative to his or her influence in this particular network during the observed time frame.
Best viewed in full screen! (there is no sound but if you play the Empire Theme Song from Star Wars it works pretty well)
I have the content of each tweet; however, it's not easily displayed in 3D format</t>
  </si>
  <si>
    <t>From a single block in the sky we must work our way to the end of the game.
Previous Episode ► https://www.youtube.com/watch?v=vq6Rozufn3o&amp;list=PLSUHnOQiYNg3914yrddze5E-NHmAvFRU6&amp;index=4&amp;t=0s
Series Playlist ► https://www.youtube.com/playlist?list=PLSUHnOQiYNg3914yrddze5E-NHmAvFRU6
My clothing line: https://qcathletics.com/
Map Link: https://www.youtube.com/watch?v=FLoQKuk65iE
My Links
● Merch: https://represent.com/store/captainsparklez
● Twitter: http://twitter.com/CaptainSparklez
● Instagram: http://instagram.com/jordanmaron
● Live streams: https://www.twitch.tv/captainsparklez
● Amazon: https://www.amazon.com/shop/captainsparklez
Outro Song:
Dimatik &amp; MINDREM - Let's Pretend
Video: https://www.youtube.com/watch?v=CAtW3qmZHw8
Link: https://fanlink.to/LetsPretend
Thanks for watching, dudes! Ratings, favorites, and general feedback is always appreciated :)</t>
  </si>
  <si>
    <t>⚡ Soutiens moi sur Fortnite avec le code → NexTaz
_xD83D__xDC51_ DEVENIR SPONSOR (4,99€) ➡️ https://www.youtube.com/channel/UCChLrtzwxZdJFHNEHgBUrPg/join
Intel Core i9-9900K (3.6 GHz)
Asus ROG MAXIMUS XI HERO
DDR4 Corsair Vengeance RGB PRO Noir - 32 Go (4 x 8 Go) 4000 MHz - CAS 19
NZXT Kraken Z63 - 280 mm
Thermal Grizzly Kryonaut - 11.1 g
MSI GeForce RTX 2080 Ti GAMING X TRIO
Samsung Série 970 EVO Plus 1 To
Seagate IronWolf 4 To
Fractal Design S2 Vision RGB
_xD83D__xDD34_ IMPORTANT ! Mes réseaux sociaux ! (Go me suivre)
⚡ → Mon Twitter : https://twitter.com/NexTazV2
_xD83D__xDD2B_ → Mon Discord : https://discord.gg/h5RbPDb
⏳  → Mon Instagram : https://www.instagram.com/nextazv1/ 
_xD83D__xDD25_  → Ma Boutique : https://www.nextazshop.com/
_xD83D__xDD25_ Pour t'abonner : https://www.youtube.com/channel/UCChLrtzwxZdJFHNEHgBUrPg?sub_confirmation=1 
✉️ Contact email ✉️  
Mail Pro ➡️ NexTazBuisness@outlook.fr</t>
  </si>
  <si>
    <t>We Had To Move Out...
MERCH - http://www.cancelled.shop
SUBSCRIBE - http://bit.ly/ThomasPetrou
Join Tier 2 Channel Memberships To Watch Every Vlog EARLY!
https://www.youtube.com/channel/UCZb8DmWS0YiQebwlJc7Srrw/join
Follow Me On My Socials!
http://instagram.com/petroutv
http://tiktok.com/@petroutv</t>
  </si>
  <si>
    <t>Call of Duty Warzone Worst gun... This was not easy, but at least I had fun! Using the worst gun in COD Warzone. Leave a LIKE and a comment, thanks for watching.</t>
  </si>
  <si>
    <t>In meinem heutigen Video dreht sich alles um eBay Kleinanzeigen! Luca hat mir mal wieder grandiose Chats zukommen lassen. Danke Luca. Wenn Euch das Video gefallen hat, könnt ihr gerne einen Daumen nach oben da lassen.
Mein Merch: https://unsympathischshop.de 
(Werbung für eigenen Shop)
Insta: saschahellinger
PS: Korrekt Digga</t>
  </si>
  <si>
    <t>Tutorial sobre el software de análisis cualitativo NVIVO, elaborado por Yolanda Ham (Sociología).</t>
  </si>
  <si>
    <t>Más info en http://www.blog.pc-serveis.es/recursos-web/analisis-de-facebook-twitter-linkedin-y-redes-sociales-con-gephi
Para poder apreciar en profundidad la belleza de este vídeo os explicamos su historia: Gareth Lloyd y Tom Martin descargaron todos los artículos de Wikipedia (30 GB), extrajeron los que tenían georeferencias (420.000) y se quedaron con los que incluían fechas de eventos: unos 35.000. Entonces con la Aplicación Gephi crearon este Grafo ó "animación visual" con explosiones de colores de los Eventos sucedidos año a año (ó fotograma a fotograma) para completar una secuencia de 100 segundos en la que puede verse la Historia del Mundo en 100 segundos.
Es completamente mágico cómo a partir de esos datos claves se puede observar visualmente cómo los eventos relacionados con la humanidad y la historia dibujan las zonas «activas» del planeta en cada época --atención a la explosión americana a partir de 1492-- completándose un casi perfecto mapa del mundo a partir de 1900.</t>
  </si>
  <si>
    <t>Introducción al programa UCINET y NetDraw para la realización de Análisis de Redes Sociales.
Descarga de UCINET en el enlace: https://sites.google.com/site/ucinetsoftware/downloads .
En el vídeo se pueden ver las siguientes acciones:
1.¿Con qué tipo de fichero se trabaja en UCINET? 0:00 a 1:34
2.Importación de un EXCEL en UCINET para generar ficheros compatibles 1:36 a 4:00
3.Grafiquear una red con NetDraw 4:00 a 6:26
4.Cómo elegir atributos en NetDraw dentro de una red 5:28
5.Realizar cálculos de la red: Multiple cohesion measures 6:37
6.Exportar resultados de un análisis a EXCEL  8:00
7.Distintas medidas que se pueden calcular con UCINET 9:09
8.Dicotomizar una red con UCINET 10:00
9.Simetrizar una red con UCINET 13:13
Matriz de ejemplo utilizada en el vídeo: https://www.salbis.es/material/CURSOARSFEB_2019-02-12_20-30-44.xlsx</t>
  </si>
  <si>
    <t>Visualization of Bibliographic citation network using the VosViewer software//
This video presents network analysis of bibliographic citation data extracted from #Scopus database using the #VosViewer software. 
#ResearchHUB #Scientometrics #Bibliometrics #ScienceMapping
.
Video datasets/codes: https://researchhub.org/data-codes/
.
Published bibliometric studies by ResearchHUB Team:
1. A review of the internationalization of Chinese enterprises: https://www.researchgate.net/publication/326693257_A_review_of_the_internationalization_of_Chinese_enterprises
2. A Review of Born globals: https://www.tandfonline.com/doi/abs/10.1080/00208825.2018.1443737
3. A review of green supply chain management: From bibliometric analysis to a conceptual framework and future research directions:
https://www.sciencedirect.com/science/article/pii/S0921344918302969
.
Join the ResearchHUB Community:
FB Page: https://www.facebook.com/research.hub.org/
FB Group: https://www.facebook.com/groups/research.hub.org/
Instagram: https://www.instagram.com/research.hub/ 
Website: https://researchhub.org/  
.
Follow the RHUB Founder:
ResearchGate: https://www.researchgate.net/profile/Ziaul_Munim 
LinkedIn: https://www.linkedin.com/in/ziaulmunim/ 
Twitter: https://twitter.com/zhmunim 
Website: https://www.ziaulmunim.com</t>
  </si>
  <si>
    <t>En este video tutorial se describe brevemente como visualizar redes y atributos topológicos básicos usando Cytoscape</t>
  </si>
  <si>
    <t>CEPAL Charlas Sobre Sistemas Complejos Sociales (CCSSCS):
Analizando la estructura de redes 
Per definición, una sociedad se define como una red de individuos y por lo tanto, el análisis de la estructura de las redes sociales es decisivo. Revisamos conceptos y métricas de las redes sociales, tal como diferentes medidas de centralidad, el particionamiento de redes en grupos, la homofilia, la transitividad y la equivalencia estructural y regular, entre otros.
Véase también: http://www.etoileplatform.net/modules/hilbert</t>
  </si>
  <si>
    <t>Networks are a data structure common found across all social media services that allow populations to author collections of connections. The Social Media Research Foundation's NodeXL project makes analysis of social media networks accessible to most users of the Excel spreadsheet application. With NodeXL, Networks become as easy to create as pie charts. Applying the tool to a range of social media networks has already revealed the variations present in online social spaces. A review of the tool and images of Twitter, flickr, YouTube, and email networks will be presented. 
Marc Smith: 
Marc Smith is a sociologist specializing in the social organization of online communities and computer mediated interaction. Smith leads the Connected Action consulting group and lives and works in Silicon Valley, California. Smith co-founded the Social Media Research Foundation (http://www.smrfoundation.org/), a non-profit devoted to open tools, data, and scholarship related to social media research. 
Smith is the co-editor with Peter Kollock of Communities in Cyberspace (Routledge), a collection of essays exploring the ways identity; interaction and social order develop in online groups. Along with Derek Hansen and Ben Shneiderman, he is the co-author and editor of Analyzing Social Media Networks with NodeXL: Insights from a connected world, from Morgan-Kaufmann which is a guide to mapping connections created through computer-mediated interactions.</t>
  </si>
  <si>
    <t>In this video for the undergraduate social networks course of the University of Maine at Augusta, we use NodeXL to obtain a Twitter network digraph for the hashtag #FixTheDebt, and confront the difference between dyad-based degree and the larger-scale clustering coefficient.  We move on to UCINET to conduct some more powerful computations, including a Triad Census of the #FixTheDebt network and a set of random graphs against which to compare the actual results.  Hello, Forbidden Triangles!</t>
  </si>
  <si>
    <t>Dr Marc Smith from the Social Media Research Foundation introduces NodeXL, an Excel plugin that allows the visualisation and analysis of graph-based data such as social media information.</t>
  </si>
  <si>
    <t>Tutorial para a utilização do programa UCINET e Netdraw! Bons gráficos para você! :D</t>
  </si>
  <si>
    <t>MARC A. SMITH
Marc Smith is a sociologist specializing in the social organization of online communities and computer mediated interaction. Smith leads the Connected Action consulting group and lives and works in Silicon Valley, California.  He co-founded the Social Media Research Foundation, a non-profit devoted to open tools, data, and scholarship related to social media research. Dr. Smith is a Media X Distinguished Visiting Scholar.
Charting Collections of Connections with Maps and Measures
April 18, 2012
We live in a sea of tweets, posts, blogs, and updates coming from a significant fraction of the people in the connected world.  Our personal and professional relationships are now made up as much of texts, emails, phone calls, photos, videos, documents, slides, and game play as by face-to-face interactions.  Networks are a data structure common found across all social media services that link collections of connections.  Using key concepts from the social sciences, the social media swarm of favorites, comments, tags, likes, ratings, and links can be brought into clearer focus to reveal key people, topics and sub-communities.  Machine-readable data sets provide new insights and illustrations of networks of human relationships.</t>
  </si>
  <si>
    <t>A Twitter Tool that allows you to export your data and analyze your info. Simply Measured - http://simplymeasured.com/
Stay connected and in-the-know. Subscribe to my channel.
For additional FREE chamber resources visit http://FrankJKenny.com
Join the Chamber Professional's Group at https://www.facebook.com/groups/ChamberOfCommerce/
Earn non-dues revenue by providing Frank's webinars to your members and community. http://frankjkenny.com/memberwebinars members and community. Click now - http://frankjkenny.com/memberwebinars</t>
  </si>
  <si>
    <t>Social Network Analysis - From Graph Theory to Applications with Python - Dima Goldenberg - PyCon Israel 2019
Social network analysis is the study of social structures through the use of graph theory. In this talk I will present network theory and application of building and analyzing social networks for practical use-cases in Python with NetworkX.
_________________________________________________________________
Social network analysis is the process of investigating social structures through the use of networks and graph theory. It combines a variety of techniques for analyzing the structure of social networks as well as theories that aim at explaining the underlying dynamics and patterns observed in these structures. It is an inherently interdisciplinary field which originally emerged from the fields of social psychology, statistics and graph theory.
This talk will cover the theory of social network analysis, with a short introduction to graph theory and information spread. Then we will deep dive into Python code with NetworkX to get a better understanding of the network components, followed-up by constructing and implying social networks from real Pandas and textual datasets. Finally we will go over code examples of practical use-cases such as visualization with matplotlib, social-centrality analysis and influence maximization for information spread.
Code examples for the sessions can be found here: https://github.com/dimgold/pycon_social_networkx
_____________________________________________________
Dima Goldenberg
I was always excited about looking at patterns, especially in people interactions. This led me to focus on data science and social network research as a career and discover patterns in people behavior. I did my masters research about Influence Maximization in social networks at the Department of Engineering in Tel Aviv University. I love to teach and was teaching different data topics in the academia and outside. Today I am a Data Scientist &amp; Team Lead at Booking.com working on personalization of travel experiences.</t>
  </si>
  <si>
    <t>Dağhan Irak, NodeXL programının ücretsiz ve ücretli sürümleriyle veri çekmenin yollarını anlatıyor.</t>
  </si>
  <si>
    <t>http://www.gecimderdi.com adresinden Amazon'da satış yapmayı öğreteceğimiz programa katılabilirsiniz.</t>
  </si>
  <si>
    <t>İngilizce aksanlarla ilgili bilmeniz gereken kilit noktalar ve eğlenceli hikayeler. İngilizce aksan seçerken nelere dikkat etmek gerekir. Siz hangi aksanı seviyorsunuz? Yorumlarda paylaşın.</t>
  </si>
  <si>
    <t>C# ile web sitesinden veri nasıl çekilir ? Sorusuna yanıt bulacağınız videomu izleyin. XPath ile dilediğiniz veriyi programınıza çekebilir ve dilerseniz toplu olarakta çekebilirsiniz. List boxa çektirerek, sayfadaki başlıkları,linkleri veya resimleri çekmeyi yapabilirsiniz. Umarım video hepinize yararlı olur.
Videodaki Kullandığım Dosyalar: https://drive.google.com/open?id=1fNFv1N_XJfBqJJG1FrKQOw2E6MM8J8WY
►Sanal Gözcü Youtube kanalında, birbirinden ilginç olayları ve sanal dünyadaki bazı şeylerin eleştirilerini yapıyorum. Daha fazlasına erişmek için abone olun: https://goo.gl/XLqHaX
►500TL PC ile GTA 5 Oyna | PC Rehberi - Uygun Bilgisayar Bulmak : https://youtu.be/d-w4KSOZFTA
►Çok Güzel Kadınlar | Esmer ve Güzel 20 Kadın : https://youtu.be/gCjKzg-zNlA
►İnternetten para kazanma :https://youtu.be/ErgYVh7PSmM
Video ile ilgili kelimeler:
►C# Web sitesinden veri çekme
►Web Sitesinde Veri Çekme
►Dinamik Veri Çekme
►Web Sitesinden Veri Çekme Botu
►Veri Çekme Botu
Merhabalar. Ben Mustafa Değirmenci, 18 yaşında lise son öğrencisiyim. Sürekli gelişen devire ayak uydurmaya çalışan ve kendini geliştirmeyi seven birisiyim. Bazı normalliklerden ayrılmış düşünce yapım ve tarzım ile sizlere sanal dünyanın eleştiri kaynağı olacağım. Ayrıca ilgi alanlarım yazılım,grafik tasarım ve 3D modelleme,müzik yapımı ve oyun yapımı gibi şeylerden oluşmaktadır. Bu çalışmalarımın bana verdikleri ve başladığım bu youtube serüveninde kendime ve daha önemlisi sizlere çok şey katmayı hedefliyorum. Hergün yeni attığım videoları kaçırmamak için kanalıma abone ol. Sizi seviyorum, desteğinizi bekliyorum. İyi günler diliyorum.</t>
  </si>
  <si>
    <t>Data collected with Gephi Graph Streaming.
This is a preliminary result of the network of retweets with the hashtag #jan25 at February 11 2011, at the time of the announcement of Mubarak's resignation. If you retweeted someone, or has been retweeted, it is possible that your username is in this network.
The data were collected through the Twitter streaming and search APIs by André Panisson, and is part of a research project involving the Computer Science Department of the University of Turin (www.di.unito.it), the Complex Networks and Systems Group of the ISI Foundation (www.isi.it), and the Center for Complex Networks and Systems Research of Indiana University (cnets.indiana.edu).
You can find other similar videos about dynamic networks analysis on http://www.youtube.com/user/truthyatindiana
More commends posted in:
http://gephi.org/2011/the-egyptian-revolution-on-twitter</t>
  </si>
  <si>
    <t>Twitter Mining with R part 1 takes you through setting up a connection with Twitter. This requires a couple packages you will need to install, and creating a Twitter application, which needs to be authorized in R before you can access tweets. We quickly go through this entire process which may take some flexibility on your part so be patient and be ready troubleshoot as details change with updates.
Warning: You are going to face challenges setting up the twitter API connection. The steps for this part have been known to change slightly over time for a variety of reasons. Follow the general steps and expect a few errors along the way which you will have to troubleshoot. It is hard to solve these issues remotely from where I am.</t>
  </si>
  <si>
    <t>Melody Song, Senior Development Officer, Research and Campaign at the Calgary Zoo shares her experience using NodeXL to identify new major gift prospects with the Relationship Mapping Work Group in 11/2013.</t>
  </si>
  <si>
    <t>Visualization of the most central tweets containing #rw2011 tag. Made with NodeXL and Gephi.
twitter.com/jattipaa
verkostoanatomia.wordpress.com</t>
  </si>
  <si>
    <t>https://goo.gl/LDfkVq
güncelleme geldi yeni video 
Site  https://wplink.org
instagram link ekleme 
instagram'a whatsapp telefonunu
 youtube kanalını ve  web sayfasını ekle
herkese merhaba arkadaşlar ben sevgi karataş instagram adresine whatsapp linkini ekleyerek whatsapp a bağlayabilirsin 
aynı zamanda youtube kanalını facebook adresinin linkini ekleyebilirsin.
wplink.org  whatsapp link ekleme ve karşılama mesajı 
https://goo.gl/   url shorter  için kullanılacak adres
destek olmak için kanalıma abone olup videolarımı beğenirseniz çok mutlu olurum.
ABONE OLMAYI UNUTMAYIN 
https://goo.gl/LDfkVq
sosyal medyam oynatma listesi https://goo.gl/gBNX2H
saklı defterim oynatma listesi https://goo.gl/x5Deg6
en çok dinlenenler https://goo.gl/mv1f34
KANALIMA ÜCRETSİZ OLARAK ÜYE OLABİLİRSİNİZ 
WWW.SAKLİDEFTERİM.COM
VİDEOLARIMI BEĞENMEYİ UNUTMAYIN..</t>
  </si>
  <si>
    <t>Doç. Dr. Erhan Abdullah (Erchan Aptoula)'ya Derin Öğrenme Nedir? Yapay Sinir Ağlarıyla Farkı Nedir? Görüntü İşlemede Fayda Sağlar mı? sorularını soruyoruz.</t>
  </si>
  <si>
    <t>Knime ile web siteleri üzerinden istenen verilerin çekilmesi, palladian ile web bağlantısı (htmlparser) ve verilerin bölünmesi (rowsplitter). 
Çekilen verilerin takip edilmesi</t>
  </si>
  <si>
    <t>41 Gün Speaking serisinin 1. dersinde hedefleriniz üzerine bir soruyu ele alıp cevaplıyoruz.
http://huseyindemirtas.net/41-gun-speaking/
Etiketler: speaking, toefl, ielts, pte, ingilizce konuşma, ingilizce mülakat</t>
  </si>
  <si>
    <t>This video walks you through how to request, download, and search your Twitter history archive.
See more videos by Max here: https://www.youtube.com/c/MaxDalton
Video Transcript:
Twitter is a great platform for reaching people and getting information out there. However, searching through old tweets for something you sent out can be a nightmare, as there is no good way to see or search your archive of tweets on any of the platforms you can access Twitter through. The best way to see all of your tweets in one place where you can easily search them is to download your Twitter archive. Twitter includes an HTML interface with your archive that lets you easily search your entire history of tweets offline. Finally, it's important to note that you can only request and download your Twitter archive through the desktop version of Twitter's website, and you can't request or download your Twitter archive through the Twitter mobile app.
And now, let's walk through how to request, download, and search your Twitter data archive.
Step 1. Open your Web browser, navigate to twitter.com, and then log into your account. You'll land on the home screen for your Twitter account.
Step 2. Click the picture associated with your profile in the upper right corner of the screen to open a drop-down menu, and then click "Settings and Privacy" in the drop-down menu. The Account screen appears.
Step 3. Scroll down to locate the Content section on the right side of the screen, and then click "Request Your Archive" to the right of Your Twitter Archive toward the bottom of the content section. A dialog box appears, notifying you that your request has been received and that a link to your Twitter archive will be sent to the email address associated with your Twitter account when the information is ready. Click "Close" to close the dialog box.
Step 4. Monitor the email address associated with your Twitter account. You'll eventually get an email from notify@twitter.com with a subject line that reads It's Tweet Archive Time. Click the "Download Now" link in the email to be redirected to a Your Twitter Archive page on Twitter's website.
Step 5. Click "Download" on the Your Twitter Archive page. The ZIP file containing your Twitter archive will be downloaded to your computer.
Step 6. Right-click the file you downloaded to your computer, and then click "Extract All." A window appears prompting you to choose a location to extract the ZIP file contents. Choose your location, and then click "Extract."
Step 7. Navigate to the extracted folder, open it, and then double-click the "Index" file to launch it in a Web browser. A simple HTML page opens. You can click an individual month block in a specific year on the right side of the screen, and all of the tweets in that month will appear on the left side of the screen. Alternatively, you can use the Search All Tweets field toward the top of the screen to search your entire tweet archive. Finally, you can click the silhouette in the upper right corner of the screen to open a drop-down menu that you can use to access your Twitter account details.</t>
  </si>
  <si>
    <t>Knime yazılımından weka'da bulunan sınıflandırma ve diğer kütüphanelerin nasıl kullanılabileceği, wekanın güçlü yanlarının knime ile birleştirilmesi, basit bir uygulama ile knn ve naive bayes kullanarak sınıflandırma yapılması anlatılmıştır.</t>
  </si>
  <si>
    <t>Twitter Silinen mesajların DM’lerin geri getirilmesine izin vermiyor. Daha önceleri Twitter’da 2009 yılına kadar silinen DM’lerin , mesajların aranmasına izin veriyordu. Ancak 2009 yılında çıkarılan bir düzenleme ile bunu yok ettiler ve artık böyle bir duruma izin vermiyorlar.
Twitterda Silinen Mesajları Geri Getirmek 2015 Sesli Açıklama
Twitterda Silinen Mesajları Geri Getirmek 2015 Sesli Anlatım ►Umarım Hoşunuza Gitmiştir. 
► İsteklerinizi Yorum Kısmında  Belirtebilirsiniz. 
►Kanalımı İncelemek Ve Abone Olmak İçin :https://goo.gl/Uh4BGw
Saygılar Berk Kurt - BERKMENO ↕
 İletişim 
Facebook ►www.facebook.com/berkmeno.tc
Instagram ► www.instagram.com/berkmeno
Twitter ► @BERKMENO Facebook İletişim Adresim :</t>
  </si>
  <si>
    <t>Kullandığım 2 adet Sosyal Medya Hesabının Linkleri :
Yazılım Bilimi - Instagram : http://bit.ly/38h04mS
Kişisel Instagram Hesabım : http://bit.ly/2HpPX3v
Udemy üzerindeki kurslarımdan herhangi bir tanesine aşağıdaki linke tıklayarak en düşük fiyata kaydolabilirsiniz. 
Kurs Linkleri : http://bit.ly/2BKbYXL
Bu derste Requests ve BeautifulSoup Kütüphanelerini kullanarak İnternet sayfalarından bilgi çekmeyi öğrendik.
Linke tıklayarak Facebook Sayfamızı beğenebilirsiniz.
https://www.facebook.com/yazilimbilimi
Takip Edin
Yazılım Bilimi Facebook Sayfası : https://www.facebook.com/groups/853031244779781/?fref=ts
Twitter Hesabı : 
https://twitter.com/yazilimbilimi</t>
  </si>
  <si>
    <t>Piramitlerin Nasıl Yapıldığı Keşfedildi ! (İLERİ TEKNOLOJİ)
Genellikle Mısır piramitleri anlatılırken, insanlara bu piramitlerin ne kadar mucizevi şeyler olduğundan bahsedilir. Hatta bazen bu abartıların dozu öyle kaçmıştır ki, piramitleri uzaylıların inşa ettiğini söyleyenler bile ortaya çıkmıştır. Tarihteki çoğu yapı gibi piramitleri de hayal gücü vasıtasıyla abartmak çok basitti. Fakat onları açıklayabilmek hiç de basit değildi. Piramitlerin yaklaşık M.Ö. 2500'lü yıllarda inşa edildikleri tahmin olunmaktadır. Kulağa çok uzak bir tarih gibi gelse de, adı geçen devirlerde Anadolu ve Mezopotamya topraklarında çoktan birçok devlet kurulmuştu. Yükseklikleri çeşitlilik göstermekteydi. Örneğin Giza Piramitleri içerisinde bulunan Firavun Khufu'nun piramidi yaklaşık 140 metredir. Amacı, mısır piramitleri,antik mısır, piramitlerin içi ve çok daha fazla ilginç bilgi... Ben Murat Evegü
Instagram ► https://goo.gl/PUuUtD
İletişim ► muratevegufsa@hotmail.com
pGüneş'e Su Dökersek Ne Olur? ► https://www.youtube.com/watch?v=_NExru88O44
Ay Dünya'ya Çarparsa Ne Olur? ► https://www.youtube.com/watch?v=TsIQ_UcP5Zs
Dünya Dönmeseydi Ne Olurdu? ►https://www.youtube.com/watch?v=52d_jVdx9M8
Geçmişte Yaşamış En Büyük 5 Dinazor ► https://www.youtube.com/watch?v=MOBSPEqiZBM
Genellikle kullandığım Kaynak siteler ►
 line.do
 wikipedia.org
 future.wikia.com
 faturetimeline.net
 humanknowledge.net
 preceden.com
 youtube.com
 onedio.com
 newsner.com</t>
  </si>
  <si>
    <t>Destek olmak isterseniz / Donate : https://bynogame.com/destekle/codeappcompany
Twitch: https://www.twitch.tv/codeappcompany
Facebook: https://www.facebook.com/codeappcompany
Twitter: https://twitter.com/codeappcompany
Instagram: https://instagram.com/codeappcompany
www.eniskurtayyilmaz.com
Bu videoyu eğitim amaçlı hazırladım. C# Programlama dilini kullanarak bir Twitter uygulaması yazmaya çalıştım. Video içerisinde olabilecek yanlış telaffuz veya yanlış terimlerin, yanlış yerlerde kullanılması gibi durumlarında beni mazur görün, uzun zamandır eğitim videosu çekmiyorum..
Herkese iyi kodlamalar.</t>
  </si>
  <si>
    <t>Global Game Jam Etkinliğinde İzmir Ekonomi Üniversitesinde, Oyun geliştiren ekipleri dolaşıyoruz, 
Ekip Üyeleri:
Tevfik Umut Tayfun
Ogün Emre Gündoğdu
Kordeniz Tanıl
Beytullah Ünal
Atakan Şengöz
Ali Hami Ünal</t>
  </si>
  <si>
    <t>Veri Madenciliği,
Veri Madenciliği Dersleri,
Veri Madenciliği Eğitim Seti,
Veri Madenciliği Dersleri Serisi,
Veri Madenciliği(Excel -  Karışık Örnekler)
TAGS
veri madenciliği yöntemleri,
veri madenciliği nedir,
microsoft excell,
makro nedir,
makrolarla excell dersleri,
mining data,
mining,
datamining,
what is data,
data mining pdf,
data mining techniques,
data analysis,
mineria,
mineria de datos,
data warehouse,
data warehousing,
database,
data mining algorithm,
data mining ppt,
database mining,
data mining software,
big data,
clustering,
data mining tools,
google data mining,
classification,
big data mining,
smite,
datamining smite,
smite data mining,
coursera,
smite reddit,
smite patch notes,
smite wiki,0
gw2 data mining,
big data analytics,
bigdata,
big data mining,
big data,
slideshare,
kaggle,
data scientist,
hadoop,0
data mining meaning,
jurnal data mining,
python data mining,
data mining adalah,
nptel,
python,
data mining pdf
TAGS
http://kodkolik.net/
Machine Learning Group at the University of Waikato
Project Software Book Publications People Related
Weka 3: Data Mining Software in Java
Weka is a collection of machine learning algorithms for data mining tasks. The algorithms can either be applied directly to a dataset or called from your own Java code. Weka contains tools for data pre-processing, classification, regression, clustering, association rules, and visualization. It is also well-suited for developing new machine learning schemes.
Found only on the islands of New Zealand, the Weka is a flightless bird with an inquisitive nature. The name is pronounced like this, and the bird sounds like this.
Weka is open source software issued under the GNU General Public License.
We have put together several free online courses that teach machine learning and data mining using Weka. Check out the website for the courses for details on when and how to enrol. The videos for the courses are available on Youtube.
Yes, it is possible to apply Weka to big data!</t>
  </si>
  <si>
    <t>Twitter uygulaması olan Tweetdeck hesap kayıt etme nasıl yapılır
Tweetdeck retweet RT nasıl yapılır
Tweetdeck like favori nasıl yapılır
Tweetdeck tweet nasıl atılır
Tweetdeck hesap ekleme nasıl yapılır</t>
  </si>
  <si>
    <t>Kullandığım 2 adet Sosyal Medya Hesabının Linkleri :
Yazılım Bilimi - Instagram : http://bit.ly/38h04mS
Kişisel Instagram Hesabım : http://bit.ly/2HpPX3v
Udemy üzerindeki kurslarımdan herhangi bir tanesine aşağıdaki linke tıklayarak en düşük fiyata kaydolabilirsiniz. 
Kurs Linkleri : http://bit.ly/2BKbYXL
Bu derste IMDB top 250 filmlerinin verilerini elde ettik.
Linke tıklayarak Facebook Sayfamızı beğenebilirsiniz.
https://www.facebook.com/yazilimbilimi
Takip Edin
Yazılım Bilimi Facebook Sayfası : https://www.facebook.com/groups/853031244779781/?fref=ts
Twitter Hesabı : 
https://twitter.com/yazilimbilimi</t>
  </si>
  <si>
    <t>Knime Giriş, Kurulum ve Ekranları tanıma
Web Madenciliğine Giriş ve Kullanılabilcek bazı alanlar
Palladian kurulumu ve Web Üzerinden bilgi alınması
Basit bir hazır uygulamanın çalıştırılması
Nerelerde Kullanılabilir?
Türkiye için bazı veri kaynakları
Bazı Problem Örnekleri
RSS Feed olarak Hurriyet ve Sabah gazetlerinin haber akışlarının alınması ve etiket bulutunun (tag cloud) oluşturulması örneği
Şadi Evren ŞEKER</t>
  </si>
  <si>
    <t>In this video, we make use of the Tweepy Python module to stream live tweets directly from Twitter in real-time. 
In order to follow along, you will require:
1. A Twitter account, 
2. Python.
Assuming you have both of these, go ahead and install the "tweepy" module by running the following command inside a terminal shell.
pip install tweepy 
Once we have this, we make a Twitter application that will be used to interface with Python code we will write, and allow us to stream and process live tweets. After creating the Twitter application, we will leverage the "tweepy" module to stream the tweets.
Relevant Links:
Part 1:  https://www.youtube.com/watch?v=wlnx-7cm4Gg
Part 2: https://www.youtube.com/watch?v=rhBZqEWsZU4
Part 3: https://www.youtube.com/watch?v=WX0MDddgpA4
Part 4: https://www.youtube.com/watch?v=w9tAoscq3C4
Part 5: https://www.youtube.com/watch?v=pdnTPUFF4gA
Tweepy Website:
http://www.tweepy.org/
Tweepy Docs:
https://tweepy.readthedocs.io/en/v3.5.0/
Create Twitter Application:
https://apps.twitter.com/
GitHub Code for this Video:
https://github.com/vprusso/youtube_tutorials/tree/master/twitter_python/part_1_streaming_tweets
This video is brought to you by DevMountain, a coding boot camp that offers in-person and online courses in a variety of subjects including web development, iOS development, user experience design, software quality assurance, and salesforce development. DevMountain also includes housing for full-time students.
For more information: 
https://devmountain.com/?utm_source=Lucid%20Programming
Do you like the development environment I'm using in this video? It's a customized version of vim that's enhanced for Python development. If you want to see how I set up my vim, I have a series on this here:
http://bit.ly/lp_vim
If you've found this video helpful and want to stay up-to-date with the latest videos posted on this channel, please subscribe:
http://bit.ly/lp_subscribe</t>
  </si>
  <si>
    <t>How to download an archive of your Tweets, convert the tweet.js JavaScript file to CSV or Excel, organize the Excel spreadsheet, filter it for certain hashtags, and reformat the Tweets on the spreadsheet to include line breaks.
Here is the formula you'll need in Excel to insert line breaks. (See the video for instructions.)
=SUBSTITUTE(G2,"\n",CHAR(10))</t>
  </si>
  <si>
    <t>Merhaba arkadaşlar, firmaların hiç bir karşılık beklemeden çeşitli promosyon ve indirimler yapmak için verdiği alışveriş kartlarının aslında neden kullanıldığı, sosyal medya paylaşımlarınızın nerelerde ve ne için kullanıldığını merak ettiniz mi?
Sizi Big Data kavramı içerisinde her gün ağ üzerindeki hareketlerinizin nerelerde kullanıldığını öğrenmeye davet ediyorum.
İyi Seyirler.
Kanalımı facebook'dan takip etmek için :
https://www.facebook.com/BunlarHepTeknoloji/</t>
  </si>
  <si>
    <t>İletişim: buracademy@gmail.com #maxqda, #qda, #nitelveri</t>
  </si>
  <si>
    <t>Veri Madenciliği proje konusu seçimi. Bitirme projesi, tez, kendini geliştirmek için proje seçmek isteyen arkadaşların en sık sorduğu sorulardan birisi hangi projeyi yapacağı veya bir projeyi nasıl seçeceği oluyor. Genel olarak bir proje seçimi ile ilgili kısa açıklamalar içeren bir video hazırladım.</t>
  </si>
  <si>
    <t>Python dersleri nltk kütüphanesi text metin madenciliği duygu analizi doğal dil işleme natural language processing NLP scikit learn makine öğrenmesi yapay zeka derin öğrenme tirendaz akademi de.
Merhaba, Tirendaz Akademiye hoşgeldiniz,
Bu ders de python NLTK kütüphanesi ile metin analizini anlattım.
************************
Özetle bu derste,
-NLTK nedir?
-Metinde kelime bulma
-Kelime sıklığını bulma
-Bigrams trigrams
-Duygu analizi
konuları uygulamalar ile anlattım.
***********************
Kanalımızda 400 den fazla eğitim dersi var. Bu derslerin oynatma listelerine aşağıdaki linklerden ulaşabilirsiniz.
Pandas dersleri (Komple eğitim seti)
https://m.youtube.com/playlist?list=PLfMRLSpipmfsLoyO-deGWkJ0RAQf9gU20
Python dersleri (Sıfırdan-ileri düzey)
https://m.youtube.com/playlist?list=PLfMRLSpipmfvXkTUYk8hCY0Ql8B0cHlpt
Veri görselleştirme (Grafik) dersleri 
https://m.youtube.com/playlist?list=PLfMRLSpipmftxkCN8pd3MFcBObhSpNW2c
Makine öğrenmesi dersleri
https://m.youtube.com/playlist?list=PLfMRLSpipmfuumcvO3fObVAUpSqYAcZmF
Python da önemli kütüphaneler ve araçlar
https://m.youtube.com/playlist?list=PLfMRLSpipmfshXbOt3cVLqj-hYC_BxCxg
Django (Web geliştirme) dersleri
https://m.youtube.com/playlist?list=PLfMRLSpipmfvrYo-WZEVn4bUSVia_XD2P
Flask (Pratik web geliştirme) dersleri
https://m.youtube.com/playlist?list=PLfMRLSpipmfuWxyL_a_2uMFxtPDL8BLp8
************************
Adettendir videomuzu beğenmeyi ve kanalımıza abone olmayı unutmayın :))
Öğrenmeyi seven ve sevdirerek öğreten akademi...
--Tirendaz Akademi--
#tirendazakademi #python #metinanalizi</t>
  </si>
  <si>
    <t>Bazen bir hafta ya da bir kaç gün önce gördüğümüz güzel bir tweeti tekrar bulmak ister ama bulamayız. İşte bu video tam olarak bunu nasıl yapabileceğinizi anlatıyor. Bunun için twitter.com sitesine önce girmek lazım. Sonra? Sonrası videomuzda. İzleyin, beğenin, yorum yapın!
#twitter #eskitweetleri bulmak #yorumhane</t>
  </si>
  <si>
    <t>Excelde webden dış veri alma örneğidir. Örnekte dosya için linki ziyaret ediniz.
http://www.bymmb.com/excelde-dis-veri-alma-webden/ #excelmakro #excelvba #makrodersleri</t>
  </si>
  <si>
    <t>http://www.ehliyetyadapasaport.com
Videoda adi gecen siteler: 
http://www.twitter.com
http://www.ifttt.com
https://affiliate-program.amazon.com/</t>
  </si>
  <si>
    <t>Dağhan Irak, Facebook'tan veri toplama aracı Netvizz'i tanıtıyor.</t>
  </si>
  <si>
    <t>Sosyal ağ analizi için twitter verilerinin knime ile nasıl alınacağı anlatılmıştır. Twitter üzerinde bir application oluşturulması anahtarların alınması ve kullanılması, twitter üzerinde arama yapılması gibi temeller anlatılmıştır.</t>
  </si>
  <si>
    <t>NodeXL demo featured at Microsoft Research Cambridge Lab during its Enabling Innovation Through Research Event held on 6 May 2009.</t>
  </si>
  <si>
    <t>Questo Parassita entra nel Tuo Corpo e Prende il Controllo della Tua Mente! Sembra Spaventoso ma Dobbiamo Sperimentarlo!! _xD83D__xDE28_
•► Acquista le Storie del Mistero: http://bit.ly/lyonmistero _xD83D__xDE32_
•► Il Mio Server MineCraft ➝ mc.whengamersfail.it
•► Abbonati al Canale ➝ https://goo.gl/qWiJX4
•► Il Mio Secondo Canale ➝ https://goo.gl/yXHLUQ
•► Il Nostro Gruppo Roblox ➝ https://www.roblox.com/groups/5083632/WGF#!/about
•► Il Nostro Discord ➝ https://discord.gg/dC5jqS4
_xD83E__xDDE1_ Canale adatto a tutte le età! _xD83E__xDDE1_
•► A Caccia di Entity ➝ https://amzn.to/2RRLcGN
•► A Caccia di Herobrine ➝ https://amzn.to/2TXJtNh
•► Diventa un Leone ➝ http://bit.ly/Segui_WGF
•► Instagram ➝ http://bit.ly/instawgf
•► Twitter ➝http://bit.ly/twittwgf 
•► Facebook ➝ http://bit.ly/FB_WGF
•► Twitch ➝ http://bit.ly/Twitch_WGF
Lasciate un Pollice in Su se Volete Vedere Altri Video Come Questo! Lo apprezzo moltissimo! E una buona giornata speciale a chi lascia un commentino! :)
Grazie e...
Lyon Out!
____________________
Musica :
Kevin MacLeod (incompetech.com)
Licensed under Creative Commons: By Attribution 3.0 License
http://creativecommons.org/licenses/by/3.0/
https://www.premiumbeat.com/
Outro by Ninety9Lives
Ahxello &amp; Alex Skrindo &amp; Stahl! - Heaven
Album Link: http://99l.tv/LuckyBlock
Alcune Tracce sono gentilmente concesse da: http://www.epidemicsound.com/
✔ Achievement Unlocked ➝ Sei Un Vero Leone! Hai Guardato Fino in Fondo alla Descrizione! Mantieni il Segreto Però, Scrivi nei Commenti #VeroLeone o #VeraLeonessa Per Farmi Capire che Lo Sei, Ma Non Dire a Nessuno Cosa Significa! ;)</t>
  </si>
  <si>
    <t>The Data Analytics online course focuses on setting the student apart through skills development.  The course explores social network analysis via the NodeXL tool and investigates quantitative methods using Harvards Quantitative Methods e-learning program.</t>
  </si>
  <si>
    <t>"Analyzing Social Media Networks with NodeXL"
When information visualization is smoothly integrated with statistical techniques users can make important discoveries and bold decisions. Our 20-year history in coupling direct manipulation principles with dynamic queries, coordinated multiple windows, tree-maps, time-box selectors, and other innovations has produced academic and commercial success stories such as www.Spotfire.com and www.cs.umd.edu/hcil/treemap-history.  Now we've turned to the difficult problem of network analysis and visualization. The free, open-source NodeXL (www.codeplex.com/nodexl) demonstrates novel approaches to importing network data (email, website, Facebook, Twitter, Flickr, etc.), applying metrics, performing clustering, and then giving rich controls over network layouts to support exploration and presentation.    
BEN SHNEIDERMAN (http://www.cs.umd.edu/~ben) is a Professor in the Department of Computer Science and Founding Director (1983-2000) of the Human-Computer Interaction Laboratory (http://www.cs.umd.edu/hcil/) at the University of Maryland. He was elected as a Fellow of the Association for Computing (ACM) in 1997, a Fellow of the American Association for the Advancement of Science (AAAS) in 2001, and a Member of the National Academy of Engineering in 2010. He received the ACM SIGCHI Lifetime Achievement Award in 2001.</t>
  </si>
  <si>
    <t>Visualization of all of the tweets containing #rw2011 tag. Made with NodeXL and Gephi.
twitter.com/jattipaa
verkostoanatomia.wordpress.com</t>
  </si>
  <si>
    <t>If you like Ali G then you NEED to check this out! http://amzn.to/2fLyruy
Ali G talks to some geezers about science, and techmology
If you like Ali G then you NEED to check this out! http://amzn.to/2fLyruy</t>
  </si>
  <si>
    <t>Microsoft demonstrates latest Natural User Interface (NUI) advances - WinRumors.com</t>
  </si>
  <si>
    <t>Researcher Siân Lindley talks about her career and role at Microsoft Research Cambridge</t>
  </si>
  <si>
    <t>We found the worst game we could find on Steam. It's bad, really bad.
SUBSCRIBE OR YOU'LL HAVE BAD LUCK
New Merch - shopmrbeast.com
Join our discord server for your chance to compete in future Minecraft challenges!
https://discord.gg/kCQKvZD
----------------------------------------------------------------
follow all of these or i will kick you
• Facebook - https://www.facebook.com/MrBeast6000/
• Twitter - https://twitter.com/MrBeastYT
•  Instagram - https://www.instagram.com/mrbeast
--------------------------------------------------------------------</t>
  </si>
  <si>
    <t>This video demonstrates the use of Visio 2010 Data Links and Data Graphics in creating a schematic network diagram.  It demonstrates adding network shapes to a drawing and linking the shapes to a spreadsheet and an Access database.  It shows how to label the shapes using the linked data fields and how to visually represent the data on the drawing  by highlighting shapes with data fields that meet certain criteria.</t>
  </si>
  <si>
    <t>http://analytics.google.com
A brief overview of how to use the Google Analytics interface. If you are new to Google Analytics or you'd like to pick up a few tips on how to use some of the different features, this video is a good place to start.</t>
  </si>
  <si>
    <t>DPMPC Research Forum: Creating and Managing Research Databases in Microsoft Access(tm)
Lara Dhingra, PhD
Attending Psychologist, Department of Pain Medicine and Palliative Care
Beth Israel Medical Center, New York, NY, 
Assistant Professor, Departments of Neurology and Psychiatry and Behavioral Sciences
Albert Einstein College of Medicine, Bronx, NY
and
Jack Chen, MBS
Research Coordinator, Department of Pain Medicine and Palliative Care
Beth Israel Medical Center, New York, NY</t>
  </si>
  <si>
    <t>Information Visualization for Knowledge Discovery
Ben Shneiderman [University of Maryland--College Park]
Abstract: 
Interactive information visualization tools provide researchers with remarkable capabilities to support discovery. By combining powerful data mining methods with user-controlled interfaces, users are beginning to benefit from these potent telescopes for high-dimensional data. They can begin with an overview, zoom in on areas of interest, filter out unwanted items, and then click for details-on-demand. With careful design and efficient algorithms, the dynamic queries approach to data exploration can provide 100msec updates even for million-record databases. 
This talk will start by reviewing the growing commercial success stories such as www.spotfire.com, www.smartmoney.com/marketmap and www.hivegroup.com. Then it will cover recent research progress for visual exploration of large time series data applied to financial, medical, and genomic data (www.cs.umd.edu/hcil/timesearcher ). These strategies of unifying statistics with visualization are applied to electronic health records (www.cs.umd.edu/hcil/lifelines2) and social network data (www.cs.umd.edu/hcil/socialaction and www.codeplex.com/nodexl).  
Demonstrations will be shown. 
BEN SHNEIDERMAN  is a Professor in the Department of Computer Science and Founding Director (1983-2000) of the Human-Computer Interaction Laboratory at the University of Maryland.  He was elected as a Fellow of the Association for Computing (ACM) in 1997 and a Fellow of the American Association for the Advancement of Science (AAAS) in 2001.  He received the ACM SIGCHI Lifetime Achievement Award in 2001.
Ben is the author of "Designing the User Interface: Strategies for Effective Human-Computer Interaction" (5th ed. March 2009, forthcoming) http://www.awl.com/DTUI/.  With S. Card and J. Mackinlay, he co-authored "Readings in Information Visualization: Using Vision to Think" (1999).  With Ben Bederson he co-authored The Craft of Information Visualization (2003). His book Leonardos Laptop appeared in October 2002 (MIT Press) (http://mitpress.mit.edu/leonardoslaptop) and won the IEEE book award for Distinguished Literary Contribution.</t>
  </si>
  <si>
    <t>▶구독+좋아요+공유! 앙♥기모띠
철구 유튜브 ▶  http://goo.gl/ewip1K
철구 아프리카 ▶  http://Afreecatv.com/y1026
철구 페이스북 ▶ http://goo.gl/4DC1hG
지혜 유튜브 ▶  http://goo.gl/AYZPOl
지혜 아프리카 ▶  http://Afreecatv.com/xwx1541
지혜 인스타 ▶ http://goo.gl/xrWZmi</t>
  </si>
  <si>
    <t>Go to https://buyraycon.com/enchantedmob for 15% off your order! Brought to you by Raycon.
CHECK OUT ENDING B: https://www.youtube.com/watch?v=pdtAsaBqHBg
Rendered with Fox Renderfarm: https://www.foxrenderfarm.com/?utm_source=Y2B_EnchantedMob
Company Links:
Website: http://www.enchantedmob.com/
Twitter: https://twitter.com/EnchantedMob
Discord: https://discord.gg/WzVUQJY
Email: management@enchantedmob.com
----- Video Credits -----
--- Directors ---
  Zachary Preciado
  Micah Preciado
Executive Producer - Zach Belanger
--- Layout ---
  Zachary Preciado
  Micah Preciado
--- Animation ---
  Zachary Preciado
  Micah Preciado
  Seth Belanger
--- Assets and Rigs --
  Seth Belanger
  James Pelter
  Zachary Preciado
  Micah Preciado
Final Layout Artist:
  Seth Belanger
  Zachary Preciado
  Micah Preciado
--- Lighting and Dynamics ---
  Seth Belanger
  Zachary Preciado
  Micah Preciado
--- Compositing Artist ---
  Seth Belanger
----- Song Credits -----
Original Song: https://www.youtube.com/watch?v=lhsMcNG-KUM
----- Additional Information -----
Become a member: https://www.youtube.com/channel/UClVPihc-qy7on0hGMsc0_hw/join
---------------
Undertale is copyright of Toby Fox. Buy it: https://undertale.com/
Minecraft is copyright of Mojang/Microsoft. Buy it: https://minecraft.net/en-us/</t>
  </si>
  <si>
    <t>In the Big Data Analytics video, we look at how to build and design algorithms using Fennel, a programme that makes the processing of big data more efficient. Processing big data more efficiently, either by using less hardware or faster, is really important in order to allow us to process this big data in the future.</t>
  </si>
  <si>
    <t>Computational Biologist Jasmin Fisher talks about her career and role at Microsoft Research.</t>
  </si>
  <si>
    <t>Microsoft Research Cambridge have been leading the way in extending the succinct and expressive the F# language to support F# Information-Rich Programming. This technology lets you program directly against very rich spaces of data and services that often dominate enterprise and web programming today such as databases, web services, semantic web data feeds and data brokers.</t>
  </si>
  <si>
    <t>Music from the Sega Genesis game, Jurassic Park.  Written by Sam Powell.</t>
  </si>
  <si>
    <t>Here is a quick video on how to convert Excel spreadsheet data to XML for import into Flash or Flex. Don't spend time typing all that data again create a schema and convert to XML. Convert Excel was created by Mike Lively Director of A&amp;S Instructional Design at Northern Kentucky University NKU.</t>
  </si>
  <si>
    <t>A PowerMap global view of the 5,914 Twitter users whose tweets  contained "scicomm" tweeted over the 20-day, 11-hour, 5-minute period from Tuesday, 11 August 2015 at 07:31 UTC to Monday, 31 August 2015 at 18:37 UTC. Bar height equals betweenness centrality.</t>
  </si>
  <si>
    <t>Professor Chris Bishop explores the future of computers in the University's 2009 Christmas Lecture.</t>
  </si>
  <si>
    <t>Principal Research Software Development Engineer, Samin Ishtiaq of Microst Research Cambridge talks about the creative and mathematical nature of computer programming.</t>
  </si>
  <si>
    <t>This video is a collage of different open source software projects displayed using Gource.
Gource is a software version control visualization tool:
http://gource.io
Software projects featured in this video:
Moodle
Git
Drupal
PostgreSQL
Ruby on Rails
Linux
VLC Player
Music: 'The Deal' by Keiretsu</t>
  </si>
  <si>
    <t>The Computational Ecology and Environmental Science (CEES) group at Microsoft Research Cambridge has developed the CEES Distribution Modeller, a browser app that enables users to visualise data, define a complex model, parameterise it, make predictions with uncertainty, and share it all transparently and in repeatable form.</t>
  </si>
  <si>
    <t>Here's a quick example of how to compute network centralization (using the Freeman method). Essentially, sum the difference in centrality between the most central node and each other node. Then, divide by the same thing computed on the theoretically most centralized network with the same number of nodes. Usually, the latter will be a star network with one node in the middle connected to each other node.</t>
  </si>
  <si>
    <t>This is a demo I made for a class a few years ago. Unfortunately my work and research interests are not in this area and I don't use this software at all so I don't really have a knowledge base to answer more intricate questions. I've decided to leave it up though since a lot of people seem to find it useful.</t>
  </si>
  <si>
    <t>In this session we'll cover:
- Selecting a PowerMaps data source
- Adding in PowerMaps to your toolbar
- Plotting the data points to the map
- Filtering
- Adding time components</t>
  </si>
  <si>
    <t>Video 1 of Part 4 of the Node XL videos. It contains the demonstration of working with downloaded data sets in Node XL</t>
  </si>
  <si>
    <t>This is a quick demo of how the new timeline feature works in Gephi 0.7b. We've used 5 hours worth of data from the Twapperkeeper archives for the #spill hashtag, corresponding to an 'acute event' in Australian politics, where now-prime minister Julia Gillard overthrew then-PM Kevin Rudd. 
The possibilities here are very interesting, particularly if we use better quality data properly set up for longitudinal analysis. But for now...look, pretty!
For more info on our research project see http://mappingonlinepublics.net
Gephi: http://gephi.org
I used the Camtasia screencast software to make this video.</t>
  </si>
  <si>
    <t>This is a tutorial video for the Graph# graph layout framework: http://codeplex.com/graphsharp</t>
  </si>
  <si>
    <t>Josh Letourneau of Knight &amp; Bishop Consulting (www.KnightBishop.com) and Blogger at http://CollaborativeChaos.typepad.com, explains "Network Analysis" in 60 seconds.</t>
  </si>
  <si>
    <t>This is a "madness" screencast overview of brand new Gephi 0.7.
The video highlights the following features:
* grouping:
Group nodes into clusters and navigate in multi-level graphs.
* multi-level layout:
Very fast layout algorithm that coersen the graph to reduce computation.
* interaction:
Highlight neighbors and interact directly with the visualization when using tools.
* partitionning:
Use data attributes to colorize partitions and communities.
* ranking:
Use degree, metrics or data attributes to set nodes/edges color and size.
* metrics:
Run various algorithm in one click and get HTML report page.
* data laboratory:
Data table view with search feature.
* dynamics:
Use Timeline to explore dynamic graphs.
* filtering:
Dynamic queries, create and combine a large set of filters.
* auto update:
The application is updating itself its core and plugins.
* vectorial preview:
Switch to the preview tab to put the final touch before explorting in SVG or PDF.
Learn more: http://gephi.org/features/
Video License:
Creative Commons By-NC-SA
http://creativecommons.org/licenses/by-nc-sa/3.0/
Music Credits:
Feather Drug - Mysteries - Album Beta test V0.1
http://jamendo.com/fr/album/20110</t>
  </si>
  <si>
    <t>A video tutorial on how to analyze your Twitter data using Datameer.
Download your free trial at http://www.datameer.com/download.html
This video also belongs to the following categories: what is twitter brand sentiment, what is social media, social media for brands, social media campaign measurement, social media and brand strategy, what is branding, customer satisfaction analysis, free social media app, free twitter app, twitter app for brands, twitter marketing, social media for business, twitter marketing tool, data analysis, big data, what is bi, big data big analytics, visualization software, business intelligence analyst, business intelligence bi, analytic dashboards, big data discovery, data visualizations</t>
  </si>
  <si>
    <t>Follow along with the course eBook: https://systemsinnovation.io/books/
Take the full course: https://systemsinnovation.io/courses/
Twitter: http://bit.ly/2JuNmXX
LinkedIn: http://bit.ly/2YCP2U6
Almost all real networks are dynamic in nature and how they have evolved and change over time is a defining feature to their topology and properties. As network theory is a very new subject much of it is still focused on trying to explore the basics of static graphs, as the study of their dynamics results in the additional of a whole new sets of parameters to our models and takes us into a new level of complexity, much of which remains unexplored, and is the subject of active research.
Transcription excerpt:
So lets start by talking about growing a random network to see what it looks like, when we say growing a network we might mean adding more nodes to it, but also, more interestingly adding links to it, that increases the overall connectivity. In our random model links were just placed between nodes at random with some given probability, growing the network here just meant increasing this probability so as to have more links develop over time. One interesting thing we find when we do this is that there are thresholds and phase transitions during the network's development, by thresholds we simply mean that, by gradually increasing our link probability parameter, some property to the network suddenly appearing when we pass a critical value. 
So for example our first threshold is when the average degree goes above 1 over the total number of nodes in the network, as at this threshold we start to get our first connection. At degree one that is when every node has on average one connection the network stars to appear connected, we see one giant component  emerging within the network, that is one dominant cluster and we start to have cycles, which means there are feedback loops in the network. Another threshold occurs when nodes have an average degree of log(n) at this point everything starts to be connected meaning there is typically a path to all other nodes in the network. So this is what we see in random network but as we know most real world networks are not random as they are subject to some resource constraints and they have preferential attachment giving them clusters that we do not see in these random graphs.
One way of thinking about how real world networks form is through the lens of percolation theory, percolation theory looks at how something filters all percolates through something else like a liquid filtering through some mash structure in a material or we might think about some water running down the side of the hill, as it does the water will find the path of least resistance creating channels and furrows in the side of the hill. This network formation is then the product of the resource constraints that its environment placed upon it, but the constraints are unevenly distributed and the networks topology is then reflecting this as it follows the paths of least resistance as it avoids toughest material.
In order to demonstrate the general relevance of this we will take some other examples, if say we put on a cheap flights from one city to another then people will start using that transportation link because of financial constraints. Or because of phenomena of Homophily within social networks we will get the same peculation dynamic where it will be easier for people to make links with people who are similar to themselves than with others, again creating a particular structure based on the social constraints within the system.</t>
  </si>
  <si>
    <t>This video gives a sense of the kind of information that gephi can provide on a simple dataset. In this case... the connections between the people i follow on twitter. Many thanks to @psychemedia for blazing this trail for me</t>
  </si>
  <si>
    <t>Part II: How to create a ties-as-cases dataset</t>
  </si>
  <si>
    <t>Tutorial illustrates how to manually code Twitter Tweets using Microsoft Excel. The video also shows how to use Google Translate to interpret non-English Tweets.</t>
  </si>
  <si>
    <t>Hello guys, this tutorial using R Studio to get data from twitter and export to excel</t>
  </si>
  <si>
    <t>Capstone project of Data and Knowledge Engineering
Repository: https://github.com/Prerna237/SocialNetworkAnalysis</t>
  </si>
  <si>
    <t>This workshop provides a broad overview of Social Network Analysis. In the first part of the workshop, a concise overview of theoretical concepts is provided, together with examples of data collection methods. The second section discusses network data analysis - network measurements (i.e. density, reciprocity, etc.) and node level measurements (i.e. degree centrality, betweenness centrality, etc.). The last part of the workshop introduces participants to UCINET and NetDraw, software packages used for data management, analysis and visualization.</t>
  </si>
  <si>
    <t>In this short video we aim to help you get started with creating a network in Polinode quickly.</t>
  </si>
  <si>
    <t>Blog post URL: http://www.joeyoungblood.com/social-media/tool-highlight-tuesday-rite-tag/
More #THT videos coming soon at: www.ToolHighlightTuesday.com
If you're looking for a great hashtag analytics tool that has free data to help boost your social media marketing efforts, this is the only tool to consider. Period.
Rite Tag is a free Social Media optimization tool that uses data to suggest hash tags for the best performance of your tweets and facebook posts. The paid version of the tool has a lot of other features including a built in library of images you can use to boost engagement. 
The tool chrome extension works with Twitter, Facebook, Hootsuite, Sprout Social, and Tweetdeck. But this video focuses on one feature of the tool that you can access without being a paying user.</t>
  </si>
  <si>
    <t>This is the third module of the Pathways and Network Analysis of -omics Data 2018 workshop hosted by the Canadian Bioinformatics Workshops at the Ontario Institute for Cancer Research. This session is by Gary Bader from the University of Toronto.</t>
  </si>
  <si>
    <t>The basics of decision making for how to build a social network data set.
Table of Contents:
00:00 - Building Networks
00:13 - First Decisions
01:50 - Examples
04:06 - Networks with multiple node types
05:14 - To Build a Network
06:48 - To Build a Network
08:15 - Handling Large Networks
08:59 - Snowball Sampling 
10:01 - Random Sampling 
11:23 - Egocentric Network Analysis</t>
  </si>
  <si>
    <t>Modelagem do problema de Caminho Mínimo como Programação 
Linear e resolução utilizando Solver do MS Excel.
Arquivo Excel  - https://drive.google.com/file/d/0B8YGbkYayfRLOUJiWjc0bDNYRkE/view?usp=sharing
Arquivo com Modelo - https://drive.google.com/file/d/0B8YGbkYayfRLdnJDR1VLeHVyNFk/view?usp=sharing
Exemplo retirado do HILLIER, Frederick S.; LIEBERMAN, Gerald J. - Introdução à Pesquisa Operacional. 8ª edição -  Pág 415</t>
  </si>
  <si>
    <t>Este video explica el método simplex aplicado a problemas de flujo en redes.</t>
  </si>
  <si>
    <t>Este vídeo mostra um exemplo de como utilizar a ferramenta Gephi para representação de redes.</t>
  </si>
  <si>
    <t>Mineração de dados e análise preditiva para Ciência Política.</t>
  </si>
  <si>
    <t>Techlog (Import data)
Ahmed Gedo</t>
  </si>
  <si>
    <t>Ejemplo de minería de datos, con algoritmo de agrupación y algoritmo de predicción utilizando Knime</t>
  </si>
  <si>
    <t>View full lesson: http://ed.ted.com/lessons/what-facebook-and-the-flu-have-in-common-marc-samet
From social media to massive financial institutions, we live within a web of networks. But how do they work? How does Googling a single word provide millions of results? Marc Samet investigates how these networks keep us connected and how they remain "alive."
Lesson by Marc Samet, animation by Thinkmore Studios.</t>
  </si>
  <si>
    <t>O video tem o objetivo de demonstrar como utilizar o ManyEyes para fazer análises simples mas poderosas. Não exige pré-requisito.
Críticas e sugestões são bem-vindas!</t>
  </si>
  <si>
    <t>Full Title: 
Motif simplification: improving network visualization readability with fan, connector, and clique glyphs
Authors:
Cody Dunne, Ben Shneiderman
Abstract:
Analyzing networks involves understanding the complex relationships between entities, as well as any attributes they may have. The widely used node-link diagrams excel at this task, but many are difficult to extract meaning from because of the inherent complexity of the relationships and limited screen space. To help address this problem we introduce a technique called motif simplification, in which common patterns of nodes and links are replaced with compact and meaningful glyphs. Well-designed glyphs have several benefits: they (1) require less screen space and layout effort, (2) are easier to understand in the context of the network, (3) can reveal otherwise hidden relationships, and (4) preserve as much underlying information as possible. We tackle three frequently occurring and high-payoff motifs: fans of nodes with a single neighbor, connectors that link a set of anchor nodes, and cliques of completely connected nodes. We contribute design guidelines for motif glyphs; example glyphs for the fan, connector, and clique motifs; algorithms for detecting these motifs; a free and open source reference implementation; and results from a controlled study of 36 participants that demonstrates the effectiveness of motif simplification.
URL: http://dl.acm.org/citation.cfm?id=2466444
DOI: http://dx.doi.org/10.1145/2470654.2466444</t>
  </si>
  <si>
    <t>Programa informático para el estudio de la estructura social de los grupos, tanto en contextos educativo como laboral. Proporciona información sobre las relaciones entre los evaluados, el clima social, existencia de subgrupos y el tipo sociométrico de cada persona.
Más información: http://web.teaediciones.com/sociomet.aspx</t>
  </si>
  <si>
    <t>Create OD Cost Matrix, Load locations and destinations, Solve, Summarize min, max and avg travel times from each origin to all destinations.
This work is licensed under a Creative Commons Attribution-NonCommercial-NoDerivs 3.0 Unported License.</t>
  </si>
  <si>
    <t>Showing how to make flowcharts and decision tree like structures with the yED Graph Editor.
A freeware alternative to Microsoft's Visio.
Available for Windows, Mac and Linux, freely at: http://www.yworks.com/en/products_yed_download.html</t>
  </si>
  <si>
    <t>Para se tornar o destaque da sua empresa ou passar em qualquer processo seletivo por causa do Excel, inscreva-se na Semana do Excel - 100% Online e Gratuito: http://bit.ly/youtube-semana
Para baixar a planilha utilizada na aula, acesse:https://pages.hashtagtreinamentos.com/planilha-1l84lDPXziX6jcs166cl5ZAKEl3nUR3Xp?origemurl=hashtag_yt_org_planilha_9e4nPtgoYoI
Quer aprender a fazer gráficos no Excel 2016? Nesse vídeo eu te mostro o passo a passo de como fazer um gráfico de coluna no Excel.
Gráfico no Excel 2013, 2010 ou versões anteriores vão funcionar dessa mesma forma, então praticamente qualquer versão do Excel pode usar esse método sobre como fazer gráfico de coluna no Excel.
Esse método funciona também para qualquer tipo de gráfico. Pode ser um gráfico de pizza, gráfico de barras, gráfico circular, gráfico de dispersão e qualquer outro tipo que você queira construir. Você vai poder usar esse passo a passo completo de como fazer gráfico de coluna no Excel para aplicar em qualquer outro tipo de gráfico.
Quer aprender mais? Inscreva-se no canal ou se inscreva em: 
https://excelparaestagio.klickpages.com.br/youtube</t>
  </si>
  <si>
    <t>Este vídeo faz parte do Curso Online Análise Espacial - Prática com ArcGIS, oferecido pelo Instituto GEOeduc. Para mais informações acesse o site http://www.geoeduc.com/produtos/curso-online-intermediario-de-arcgis/</t>
  </si>
  <si>
    <t>An easy video to learn using Microsoft Excel Solver for Linear Programming</t>
  </si>
  <si>
    <t>Step-by-step instructions on how to install an Excel add-in in Excel 2007, 2010, 2013, 2016 for Windows. 
IMPORTANT NOTE: A July 2016 Office Security Update is causing the add-in ribbon menu to disappear.  Here is a video that explains how to fix it. https://www.youtube.com/watch?v=AhnOU-ulqNg
Installing the add-in is pretty easy, and should only take a few minutes.
1. Save the add-in file to your computer.
  – Pick any folder on your hard drive that is easy for you to find.
  – My suggestion is to create a folder named “Excel Campus” and place it in your Documents folder.
2. Open Excel and go to the Options Menu.
  – This varies depending on your version of excel.
  – 2007 – Office Button,  Excel Options
  – 2010 &amp; 2013 – File, Options 
3. Click the “Add-Ins” option on the left-side menu, and then click the “Go…” button.
  – You may have to wait a few seconds for the window to  appear. 
4. Click the “Browse…” button on the Add-Ins Menu.
5. Locate the add-in file you saved in Step 1, and click OK.
6. The Add-in will appear in the list and should be enabled, click OK.
7. Installation Complete – The add-in is now installed and should automatically open every time to you open excel.
Here is an article with written instructions and images.  You can also download a pdf version and print it.
http://www.excelcampus.com/tools/how-to-install-an-excel-add-in-guide/
Checkout my video on how to uninstall and completely remove an Excel Add-in:
https://www.youtube.com/watch?v=5MVbR4pKAbU</t>
  </si>
  <si>
    <t>In this video recorded for the University of Maine at Augusta Social Science program, we talk about population pyramids.  What are population pyramids?  How can one read a population pyramid?  Where can examples of population pyramids be found?  These questions are addressed briefly here.
Population pyramids are a central visual representation of social structure in demography, the study of the number, distribution, and composition of people.  Demography offers perhaps the conceptually simplest vision of social structure, since it is fundamentally based in mere counts.  Empirically speaking, counting people turns out to be very difficult indeed.</t>
  </si>
  <si>
    <t>Bu videoda NodeXL uygulamasının kurulumunu ve kullanımını basitçe anlatmaya çalıştım. Türkçe kaynak sıkıntısı çekenler ve ağ analizi için uygulamayı kullanmak isteyenler için umarım faydası olur.
İndirme Linki;
https://www.nodexlgraphgallery.org/Pages/RegistrationBasic.aspx</t>
  </si>
  <si>
    <t>ETSU Online Programs - http://www.etsu.edu/online
Module 3- Memory: Connectionism &amp; Semantic Networks
MOD 03 EP 06</t>
  </si>
  <si>
    <t>This video demonstrates two methods for importing and transforming 2-mode network data (also known as bipartite networks or affiliation matrices) in the open-source research program R.  Method #1 involves direct input of an affiliation matrix into R, a method good for relatively small matrices. For larger matrices, it's easier to enter affiliation data into a spreadsheet and import a .csv (comma-delimited) file into R.  One hypothetical affiliation matrix and one actual affiliation matrix of corporate board interlocks are used to illustrate the development of R scripts for 2-mode network research.  This video was created for the University of Maine at Augusta undergraduate social science program.</t>
  </si>
  <si>
    <t>This video shows you how to use WORDij (http://wordij.net) to analyze textual data. I focus a) on word and word pair frequencies, and b) on how to create a semantic network and visualize it using gephi (http://gephi.org).</t>
  </si>
  <si>
    <t>How to identify gaps in the current discourse on a specific subject and how to discover what people are looking for but are not able to find. We use text network analysis tool http://infranodus.com to perform this task and demonstrate how you can do the same in 5 minutes using #textmining. #infranodus #seo #google</t>
  </si>
  <si>
    <t>TEDS, the Treatment Episode Data Set, contains information on admissions and discharges from federally- and state-funded substance abuse treatment centers.  This video for undergraduate students at the University of Maine at Augusta provides a brief overview of the TEDS data set, its codebook, and accessing information regarding the variables within.</t>
  </si>
  <si>
    <t>Online surveys and other methods that generate unrepresentative samples may be convenient for the early researcher, but they generate results that don't tell us much.  Fortunately, there are other options out there.  In this video, we consider one of them: examining the entirety of content and interaction in an online Reddit community.  Using R, R Studio, and an R package called RedditExtractoR, it's possible to collect complete data for analysis without much trouble.  Here's how.</t>
  </si>
  <si>
    <t>Introduction to the desktop LIWC2015. Learn different ways of analyzing individual files, entire directories, and text within standard spreadsheets.</t>
  </si>
  <si>
    <t>The fourth part of the series demonstrates how to get use of the generated data files from "NAILS" tool in order to sketch a visualize network of the citations in Gephi software.
More information about our online analysis service at http://nailsproject.net</t>
  </si>
  <si>
    <t>Hi all, As my this video was made more than an year ago and now not helping for some of you, I have updated it. Please watch the latest video for the same errror. https://youtu.be/Vq_uLuv-4sQ
In this video we will know about how to solve error "JRE not found " while running GEPHI, despite of we have already installed Java and set its path properly. Forllow the instructions, and get it solved. 
Latest Video for this:  https://youtu.be/Vq_uLuv-4sQ
This is just to help you out. Do ask in comment if problem still not solved.
Thanks and cheers!!</t>
  </si>
  <si>
    <t>Extract data from the Facebook Graph API using the facepager tool. Much easier for those of us who struggle with API keys ;) . Blog Post: http://davidsherlock.co.uk/using-facepager-find-comments-facebook-page-posts/</t>
  </si>
  <si>
    <t>Video 2 of Part 4 of the Node XL videos. It is a continuation of the video of working with downloaded data sets. Feel free to contact me in case of any queries and feedback</t>
  </si>
  <si>
    <t>Thanks to ExpressVPN for sponsoring this video. Get 3 months free with a 12-month plan at https://expressvpn.com/smarter
Click here if you're interested in subscribing: http://bit.ly/Subscribe2SED
⇊  Links to buy the winning weedeater line  ⇊
~~~~~~~~~~~~~~~~~~~~~~~~~~~~~~~~~~~~~
GET SMARTER SECTION
What’s it called? Weed Eater, String Trimmer, Weed Wacker, Whipper Snipper?
Google Trends map here:
https://trends.google.com/trends/explore?geo=US&amp;q=weed%20eater,weed%20wacker,string%20trimmer,weedeater
AFFILIATE LINKS: 
(When people purchase from these links it will support Smarter Every Day.)
Check out ExpressVPN Here: https://expressvpn.com/smarter
THE WINNING SHAPES (As a result of this EXTREMELY limited data set)
Oregon “Gator Line” (Called “sharp square” in the video)
288 ft ~ $15: https://amzn.to/2CFXewP
895 ft ~ $30: https://amzn.to/2ZlvTHU 
Star shaped line
Cyclone Brand 
140 ft ~ $15 https://amzn.to/2AeCmfq
855 ft ~ $50 https://amzn.to/387oPCV
 (I couldn’t find Shakespeare for a good price on Amazon but here is the style I tested)
125 ft ~ https://amzn.to/2ZnBRbA
Other stuff:
❓Mystery Item (just for fun):  https://amzn.to/38aNmXv
Things I use and like:
_xD83D__xDCF7_Camera I use : https://amzn.to/2VSiruw
Favorite Lens: https://amzn.to/2KPDQ1a
Wide-angle: https://amzn.to/2SlPchR
My Tripod: https://amzn.to/2Yl6RtJ 
My Multi-tool: https://amzn.to/2zGm5Pz 
Favorite Shoes: https://amzn.to/3f5trfV 
Everyone needs a snatchblock: https://amzn.to/2DMR4s8
_xD83E__xDD7D_Goggle Up! : https://amzn.to/2zG754g 
Also, if you’re interested in a Smarter Every Day shirt etc. they’re really soft and you can get there here: https://www.smartereveryday.com/store  
~~~~~~~~~~~~~~~~~~~~~~~~~~~~~~
OTHER TESTING
Project Farm Tested Durability: https://www.youtube.com/watch?v=HVJz7Gqn_SY
He tested other considerations here: https://www.youtube.com/watch?v=89BkJF0kVyc
I thought this was a well written break-down of different shapes: https://www.saraheberle.com/understanding-the-various-shapes-of-trimmer-line/
It’s interesting that so many different companies have their own proprietary shape etc, but I can’t find any scientific research to back any of it up.  Fascinating!
~~~~~~~~~~~~~~~~~~~~~~~~~~~~~~~~~
Tweet Ideas to me at:
http://twitter.com/smartereveryday
Smarter Every Day on Facebook
https://www.facebook.com/SmarterEveryDay
Smarter Every Day on Patreon
http://www.patreon.com/smartereveryday
Smarter Every Day On Instagram
http://www.instagram.com/smartereveryday
Smarter Every Day SubReddit
http://www.reddit.com/r/smartereveryday
Ambiance, audio and musicy things by: Gordon McGladdery 
https://www.ashellinthepit.com/
http://ashellinthepit.bandcamp.com/
If you feel like this video was worth your time and added value to your life, please SHARE THE VIDEO!
If you REALLY liked it, feel free to pitch a few dollars Smarter Every Day by becoming a Patron.
http://www.patreon.com/smartereveryday
Warm Regards,
Destin</t>
  </si>
  <si>
    <t>PM Chalkboard's simple explanation of the three major types of project organizational structures.</t>
  </si>
  <si>
    <t>Aula 01 de Análise de Risco e Crédito do Curso Técnico em Finanças (turma 2013), ministrada pelo IFRO - Instituto Federal de Educação, Ciência e Tecnologia de Rondônia, Câmpus Porto Velho Zona Norte.</t>
  </si>
  <si>
    <t>It is difficult to visualize large networks. Motif simplification reduces network complexity by replacing common, repeating patterns with representative glyphs. Our controlled study shows this is helpful for many tasks.
For more details please see our full paper:
Dunne C and Shneiderman B (2013), "Motif simplification: improving network visualization readability with fan, connector, and clique glyphs", In CHI '13: Proc. 2013 international conference on Human Factors in Computing Systems.
It is available online here: http://www.cs.umd.edu/~cdunne/hcil/pubs/Dunne13Motifsimplification_improving.pdf
Motif simplification is now available in NodeXL, which you can download for free at http://nodexl.codeplex.com</t>
  </si>
  <si>
    <t>Vídeo tutorial utilizando o software ucinet e netdraw, usando o 2 mode network como ferramenta de visualização!!
www.labtar.net 
UFES</t>
  </si>
  <si>
    <t>En el análisis del entorno es importante hacer seguimiento a temas y tópicos sensibles. Estos son temas que pueden afectar negativa o positivamente a la empresa o a las políticas públicas que estemos implementando. Mucha de esta información se presenta en formato textual. Es allí donde la minería de texto se transforma en una herramienta importante. Presentamos unas visualizaciones básicas usando como caso de estudio los programs de gobierno presentados por el ejecutivo nacional entre 1998 y 2012</t>
  </si>
  <si>
    <t>Cours: Formation excel avancé Complète Niveau 2
Bonjour
Formation Excel 2010 Complète Niveau 1 
https://www.youtube.com/watch?v=8_Rih6MPWd8
Formation excel avancé Complète Niveau 2
https://youtu.be/7sWk8tq8dZs
Formation Excel Niveau 3 parti 1 
https://www.youtube.com/watch?v=w8Np_reuNX8
Formation Excel Niveau 3 Partie 2 
https://www.youtube.com/watch?v=EQmiUT09y90
Formation Excel 2013 Niveau 4 Partie 1 
https://www.youtube.com/watch?v=jMiPuL6RN-0
Formation Excel 2013 Niveau 4 Partie 2 
https://www.youtube.com/watch?v=4yKergIsU9Q
Abonnez vous sur notre nouvel chaine officiel youtube:
https://www.youtube.com/channel/UCH5ZV_3auaAL7dixdmZsRCQ
 Abonnez vous sur notre page facebook: https://www.facebook.com/pages/SSinfo-Technologies/257230224412094
microsoft office
powerpoint
microsoft word
microsoft office 2010
office 2010
microsoft outlook
microsoft excel
ms office
microsoft publisher
microsoft word 2010
excel 2010
microsoft works
microsoft office word
outlook 2007
windows office
word gratuit
office microsoft
microsoft office gratuit
pack office
microsoft 2010
microsoft excel 2010
windows word
office2007
excel gratuit
windows office 2010
office 2011
microsoft office excel
microsoft outlook 2007
microsoft office 2011
cours informatique
msoffice
windows excel
microsoft exel
windows 2007
cours d informatique
microsoftword
pack office gratuit
microsoft ofice
office excel
formation excel
microsoft office professional 2007
pack office 2010
microsoft publisher 2007
tableur gratuit
dashboard excel
cours excel
windows office 2007
office 2010 gratuit
excel pour les nuls
excel microsoft
excel word
microsoft office 2000
microsoft excell
microsoft office 2008
microsoft office 7
office 7
microsoft office suite 2007
word 2010 gratuit
microsoft office excel 2010
telecharger word gratuitement
office 2007 standard
formation bureautique
télécharger excel gratuit
microsoft word excel
télécharger excel gratuit
microsoft xl
microsoft office small business 2007
microsoft office standard 2007
microsoft excel gratuit
pack office 2010 gratuit
installer microsoft office
acheter office 2010
excel fonction
excel fonction recherchev
fonction recherchev excel</t>
  </si>
  <si>
    <t>¿Quieres saber cómo analizar la estructura de enlaces interna de un sitio web con GEPHI?. Este videotutorial te ayudará a hacer esta tarea en una auditoría SEO
http://www.jbmoreno.es/auditoria-seo-enlaces-internos/</t>
  </si>
  <si>
    <t>In this module you will learn how to use the Social Network Graph Custom Visual. The Social Network Graph allows you to visualize relationships between people or items in your data.
Downloads:
Coaching Tree.xlsx
(https://file.ac/TX60wtFd8JQ/Coaching%20Tree.xlsx)
Blog Summary:
https://devinknightsql.com/2017/12/12/power-bi-custom-visuals-class-module-81-social-network-graph/
Completed Example: 
https://file.ac/yVRQJVpyuEI/Module%2081%20-%20Social%20Network%20Graph.pbix
Custom Visual:
https://file.ac/gIVmd2VCqWU/socialNetworkGraph.1.0.0.0.pbiviz
View this class in full and other Power BI training by subscribing to the Pragmatic Works On Demand Training. http://pragmaticworks.com/Training/On-Demand-Training</t>
  </si>
  <si>
    <t>Aprenda a importar os Microdados no SPSS</t>
  </si>
  <si>
    <t>Vídeo Tutorial Análise Qualitativa de Dados - MAXQDA</t>
  </si>
  <si>
    <t>Tutorial de excel para principiantes -  Introdução, Planilhas, Células e Ranges, Endereços,
Formatos mais usados, Fórmulas, Divisão, Potenciação, Sequência de Fibonacci, exemplo de orçamento.
Curso completo e mais em : http://www.tutorial.eusuario.org</t>
  </si>
  <si>
    <t>Este vídeo explica como fazer uma visualização de sua rede de amigos no Facebook utilizando o software de visualização de redes Gephi.</t>
  </si>
  <si>
    <t>Vídeo explicando o que são grafos, e seus exemplos/aplicações</t>
  </si>
  <si>
    <t>Este módulo de nosso curso apresenta como configurar a rede de um computador cliente envolvendo comandos como ifconfig, route e alterações em arquivos tais como /etc/resolv.conf e /etc/hosts sobre a distribuição Arch Linux.</t>
  </si>
  <si>
    <t>☞ The new MAXQDA 2018 is here! Check out all the new features: https://youtu.be/Ld-_0l1OGAI
Este tutorial trata de cómo importar archivos en MAXQDA antes de empezar con el análisis cualitativo. Se pueden importar varios formatos, como casi todos tipos de archivo de texto (DOC, DOCX, RTF, TXT), archivos PDF e imágenes.
Are you using MAXQDA 12? Find MAXQDA 12 tutorials here: http://www.maxqda.com/service/videotutorials
For more info about MAXQDA visit us at: http://www.maxqda.com/lang/es
MAXQDA es un software para el análisis cualitativo de datos (software QDA).</t>
  </si>
  <si>
    <t>confecção de gráficos no excel 2010</t>
  </si>
  <si>
    <t>Popular Science talk about 5G, the basics of digital communications, and its applications. The speaker is Associate Professor Emil Björnson, Linköping University, Sweden. Download slides: https://github.com/emilbjornson/presentation_slides/raw/master/5G_1000_times_more_data.pdf</t>
  </si>
  <si>
    <t>Premium Social Network Analysis Software - NetMiner Demo Video
# Part 1. Data Handling
    * 00.Getting Started with NetMiner
Trials &amp; about Netminer - http://www.netminer.com
* This video was produced in NetMiner 3.</t>
  </si>
  <si>
    <t>Get a Free Trial: https://goo.gl/C2Y9A5
Get Pricing Info: https://goo.gl/kDvGHt 
Ready to Buy: https://goo.gl/vsIeA5 
Model networks, connections, and relationships with new MATLAB® datatypes for directed and undirected graphs. Graphs are applicable to a wide variety of physical, biological, and information systems. They can model neurons, flight patterns, circuits, social networks, and more.
This video introduces new datatypes in MATLAB: graphs and digraphs. These datatypes provide easy interfaces for creation, analysis, and visualization. In the video, you will learn to:
Create graphs from edge lists and adjacency matrices
Visualize graphs with multiple layouts and customizations
Calculate common graph properties such as degree and weighted distance
Generate shortest path trees and minimum spanning trees</t>
  </si>
  <si>
    <t>The multi-line adjacency list format is useful for graphs with nodes that can be meaningfully represented as strings. With the edgelist format simple edge data can be stored but node or graph data is not. There is no way of representing isolated nodes unless the node has a self-loop edge.
This video will show how to use files for reading edge list from them.</t>
  </si>
  <si>
    <t>Network centrality measures how much a person is in the "middle" of a graph. Different centrality metrics capture different ways of being in the middle. NodeXL can calculate and visualize the ways these metrics differ from one another.
https://nodexlgraphgallery.org/Pages/Registration.aspx</t>
  </si>
  <si>
    <t>Use Gephi to create and visually analyze a network. Part of a two-part video series using Gephi for network analysis.</t>
  </si>
  <si>
    <t>This video for the undergraduate social networks course of the University of Maine at Augusta considers the question, "Why Study Ego Networks?"  Why not simply study entire social networks with all of the nodes and ties contained therein?  There are multiple answers to this question, and we consider a few of them after reviewing the distinction between an ego network and a complete network.</t>
  </si>
  <si>
    <t>In this video for an undergraduate social networks course at the University of Maine at Augusta, we walk through the process of representing a family network (inspired by Prof. James Moody's http://www.soc.duke.edu/~jmoody77/s884/syllabus_05.html marvelous introductory assignment) as an edge list, an adjacency matrix and a sociogram.  This exercise is meant to be carried out with minimal technology -- no UCINET yet, no NodeXL or Gephi -- just a word processor.  Work through this assignment and you'll feel more comfortable when we kick up the speed a little bit in future weeks.</t>
  </si>
  <si>
    <t>Big Data Analytics
For more: http://www.anuradhabhatia.com</t>
  </si>
  <si>
    <t>This video is a one-minute introduction of Linkurious. Linkurious helps you search, explore and visualize graphs.</t>
  </si>
  <si>
    <t>Social Networks: A Basic Introduction in Four Minutes
1. Two Elements in Networks
Tie: Ties represent relations between nodes
Node: Nodes represent things that relate somehow to one another
2. Two Kinds of Networks
Directed Networks: Networks in which the tie has direction (AKA "digraphs"). Examples: hitting, kissing, infecting, sending letters.
Undirected Networks: Networks in which the tie has no direction. Examples: playing tennis with, married to, codefendant
3. Distance: "Geodesic" (Shortest Path)
4. Network Density
Directed Networks: # actual ties / (n*(n-1))
Undirected Networks: # actual ties / (n*(n-1))/2
where n=# of nodes
4. Closeness Centrality:
= 1/Farness
Farness: Sum of Distance to all other Nodes
5. Degree centrality: how many ties touch a node?
6. Betweenness Centrality for Node X:
Sum for all pairS of nodes (of the fraction of geodesics between A pair of nodes that have Node X in the middle)
7. Ego Networks
Level 1.0: Ego's Ties to Alters
Level 1.5: Level 1.0 Plus Alters' Ties to Other Alters
Level 2.0: Level 1.5 Plus Alters' Ties to Alters' Alters
8. Induced Homophily:
A tendency for ties to form to similar others because similar others are especially present in the social environment (group, community, society)
Example: No wonder blues are mostly tied to blues... there are hardly any reds out there!
9. Choice Homophily:
A tendency to choose to form ties with similar others even when different others are available in the social environment (group, community, society)
Lots of blues and lots of reds out there, Yet each is mostly tied to its own kind!
10. Kozo Sugiyama's Network Design Principles in the abstract
• Ties should be easy to follow from node to node
• Ties should be far from one another
• Ties should not cross or touch
• Ties should be straight
• Nodes that connect should be close
• Similar nodes should be close
• Central nodes should be in the center
Sugiyama, Kozo. 2002. Graph Drawing and Applications for Software and Knowledge Engineers. Singapore: World Publishing Company Inc.
That's easy to do in small, abstract networks...
... but large, real-world networks pose a challenge.
11. Looking for elaboration?
Looking for explanation?
Looking for application?
Looking for more?
Check out http://bit.ly/1M4RBEE
Undergraduate Social Networks at uma.edu</t>
  </si>
  <si>
    <t>Check the Excel Essentials Course: https://courses.xelplus.com/p/learn-excel-essentials
Quickly learn all you need to know about INDEX &amp; MATCH to get a quick start.
Complete Excel Dashboard course: https://courses.xelplus.com/p/professional-excel-dashboards
Check out my other courses below.
Download workbook here: http://www.xelplus.com/excel-index-and-match
How to do Index Match in Excel: The basics. Watch this video tutorial to find out how you can use Index &amp; Match for more complex lookup problems. This video shows you how Index Match works with simple and to the point explanation. It first shows you how Index works on it's own and then how Match works and then puts the two Excel functions together. 
Why index match is better than vlookup &amp; why use index match 
instead of vlookup?
Here are 3 reasons why Excel experts generally substitute VLOOKUP with INDEX and MATCH. 
1. Unlike VLOOKUP, which searches only to the right, INDEX and MATCH can look in both directions – left and right.
2. INDEX &amp; MATCH can perform two-way lookups by both looking along the rows and along the columns to find the intersection within a matrix.
3. INDEX &amp; MATCH is less prone to errors. Assume you have a VLOOKUP where the final value you want returned is in column N. Your lookup value is in column A. You need to highlight the entire A to N range and then provide your index number to be 14. If you happen to delete any of the in-between columns, you would have to update that index number. You don’t need to worry about this when you use INDEX &amp; MATCH. 
All in all, INDEX and MATCH is more flexible than VLOOKUP.
Here are some of the reasons why Excel experts generally substitute VLOOKUP with INDEX and MATCH. 
Note: Index match is not case sensitive
Index explained:
The first argument of INDEX is to give it an array. This array (range) should include your answer. You then need to specify how many rows to go down and how many columns to move to find the correct value. You cannot move outside the INDEX range. 
The syntax of INDEX is:
• The range where the return value resides.
• Number of rows to move down (the row index)
• Number of columns to move to the right (the column Index). This argument is optional. If you only have one column, you can leave the column argument empty, otherwise, you need to specify the number of columns to move over, in the range.
The MATCH function’s syntax is as follows:
• Like VLOOKUP, Match needs a lookup (target) value. The user can reference a cell or directly type the value into the formula.
• Lookup_array: The “list” (range) where the return values are located.
• Match_type: 0 for an “exact”  match.
Index MATCH used together:
When INDEX and MATCH are used together, the MATCH function finds the look up value’s row / column index and then hands this value off to the INDEX function to get the lookup value.
★ My Online Excel Courses ► https://www.xelplus.com/courses/
✉ Subscribe &amp; get my TOP 10 Excel formulas e-book for free
https://www.xelplus.com/free-ebook/
EXCEL RESOURCES I Recommend: https://www.xelplus.com/resources/
Get Office 365: https://microsoft.msafflnk.net/15OEg
Microsoft Surface: https://microsoft.msafflnk.net/c/1327040/451518/7593
Time Stamps:
00:00 Is INDEX &amp; MATCH the same as VLOOKUP?
00:52 Excel INDEX function explained
05:07 Excel MATCH function explained
06:29 Using INDEX &amp; MATCH together
08:08 Two way lookup with INDEX &amp; MATCH (data validation)
10:30 How to REALLY learn Excel INDEX &amp; MATCH
GEAR
Screen recorder: http://techsmith.pxf.io/c/1252781/347799/5161
Main Camera: https://amzn.to/3a5ldBs
Backup Camera: https://amzn.to/2FLiFho
Main Lens: https://amzn.to/39apgeD
Zoom Lens: https://amzn.to/3bd5pN7
Audio Recorder: https://amzn.to/2Uo5rLm
Microphone: https://amzn.to/2xYy9em
Lights: http://amzn.to/2eJKg1U
More resources on my Amazon page: https://www.amazon.com/shop/leilagharani
Let’s connect on social:
Instagram: https://www.instagram.com/lgharani
Twitter: https://twitter.com/leilagharani
LinkedIn: https://at.linkedin.com/in/leilagharani
Note: This description contains affiliate links, which means at no additional cost to you, we will receive a small commission if you make a purchase using the links. This helps support the channel and allows us to continue to make videos like this. Thank you for your support!
#MsExcel</t>
  </si>
  <si>
    <t>1. If you do not have the Bing Add-In installed, you can find it by clicking on the Apps for Office button.
2. Search for Bing then select and click on Trust IT.
3. If you have a Microsoft account and have signed in, you can install the app using the below steps:
You will be asked to sign-in, if you have not done so already.
In case you do not have a Microsoft account, then click on Sign In, enter you email address and click Next.
Should the email not be registered, then sign up by clicking on Sign Up in the top right corner.
4. Highlight your entire data range within your Excel worksheet.
5. If the Bing Map is already installed, click on Apps for Office and select Bing Maps under my Apps.
6. A full size map will appear. Click the X to close the prompt.
7. Click on the Show Locations button on the top of the Bing Map to display the values on the map.
8. To view an amount, click on the bubble.</t>
  </si>
  <si>
    <t>Download presentation: https://drive.google.com/open?id=0B69QMG6D5UbIU1hjcEZ0LV94N1E
Table of Contents:
0:00 Introduction
0:13 What is circuit analysis?
1:26 What will be covered in this video?
2:36 Linear Circuit Elements
4:20 Nodes, Branches, and Loops
7:00 Ohm’s Law
8:36 Series Circuits
10:44 Parallel Circuits
13:48 Voltage Dividers
22:42 Current Dividers
25:48 Kirchhoff’s Current Law (KCL)
31:30 Nodal Analysis
46:15 Kirchhoff’s Voltage Law (KVL)
56:28 Loop Analysis
1:09:31 Source Transformation
1:11:40 Thevenin’s and Norton’s Theorems
1:14:55 Thevenin Equivalent Circuits
1:20:47 Norton Equivalent Circuits
1:26:07 Superposition Theorem
1:34:05 Ending Remarks</t>
  </si>
  <si>
    <t>If you're like Robbie, you may not have a DVD/BluRay player connected to your TVs, but have connected devices that allow you to play video files through software such as Plex. This week we'll show you how to import your video DVDs into MP4 files so you can watch your owned DVDs once again on next-gen devices such as Roku and Amazon Fire TV.
Also watch our 2019 followup video that answers several of the common questions, including ripping episodic DVDs (multiple episodes per disk): https://www.youtube.com/watch?v=JmrGy9bF_9w</t>
  </si>
  <si>
    <t>My entire playlist of Excel tutorials: http://bit.ly/tech4excel  Learn what I consider to be the most useful Excel keyboard shortcuts. Some of the shortcuts included are: Ctrl+S, Ctrl+T, Ctrl+Home, Ctrl+D, and more. Download the example Excel file here: http://bit.ly/usefulexcelshortcuts
***Consider supporting Technology for Teachers and Students on Patreon***:  https://www.patreon.com/technologyforteachersandstudents
See below links to the CDs and bands mentioned in the video: 
The Killers - Wonderful Wonderful: http://amzn.to/2G7AKlF
Brandon Flowers - The Desired Effect: http://amzn.to/2G6gBMG
Blaqk Audio -Material: http://amzn.to/2DUOfo1
Covenant - The Blinding Dark: http://amzn.to/2n1J0uH
Depeche Mode - Spirit:  http://amzn.to/2E0BUio
Erasure - World Be Gone: http://amzn.to/2G46U1t
Future Islands - The Far Field:  http://amzn.to/2DC7yVx
Hurts - Desire: http://amzn.to/2DX6Dww
OMD - The Punishment of Luxury: http://amzn.to/2DpzVmA
The Frozen Autumn - The Fellow Traveller: http://amzn.to/2DXfA9f
The Jellyrox - Bang and Whimper: http://amzn.to/2Drnvue
Ulver - The Assassination of Julius Caesar: http://amzn.to/2DoFLEB</t>
  </si>
  <si>
    <t>This video is about importing Facebook Friend list into an Excel Sheet.
#FacebookToExcel #ImportFacebookData #ExportFacebookData
Read on this technique here
https://xlncad.com/import-facebook-friends-list-into-excel/
Download my Free eBook containing 51 Ready to use Macros for MS Excel
http://eepurl.com/gpT0RD
Subscribe to the channel for more
http://www.youtube.com/c/AjayAnandXLnCAD
Visit https://xlncad.com/ to read my articles on Excel and AutoCAD
Read me on Quora
https://www.quora.com/profile/Ajay-Anand-202</t>
  </si>
  <si>
    <t>#FreeFireStayJune #มิถุนารวมพลคนFreeFire
#FreeFireBeachParty
Download Free Fire! : https://bit.ly/2X08eNm
กระสือคุณหนู
﹏﹏﹏﹏﹏﹏﹏﹏﹏﹏﹏﹏﹏﹏﹏﹏﹏﹏
◉  ติดตามเรื่องอื่นๆ
: https://www.youtube.com/channel/UCIeIzDsyOOenrw35gK-Dwog
◉  Facebook
:https://www.facebook.com/MeBlackMoon
◉ ติดต่องาน
: koy.8ee@gmail.com
◉  อย่าลืมกดติดตาม เป็นกำลังใจกันด้วยนะ</t>
  </si>
  <si>
    <t>One of the most regular patterns in crime is called the age-crime curve: the tendency for criminal activity to peak in the late teens to early twenties.  Why does this pattern exist?  We take a quick look at the theoretical contribution of criminologist Travis Hirschi to explanations of this phenomenon, then quickly move to considerations of arrest data and the National Crime Victimization Survey to demonstrate the empirical regularity.  It is not only true that the commission of crime follows the age-crime curve, but that victimization follows the same pattern.  The parallel age curves of offending and suffering stem from the fact that crime is a social relation and the pattern of homophily in social relations.</t>
  </si>
  <si>
    <t>Welcome to the introduction to sociology course at the University of Maine at Augusta! This video contains everything you need to know and need to do before the first week of classes with Associate Professor of Sociology James Cook.</t>
  </si>
  <si>
    <t>Online tutorial about Pajek software for ITL-207 Networking Foundations course at Washington &amp; Jefferson College</t>
  </si>
  <si>
    <t>Part 1 of a rookie's guide to network science. To understand how the
Influence Engine works this video begins by looking at the two key
building blocks of any network - nodes and edges. Go to
www.dollywagon.com for more details</t>
  </si>
  <si>
    <t>James Cook of the University Of Maine At Augusta records this video for Earth Day, making the case for Victory Gardens as a social investment to help combat a deadly pandemic.</t>
  </si>
  <si>
    <t>The objectivist approach to social problems asserts that attention to social problems is defined by harm.  Yet if we look at causes of death and opinion polls regarding problems, the two don't match.  Why is this?  The answer is actually not simple, and has to do with the difference between individual problems and social problems, the difference between individuals and societies.</t>
  </si>
  <si>
    <t>GIGO is the generation-old acronym for the phrase "Garbage In, Garbage Out," which means that your analytical program will produce nonsense output if you provide nonsense input.  In this brief video for the undergraduate social networks course of the University of Maine at Augusta (visi http://uma.edu on the web), we consider how GIGO applies to working with UCINET social network analysis software.  Some common ways that we inadvertently generate "garbage" results are considered.  Data checking is the way to avoid this problem.</t>
  </si>
  <si>
    <t>This is a quick tutorial on using the graphic tools in Excel 2013 to create network diagrams.  The nodes and links are connected so it is very easy to rearrange the network diagram.  You can also easily label the nodes.</t>
  </si>
  <si>
    <t>Online tutorial about yEd software for ITL-207 Networking Foundations course at Washington &amp; Jefferson College</t>
  </si>
  <si>
    <t>Project Scheduling in Excel using Monte-Carlo Simulation
- create Activity-On-Node diagram
- create table for calculating ESD (early start date) and EFD (early finish date)
- use functions RAND() and NORM.INV() to get activity durations</t>
  </si>
  <si>
    <t>Follow along with the course eBook: https://systemsinnovation.io/books/
Take the full course: https://systemsinnovation.io/courses/
Twitter: http://bit.ly/2JuNmXX
LinkedIn: http://bit.ly/2YCP2U6
In this lecture, we start to lay down some of our basic language for talking about networks that comes to us from graph theory a relatively new area of mathematics that studies the properties of graphs.
Transcription:
When we hear the word network all sorts of things spring to mind like social networks and the Internet in particular, but the power of network theory is really in its high degree of abstraction, so the first thing for us to do is to try and start back at the beginning by forgetting what we think we know about networks and embrace the abstract language of networks what is called graph theory. In the formal language of mathematics a network is called a graph and graph theory is the area of mathematics that studies these objects called graphs. The first theory of graphs goes back to 1736, the first textbook came about in 1958 but most of the work within this field is less than a few decades old.
In its essence a graph is really very simple, it consist of just two parts what are called vertices and edges. Firstly Vertices; a vertex or node is a thing, that is to say it is an entity and we can ascribe some value to it, so a person is an example of a node as is a car, planet, farm, city or molecule. All of these things have static properties that can be quantifies, such as the color of our car, the size of our farm, or the weight of our molecule. Within network science vertices are more often called nodes so we will be typically using this term during the course.
Edges can be define as a relation of some sort between two or more nodes, this connection may be tangible as in the cables between computers on a network or the roads between cities within a national transportation system or these edges may by be intangible, such as social relations of friendship. Edges may be also called links, ties or relations and we will be often using this latter term during the course. The nodes belonging to an edge are called the ends, endpoints, or end vertices of the edge.
Within graph theory networks are called graphs and a graph is define as a set of edges and a set vertices. A simple graph does not contain loops or multiple edges, but a multigraph is a graph with multiple edges between nodes. So where as a simple graph of a transpiration system would just tell us if there is a connection between two cities, a multigraph would show all the different connections between the two cities.
Graphs can be directed or undirected. With an undirected graph edges have no orientation, for example a diplomatic relation between two nations may be mutual and thus have no direction to the edge between the nodes. These undirected graphs have unordered pairs of nodes, that means we can just switch them round, if Jane and Paul are married, we can say Jane is married to Paul or we can say Paul is married to Jane it makes no difference and thus it is an unordered pair.
Twitter: http://bit.ly/2TTjlDH
Facebook: http://bit.ly/2TXgrOo
LinkedIn: http://bit.ly/2TPqogN</t>
  </si>
  <si>
    <t>"Queer" is a noun, an adjective, but also increasingly a verb. Reclaimed as its status from the old slur, queer theory reenvisions gender and sexuality by challenging dominant binaries and dichotomies. As our genders queer, so do our relationships.  What does that look like?  What can that look like?  From the Gender Unicorn to scripts and performances, this video takes an introductory glimpse, then challenges you to rewrite yourself.  Shot for the Sociology of Gender course at the University of Maine at Augusta.</t>
  </si>
  <si>
    <t>Visit http://www.TeachMsOffice.com for more, including Excel Consulting, Macros, and Tutorials.
Learn how to install add-ins in this Excel video tutorial.  You will learn how to install add-ins such as the Analysis Toolpak and Solver in Excel.  This is a very good tutorial to learn if you just upgraded to Excel 2007 or just need to find out where to install add-ins in Excel.
Installing the Analysis toolpak will allow you to perform regression analysis and t-stat and anova analysis in Excel in a much more efficient fashion than just using functions such as LINEST().
For Excel consulting, classes, or to get the spreadsheet or macro used here visit the website http://www.TeachExcel.com  There, you can also get more free Excel video tutorials, macros, tips, and a forum for Excel.
Have a great day!</t>
  </si>
  <si>
    <t>In the weeks after the attacks of September 11, 2001, H. Russell Bernard was asked by a reporter how many people knew someone who had died in the terrorist attacks, and also how many people knew someone who knew someone who had died in them (the friend-of-a-friend question).  He realized he could use simple sociology to answer the question.  To help you work through the fundamentally simple math of ripple effects, and their far-reaching implications, I've put together the following video.  I also consider why, although this technique can be used to understand the spread of awareness of all events, some events such as the suffering of sexual abuse are likely to create far less intense ripples.  This video contains a contemporaneous sample event -- the U.S. deaths due to coronavirus as of March 31, 2020.</t>
  </si>
  <si>
    <t>This video presentation on changes over time in communicable disease and vaccination rates, as reported by the Centers for Disease Control, an agency of the United States government that was once named the Communicable Disease Center.  Data from 1955 to 1982 and 1988 to 2016 draw from the historical "CDC Stacks" resource at stacks.cdc.gov and the current Health in the United States report.</t>
  </si>
  <si>
    <t>See complete series on data structures here:
http://www.youtube.com/playlist?list=PL2_aWCzGMAwI3W_JlcBbtYTwiQSsOTa6P
In this lesson, we have described how we can represent and store a graph in computer's memory as vertex-list and edge-list. We have analyzed the time and space complexities of such a representation. 
In next two lessons, we will talk about adjacency matrix and adjacency list representations. 
Next Lesson : https://www.youtube.com/watch?v=9C2cpQZVRBA&amp;index=41&amp;list=PL2_aWCzGMAwI3W_JlcBbtYTwiQSsOTa6P
Time Complexity analysis playlist:
https://www.youtube.com/playlist?list=PL2_aWCzGMAwI9HK8YPVBjElbLbI3ufctn
For practice problems and more, visit: http://www.mycodeschool.com 
Like us on Facebook: https://www.facebook.com/MyCodeSchool
Follow us on twitter: https://twitter.com/mycodeschool</t>
  </si>
  <si>
    <t>Late on the afternoon of March 31, Maine Governor Janet Mills announced an executive order that requires Mainers, under threat of a criminal penalty of up to six months in jail and a $1,000 fine, to remain in their homes unless on business decreed "essential" under the definitions of that order?
Why is this executive order considered necessary at this time?  The goal of the order is to create a particular form social structure, one being called "social distancing."  The following video applies insights from social network analysis to understand how social distancing works.  How can varying social structure lead to changes in the spread of a virus during a pandemic?  By varying something as simple as the average degree of a network (the essence of social distancing), important outcomes relating to cut points and isolates in that network can be affected in a way that makes the difference between life and death.  Take a watch.</t>
  </si>
  <si>
    <t>엑셀 VBA를 이용하여 네이버의 검색 결과를 긁어오기
엑셀을 이용한 네이버 스크랩핑
강의 페이지: http://suanlab.com/youtube.html#ExcelBlogScraper
사용되는 소프트웨어 버전
Excel 2016
영상 오타:
pageIE.Busy = Ture → pageIE.Busy= True
blogIE.Busy = Ture → blogIE.Busy= True
SuanLab 이수안컴퓨터연구소
Web Site: http://suanlab.com
Facebook: https://www.facebook.com/suanlab</t>
  </si>
  <si>
    <t>Using UCINET to calculate density by groups, homophily, cliques, n-cliques, and visualize data in NetDraw using attributes</t>
  </si>
  <si>
    <t>In this course video for Social Networks, we go step-by-step through the process of downloading, installing and running UCINET.  An initial exercise (for students complete in their Homework #5) is to enter family network data into an adjacency matrix, display it, and then visualize it as a sociogram using the associated NetDraw package.
COM/SOC 375 is the undergraduate social network analysis course at the University of Maine at Augusta.  See course content on the web at http://www.umasocialmedia.com/socialnetworks/ and visit UMA online at http://uma.edu.</t>
  </si>
  <si>
    <t>This will walk you through setting up the file directory and importing data in UCINET</t>
  </si>
  <si>
    <t>This video, shot by the University of Maine at Augusta Social Science program, demonstrates how easy it is to perform the techniques for a basic sentiment analysis of a Reddit topic using the software program R and its RedditExtractor and SentimentAnalysis packages.  Associate Professor of Sociology James Cook shows how quickly one can capture current data and find evidence of sentiment.  The longer, harder part is up to you: getting to know the dictionaries that underlie sentiment analysis and getting to understand what they do and don't mean.</t>
  </si>
  <si>
    <t>With this Plugin for Gephi, ParadigmaLabs wants to provide the community with an useful tool to analyze Twitter information. We have encapsulated all the complexity behind a simple button. A retweet is one of the main actions for information propagation, and now you can make your own analysis in real time by means of Gephi and the Retweet Monitor plugin. It´s internal mechanisms are fairly simple. The software will connect to the TwitterStream, then apply(if desired) a content filter. All the information gathered will be displayed by Gephi, and you can then apply the standards algorithms and layouts in order to create a representative visualization. Since too much information could be retrieved from the Twitter Stream, the plugin provides a method to remove information from the graph.
More info: http://en.paradigmatecnologico.com/blog/retweet-monitor-plugin-for-gephi/
About Paradigma:
http://en.paradigmatecnologico.com</t>
  </si>
  <si>
    <t>High level tutorial providing an insight into data visualization from communication network analysis algorithms applied on datasets. I hope you enjoy the video. 
This example is based on the Enron Email Dataset. The corpus is public and available online.  
Complete project description (Data Mining the Enron Email Dataset): http://www.philipstarritt.com/enron
Main language / technology: Java
Don't forget to check out all my new 2016 Java, Spring Boot and Camel Videos. They are recorded with a professional microphone !  _xD83D__xDE42_</t>
  </si>
  <si>
    <t>Part I: Introduction to social network data</t>
  </si>
  <si>
    <t>http://paddytherabbit.com/example-facebook-friends-analysis/
I am using the Louvain method method for community detection</t>
  </si>
  <si>
    <t>Visualizing Twitter Social Network Data using Gephi: Part 2
In this presentation you will learn how to visualize Twitter social data (Network Data) using open source tool Gephi. Most of the data visualization is done after the network data collected from Twitter and then processed on local machine. The Data was collected in realtime however the processing is done locally one a single machine. The objective of this presentation is to learn the open source graph visualization rather then process large amount of data. 
Twitter GraphML Content: 
https://docs.google.com/file/d/0B385K_-eDQPxenkzZzdzUDM0RlE/edit?usp=sharing
https://docs.google.com/file/d/0B385K_-eDQPxckVOYmxrQm1ZZmM/edit?usp=sharing
Gephi: http://gephi.org/
Blog: http://cloudcelebrity.wordpress.com/2013/02/20/visualizing-social-network-data-using-gephi/</t>
  </si>
  <si>
    <t>Center for Science of Information presents
as part of our Weekly Seminar series:
Assistant Professor Jennifer Neville
Purdue University, Depts. of Computer Science &amp; Statistics
"Modeling Complex Social Networks: Challenges &amp; Opportunities for Statistical Learning &amp; Inference"
Recorded Wednesday, April 27, 2011
Abstract: Recently there has been a surge of interest in methods for analyzing complex social networks: from communication networks, to friendship networks, to professional and organizational networks. The dependencies among linked entities in the networks present an opportunity to improve predictions about the properties of individuals, as birds of a feather do indeed flock together. For example, when deciding how to market a product to people in MySpace or Facebook, it may be helpful to consider whether a person's friends are likely to purchase the product.
This talk will give an overview of the area, presenting a number of characteristics of social network data that differentiate it from traditional inference and learning settings, and outline the resulting opportunities for significantly improved inference and learning. We will discuss techniques for capitalizing on each of the opportunities in statistical models, and outline both methodological issues, statistical challenges, and potential modeling pathologies that are unique to network data.</t>
  </si>
  <si>
    <t>Dragan Gasevic gives an introductory tour of Gephi for week 3 of DALMOOC.</t>
  </si>
  <si>
    <t>Take the full course: https://systemsinnovation.io/course/
Follow along with the eBook: https://systemsinnovation.io/books/
Twitter: http://bit.ly/2JuNmXX
LinkedIn: http://bit.ly/2YCP2U6
A brief overview to the new area of social network analysis that applies network theory to the analysis of social relations. 
Transcription:
Social network analysis is the application of network theory to the modeling and analysis of social systems. it combines both tools for analyzing social relations and theory for explaining the structures that emerge from the social interactions.
Of course, the idea of studying societies as networks is not a new one but with the rise in computation and the emergence of a mass of new data sources, social network analysis is beginning to be applied to all type and scales of social systems from, international politics to local communities and everything in between.
Traditionally when studying societies we think of them as composed of various types of individuals and organizations, we then proceed to analysis the properties to these social entities such as their age, occupation or population, and them ascribe quantitative value to them.
This allows social science to use the formal mathematical language of statistical analyst to compare the values of these properties and create categories such as low in come house holds or generation x, we then search for quasi cause and effect relations that govern these values.
This component-based analysis is a powerful method for describing social systems. Unfortunately though is fails to capture the most important feature of social reality that is the relations between individuals, statistical analysis present a picture of individuals and groups isolates from the nexus of social relations that given them context.
Thus we can only get so far by studying the individual because when individuals interact and organize, the results can be greater than the simple sum of its parts, it is the relations between individuals that create the emergent property of social institutions and thus to understand these institutions we need to understand the networks of social relations that constitute them.
Ever since the emergence of human beans we have been building social networks, we live our lives embed in networks of relations, the shape of these structures and where we lie in them all effect our identity and perception of the world.
A social network is a system made up of a set of social actors such as individuals or organizations and a set of ties between these actors that might be relations of friendship, work colleagues or family. Social network science then analyze empirical data and develops theories to explaining the patterns observed in these networks
In so doing we can begin to ask  questions about the degree of connectivity within a network, its over all structure, how fast something will diffuse and propagate through it or the Influence of a given node within the network. lets take some examples of this
Social network analysis has been used to study the structure of influence within corporations, where traditionally we see organization of this kind as hierarchies, by modeling the actual flow of information and communication as a network we get a very different picture, where seemingly irrelevant employees within the hierarchy can in fact have significant influence within the network.
Researcher also study innovation as a process of diffusion of new ideas across networks, where the oval structure to the network, its degree of connectivity, centralization or decentralization are a defining feature in the way that innovation spreads or fails to spread.
Network dynamics, that is how networks evolve overtime is another important area of research, for example within Law enforcement agencies social network analysis is used to study the change in structure of terrorists groups to identify changing relations through which they are created, strengthened and dissolved?
Social network analysis has also been used to study patterns of segregation and clustering within international politics and culture, by mapping out the beliefs and values of countries and cultures as networks we can identify where opinions and beliefs overlap or conflict.
Social network analysis is a powerful new method we now have that allows us to convert often large and dense data sets into engaging visualization, that can quickly and effectively communicate the underlining dynamics within the system.
By combine new discoveries in the mathematics of network theory, with new data sources and  our sociological understanding, social network analysis is offering huge potential for a deeper, richer and more accurate understanding, of the complex social systems that make up our world.</t>
  </si>
  <si>
    <t>The course "Social Network Analysis", by Associate Professor Lada Adamic from the University of Michigan, will be offered free of charge to everyone on the Coursera platform. Sign up at http://www.coursera.org/course/sna</t>
  </si>
  <si>
    <t>Part 2 of the Node XL videos. It contains the demonstration of working with a simple friendship example in Node XL. Feel free to contact me in case of any queries and feedback</t>
  </si>
  <si>
    <t>This is an analysis of informtion flow within a hypothetical company. For more information regarding the context of this screencast please visit
BenjaminGentry.com</t>
  </si>
  <si>
    <t>Introduction to ArcGIS Network Analyst. The Roads line feature SHP-file in a Property Map dataset (from "Lantmäteriet": the Swedish Cadastral Authorities) is used to Create a Network dataset. And an optimal route is calculated.</t>
  </si>
  <si>
    <t>http://blogs.ischool.berkeley.edu/i290-abdt-s12/
Course: Information 290. Analyzing Big Data with Twitter
School of Information
UC Berkeley
Lecture 1: August 23, 2012
Course description:
How to store, process, analyze and make sense of Big Data is of increasing interest and importance to technology companies, a wide range of industries, and academic institutions. In this course, UC Berkeley professors and Twitter engineers will lecture on the most cutting-edge algorithms and software tools for data analytics as applied to Twitter microblog data. Topics will include applied natural language processing algorithms such as sentiment analysis, large scale anomaly detection, real-time search, information diffusion and outbreak detection, trend detection in social streams, recommendation algorithms, and advanced frameworks for distributed computing. Social science perspectives on analyzing social media will also be covered.
This is a hands-on project course in which students are expected to form teams to complete intensive programming and analytics projects using the real-world example of Twitter data and code bases. Engineers from Twitter will help advise student projects, and students will have the option of presenting their final project presentations to an audience of engineers at the headquarters of Twitter in San Francisco (in addition to on campus). Project topics include building on existing infrastructure tools, building Twitter apps, and analyzing Twitter data. Access to data will be provided.</t>
  </si>
  <si>
    <t>This is the second of a set of 2 videos - explaining how to get Twitter information dynamically into an Excel spreadsheet. This example shows the use of the Twitter API to extract JSON data - the other video uses XML.
Another video describes how to do this in XML - the address is here
http://youtu.be/mui4ETJ2eVw
By Pete Scargill - www.scargill.net
This info now dead since Twitter changed the goalposts...
http://tech.scargill.net</t>
  </si>
  <si>
    <t>This video takes on the dreaded social network analysis.  You may not use it in your assignment - but it might be worth your using in future life?  See http://socnetv.sourceforge.net</t>
  </si>
  <si>
    <t>Copyrightⓒ2020 SBS Contents Hub Co., Ltd. &amp; YG Entertainment Inc. All rights reserved.
[BLACKPINK - 'How You Like That' 0628 SBS Inkigayo]
*NAVER TVcast로 보기 : https://tv.naver.com/v/14515109
#BLACKPINK #블랙핑크 #HowYouLikeThat
More about BLACKPINK @
http://www.blackpinkofficial.com/
http://www.facebook.com/BLACKPINKOFFICIAL
http://www.youtube.com/BLACKPINKOFFICIAL
http://www.instagram.com/BLACKPINKOFFICIAL
http://www.twitter.com/BLACKPINK</t>
  </si>
  <si>
    <t>This is the 3rd video of chapter 1 of Network Analysis by Eric Ma. Take Eric's course: https://www.datacamp.com/courses/network-analysis-in-python-part-1
From online social networks such as Facebook and Twitter to transportation networks such as bike sharing systems, networks are everywhere, and knowing how to analyze this type of data will open up a new world of possibilities for you as a Data Scientist. This course will equip you with the skills to analyze, visualize, and make sense of networks. You'll apply the concepts you learn to real-world network data using the powerful NetworkX library. With the knowledge gained in this course, you'll develop your network thinking skills and be able to start looking at your data with a fresh perspective!
Transcript:
You may have seen node-link diagrams involving more than a hundred thousand nodes.
They purport to show a visual representation of the network, but in reality just show a hairball. In this section, we are going to look at alternate ways of visualizing network data that are much more rational.
I’m going to introduce to you three different types of network visualizations. The first is visualizing a network using a Matrix Plot. The second is what we call an “Arc Plot”, and the third is called “Circos Plot”.
Let’s start first with a Matrix Plot.
In a Matrix Plot, nodes are the rows and columns of a matrix, and cells are filled in according to whether an edge exists between the pairs of nodes. On these slides, the left matrix is the matrix plot of the graph on the right.
In an undirected graph, the matrix is symmetrical around the diagonal, which I’ve highlighted in grey. I’ve also highlighted one edge in the toy graph, edge (A, B), which is equivalent to the edge (B, A).
Likewise for edge (A, C), it is equivalent to the edge (C, A), because there’s no directionality associated with it.
If the graph were a directed graph, then the matrix representation is not necessarily going to be symmetrical. In this example, we have a bidirectional edge between A and C, but only an edge from A to B and not B to A. Thus, we will have (A, B) filled in, but not (B, A).
If the nodes are ordered along the rows and columns such that neighbours are listed close to one another, then a matrix plot can be used to visualize clusters, or communities, of nodes.
Let’s now move on to Arc Plots.
An Arc Plot is a transformation of the node-link diagram layout, in which nodes are ordered along one axis of the plot, and edges are drawn using circular arcs from one node to another. If the nodes are ordered according to some some sortable rule, e.g. age in a social network of users, or otherwise grouped together, e.g. by geographic location in map for a transportation network, then it will be possible to visualize the relationship between connectivity and the sorted (or grouped) property.
Arc Plots are a good starting point for visualizing a network, as it forms the basis of the later plots that we’ll take a look at.
Let’s now move on to Circos Plots.
A CircosPlot is a transformation of the ArcPlot, such that the two ends of the ArcPlot are joined together into a circle.
Circos Plots were originally designed for use in genomics, and you can think of them as an aesthetic and compact alternative to Arc Plots.
You will be using a plotting utility that I developed called nxviz. Here’s how to use it.
Suppose we had a Graph G in which we added nodes and edges. To visualize it using nxviz, we first need to import nxviz as nv, and import matplotlib to make sure that we can show the plot later. Next, we instantiate a new nv.ArcPlot() object, and pass in a graph G. We can also order nodes by the values keyed on some “key”. Finally, we can call the draw() function, and as always, we also call plt.show().
The code example here shows you how to create an Arc Plot using nxviz, and you’ll get a chance to play around with the other plots in the exercises.
Alright! Let’s get hacking! https://www.datacamp.com/courses/network-analysis-in-python-part-1</t>
  </si>
  <si>
    <t>This video is meant as an introductory excursion into using the research software R to explore social network structure through visualization.  Examples of visualization by layout, by node arrangement, and by changing visual node characteristics are provided.  Recorded for the University of Maine at Augusta.</t>
  </si>
  <si>
    <t>Short Screencast of Bloom's Fizz visualization of a social network. In this case, the Future Journalism Project's Twitter feed.</t>
  </si>
  <si>
    <t>Using DBpedia, Google Refine, R, and Gephi to play with linked data</t>
  </si>
  <si>
    <t>A quick tutorial on using gephi's email import feature, shown with the setting necessary for importing from Gmail.
NOTE: Since I posted this, there has been a change in Gmail. If you are getting an error in Gephi that says it can't connect to the server. you probably need to change your Google security settings. Go to your google account at https://myaccount.google.com. Click on "Connected apps &amp; sites" on the left and turn "Allow less secure apps" to ON. That solved the problem for me.</t>
  </si>
  <si>
    <t>Explains the basic social network analysis vocabulary with a suggested reading list. Defines the Node and Link Condor MySQL tables for email, web, wikipedia, twitter, facebook and video databases.
Duration: 15mins0secs.
Links within video:
http://moreno.ss.uci.edu/
http://moreno.ss.uci.edu/pubs.html
http://www.amazon.com/dp/1594577145/ref=rdr_ext_tmb
http://en.wikipedia.org/wiki/Centrality#Degree_centrality
http://en.wikipedia.org/wiki/Dense_graph
http://en.wikipedia.org/wiki/Bridge_(graph_theory)
http://en.wikipedia.org/wiki/Social_network
http://en.wikipedia.org/wiki/Betweenness#Betweenness_centrality
http://www.insna.org/
http://coinsconference.org/
http://savannah09.coinsconference.org/
http://savannah10.coinsconference.org/
http://basel11.coinsconference.org
http://galaxyadvisors.com/index.php
Condor video page at:
http://www.galaxyadvisors.com/science-of-swarms/condor-videos.html</t>
  </si>
  <si>
    <t>This video demonstrates how to combine two co-hashtag networks (e.g. from Instagram or Twitter) and analyze how they relate to each other. I use two Instagram co-hashtag networks (gamergate, socialjustice), retrieved with the Instagram Hashtag Explorer, as examples.
Instagram hashtag explorer: https://tools.digitalmethods.net/netvizz/instagram/
Gephi: http://gephi.org
More internet research software: http://labs.polsys.net
Even more software: https://wiki.digitalmethods.net/Dmi/ToolDatabase</t>
  </si>
  <si>
    <t>How to use Cytoscape with SFLD network downloads</t>
  </si>
  <si>
    <t>In this video, David Barnes demonstrates how IBM BigSheets can be used to find buyer sentiment in Twitter data. This is the step-by-step version.</t>
  </si>
  <si>
    <t>The focus of social network analysis is on the network of relations. A social network consists of a set of actors (also called nodes or vertices) together with a set of edges (also called arcs) that link pairs of actors. Since edges can share actors (e.g., the A.B edge shares an actor with the B.C edge) this creates a connected web that we think of as a network.
For more methods resources see:
http://www.methods.manchester.ac.uk</t>
  </si>
  <si>
    <t>Node centrality metrics, degree centrality, closeness centrality,
betweenness centrality, eigenvector centrality. Katz status index and Bonacich centrality, alpha centrality. 
Spearman rho and Kendall-Tau ranking distance.
Lecture slides: http://www.leonidzhukov.net/hse/2015/networks/lectures/lecture5.pdf</t>
  </si>
  <si>
    <t>A guide to use Gephi for Social Media Analytics
For more: http://vtalktech.wordpress.com</t>
  </si>
  <si>
    <t>Gephi is a visualization and exploration software for graphs and networks. Think Photoshop, but for graph data. This session will provide an overview of the software, its features, and resources for further study. Gephi is open-source, free to download, and runs on Windows, Mac OS X, and Linux.
The handout for this workshop is available at: http://uknowledge.uky.edu/rdsc_workshops/2017/Spring/7/</t>
  </si>
  <si>
    <t>An introduction to social network analysis and network structure measures, like density and centrality.
Table of Contents:
00:00 - Network Structure
00:12 - Degree Distribution
02:42 - Degree Distribution
06:17 - Density
10:31 - Clustering Coefficient
11:24 - Which Node is Most Important?
12:10 - Which Node is Most Important?
13:27 - Closeness Centrality
15:01 - Closeness Centrality
16:17 - Closeness Centrality
16:36 - Degree Centrality
17:33 - Betweenness Centrality
17:53 - Betweenness Centrality
20:55 - Eigenvector Centrality
23:02 - Connectivity and Cohesion
24:24 - Small Worlds
26:28 - Random Graphs and Small Worlds</t>
  </si>
  <si>
    <t>A tutorial on using the hidden color and label features in Gephi.</t>
  </si>
  <si>
    <t>A quick tutorial on how to use gephi's modularity feature to detect communities and color code them in graphs.</t>
  </si>
  <si>
    <t>Follow along with the course eBook: https://systemsinnovation.io/books/
Take the full course: https://systemsinnovation.io/courses/
Twitter: http://bit.ly/2JuNmXX
LinkedIn: http://bit.ly/2YCP2U6
In this module, we talk about one of the key concepts in network theory, centrality. Centrality gives us some idea of the node's position within the overall network and it is also a measure that tells us how influential or significant a node is within a network although this concept of significance will have different meanings depending on the context.
Transcription:
In the previous module we talked about the degree of connectivity of a given node in a network and this leads us to the broader concept of centrality. Centrality is really a measure that tells us how influential or significant a node is within the overall network, this concept of significance will have different meanings depending on the type of network we are analyzing, so in some ways centrality indices are answers to the question "What characterizes an important node?"
From this measurement of centrality we can get some idea of the nodes position within the overall network. The degree of a node’s connectivity that we previously looked at is probably the simples and most basic measure of centrality. We can measure the degree of a node by looking at the number of other nodes it is connected to vs. the total it could possibly be connected to. But this measurement of degree only really captures what is happening locally around that node it don’t really tell us where the node lies in the network, which is needed to get a proper understanding of its degree centrality and influence.
This concept of centrality is quite a bit more complex than that of degree and may often depend on the context, but we will present some of the most important parameters for trying to capture the significance of any given node within a network. The significance of a node can be thought of in two ways, firstly how much of the networks recourses flow through the node and secondly how critical is the node to that flow, as in can it be replaced, so a bridge within a nations transpiration network may be very significant because it carries a very large percentage of the traffic or because it is the only bridge between two important locations. So this helps us understand significance on a conceptual level but we now need to define some concrete parameters to capture and quantify this intuition.
We will present four of the most significant metric for doing this here;
Firstly as we have already discussed a nodes degree of connectivity is a primary metric that defined its degree of significance within its local environment. Secondly, we have what are called closeness centrality measures that try to capture how close a node is to any other node in the network that is how quickly or easily can the node reach other nodes. Betweenness is a third metric we might use, which is trying to capture the nodes role as a connector or bridge between other groups of nodes. Lastly we have prestige measures that are trying to describe how significant you are based upon how significant the nodes you are connect to are. Again which one of these works best will be context dependent.
￼So to talk about closeness then; closeness maybe defined as the reciprocal of farness where the farness of a given node is defined as the sum of its distances to all other nodes. Thus, the more central a node is the lower its total distance to all other nodes. Closeness can be regarded as a measure of how long it will take to spread something such as information from the node of interest to all other nodes sequentially; we can understand how this correlates to the node’s significance in that it is a measurement of the nodes capacity to effect all the other elements in the network.</t>
  </si>
  <si>
    <t>This demo uses Twitter and Facebook data collected using QVSource connectors to provide a way for a company to compare and analyze Twitter and Facebook activity and sentiment for their company and five of their competitors.  This demo takes a look at how often people are tweeting, posting and commenting about a company and their overall sentiment toward the company.  Followers, Likes, Share of Voice and Klout are also explored in this demo.</t>
  </si>
  <si>
    <t>A quick tutorial on how to use filters in Gephi.</t>
  </si>
  <si>
    <t>Try our On-Demand Training platform for free! Get a 1-week trial here: http://success.pragmaticworks.com/learn-power-bi.
In this module, you will learn how to use the Social Network Graph Custom Visual. The Social Network Graph allows you to visualize relationships between people or items in your data.</t>
  </si>
  <si>
    <t>Evento finalizado. Suscríbete para mañana verlo en el canal de YouTube.
_xD83D__xDD34_ ¡Mis Directos! https://www.twitch.tv/thegrefg
★ ¡Mi Libro! https://www.planetadelibros.com/libro-los-secretos-de-youtube/279938
➜ ¡Mi Mando Oficial! https://xcontrollers.es/
➜ ¡Mi Silla! https://xchairsco.com/
➜ ¡Mis Cascos! https://astro.family/Grefg
● ¡Último vídeo de Heretics! https://youtu.be/fBNQmM5Bg2k
► ¡Sígueme!
• Miembro del canal https://youtube.com/thegrefg/join
• Suscríbete al Canal! https://goo.gl/alqmWP
• Twitter! https://twitter.com/TheGrefg
• Instagram! https://instagram.com/grefg_official/
• Facebook! https://www.facebook.com/TheGrefg
► Team Heretics
• YouTube https://www.youtube.com/teamheretics
• Twitter https://twitter.com/TeamHeretics
• Instagram https://www.instagram.com/teamheretics/?hl=es
• Discord https://discord.gg/teamheretics
• Gfuel 10% dto. Código HERETICS https://gfuel.com/teamheretics
★ Gracias por la Miniatura!! Miguez https://goo.gl/WrEwDT
---
Vídeo creado y subido por TheGrefg.</t>
  </si>
  <si>
    <t>Secretary of Health and Human Services Alex Azar talks about the rise in coronavirus cases across the country. Gov. Andrew Cuomo (D-N.Y.) discusses the ongoing impact of coronavirus on nursing homes and schools during an exclusive interview with Meet the Press. Former National Security Adviser John Bolton discusses his new book. Kasie Hunt, Eddie Glaude Jr., and Hugh Hewitt join the panel.
» Subscribe to NBC News: http://nbcnews.to/SubscribeToNBC
» Watch more NBC video: http://bit.ly/MoreNBCNews
NBC News is a leading source of global news and information. Here you will find clips from NBC Nightly News, Meet The Press, and original digital videos. Subscribe to our channel for news stories, technology, politics, health, entertainment, science, business, and exclusive NBC investigations.
Connect with NBC News Online!
Visit NBCNews.Com: http://nbcnews.to/ReadNBC
Find NBC News on Facebook: http://nbcnews.to/LikeNBC
Follow NBC News on Twitter: http://nbcnews.to/FollowNBC
Follow NBC News on Instagram: http://nbcnews.to/InstaNBC
Meet The Press Broadcast (Full) - June 28th, 2020 | Meet The Press | NBC News</t>
  </si>
  <si>
    <t>This is sad</t>
  </si>
  <si>
    <t>BLONDE EMMA IS BACK!!!!!!
✩ CHECK OUT (my company) CHAMBERLAIN COFFEE ✩
✭ website: https://www.chamberlaincoffee.com 
✭ instagram: https://www.instagram.com/chamberlaincoffee
✩ MY PODCAST ✩
✭ search "Anything Goes" on spotify, apple podcasts, or wherever else you get your podcasts...
✩ MY MERCH ✩
✭  https://www.shopemmachamberlain.com
✩ MY SOCIAL MEDIA ✩
✭ instagram: https://www.instagram.com/emmachamberlain
✭ twitter: https://twitter.com/emmachamberlain
✭ tik tok (lol): emmachamberlain
✭ snapchat: https://www.snapchat.com/emmachambie
✭ spotify: http://open.spotify.com/user/emmachambie 
I LUV U,
-emma chamberlain</t>
  </si>
  <si>
    <t>In an age of social media, social network analysis (SNA) is becoming a promising technique for the digital journalist's toolkit. SNA allows journalists to uncover relationships between individuals and organisations, and identify key players and relevant peer groups, by using information on how people and organisations are connected to each other.
In this workshop we will use Twitter data from around the journalism festival and analyse it to reveal connections between festival participants. Participants will: collect data from the Twitter API based on a specific hashtag or keyword; identify and record interactions within the dataset; analyse and visualize the dataset using Gephi. Based on this simple exercise, participants will be able to perform their own Twitter data collection as well as social network analysis on similar datasets. Please download the Gephi visualisation software from gephi.org and install it on your computer in advance. Participants are required to have basic social media and spreadsheet skills.
This session is part of the School of Data Journalism organised in association with European Journalism Centre and Open Knowledge Foundation
Michael Bauer
Open Knowledge Foundation</t>
  </si>
  <si>
    <t>_xD83E__xDC46_ Make sure to SUBSCRIBE! -
http://www.youtube.com/c/NewScapePro3FortniteShortsFilmsSkits?sub_confirmation=1
_xD83E__xDC46_ Use code NEWSCAPEPRO in the Fortnite Item Shop!
Kit is adapting to his new home at the Fortilla, after Jules dropped him off in order to protect him from the Authority, Kit has made friends with Ocean, and together they train to make him big and strong like his Dad, Meowscles. However, during one of their sessions, Kit lays eyes on the most beautiful cat he’s ever seen: Rox’s pet Kyo. After some awkward interactions, including a Loserfruit stream gone wrong, Kit finally gets to go on a date with Kyo! Could this be true love?
Not enough for you? Subscribe to our other channels!
► NEWSCAPEPRO | Fortnite Shorts, Films &amp; Skits! -
http://www.youtube.com/c/NewScapeProFortniteShortsFilmsandSkits
► NEWSCAPEPRO 2 | Fortnite Minigames &amp; More! -
http://www.youtube.com/c/NewScapePro2FortniteCustomGamesandShorts
► NEWSCAPEPRO 4 | Fortnite Minigames &amp; Challenges! -
http://www.youtube.com/c/NewScapePro4FortniteMinigamesChallenges
► NEWSCAPEPRO | Minecraft Roleplays &amp; More! -
https://www.youtube.com/user/NewScapePro
Don't forget to like, comment, subscribe and share to show your support for this channel!
Follow me here &amp; here for all sorts of cool stuff!
► STORE: http://www.newscapepro.com _xD83D__xDC55__xD83D__xDC5A__xD83D__xDD76_
► TWITTER: http://www.twitter.com/newscapepro _xD83D__xDC24_
► INSTAGRAM: http://www.instagram.com/newscapepro _xD83D__xDCF8_
Featuring:
► https://twitter.com/arielhck
#Subscribe #NewScapePro</t>
  </si>
  <si>
    <t>This video introduces the viewer to some API concepts by making example calls to Facebook's Graph API, Google Maps' API, Instagram's Media Search API, and Twitter's Status Update API.
/********** VIDEO LINKS **********/
Youtube's Facebook Page via the Facebook Graph API
http://graph.facebook.com/youtube
Same thing, this time with filters
https://graph.facebook.com/youtube?fields=id,name,likes
Google Maps Geocode API call for the city of Chicago
http://maps.googleapis.com/maps/api/geocode/json?address=Chicago
Apigee Instagram API console
https://apigee.com/console/instagram
HTTP Request Methods
http://en.wikipedia.org/wiki/Hypertext_Transfer_Protocol#Request_methods
Postman Chrome Extension
https://chrome.google.com/webstore/detail/postman-rest-client/fdmmgilgnpjigdojojpjoooidkmcomcm?hl=en
Twitter's Status Update documentation.
https://dev.twitter.com/docs/api/1.1/post/statuses/update</t>
  </si>
  <si>
    <t>A quick and simple look at how VLANs work.
For more info on me see http://prescottcomputerguy.com</t>
  </si>
  <si>
    <t>In an exclusive interview with Meet the Press, Gov. Andrew Cuomo (D-N.Y.) talks to Chuck Todd about the resurgence in COVID-19 infection rates in states that opened more quickly than New York.
» Subscribe to NBC News: http://nbcnews.to/SubscribeToNBC
» Watch more NBC video: http://bit.ly/MoreNBCNews
NBC News Digital is a collection of innovative and powerful news brands that deliver compelling, diverse and engaging news stories. NBC News Digital features NBCNews.com, MSNBC.com, TODAY.com, Nightly News, Meet the Press, Dateline, and the existing apps and digital extensions of these respective properties.  We deliver the best in breaking news, live video coverage, original journalism and segments from your favorite NBC News Shows.
Connect with NBC News Online!
NBC News App: https://apps.nbcnews.com/mobile
Breaking News Alerts: https://link.nbcnews.com/join/5cj/breaking-news-signup?cid=sm_npd_nn_yt_bn-clip_190621
Visit NBCNews.Com: http://nbcnews.to/ReadNBC
Find NBC News on Facebook: http://nbcnews.to/LikeNBC
Follow NBC News on Twitter: http://nbcnews.to/FollowNBC
Follow NBC News on Instagram: http://nbcnews.to/InstaNBC
NY Gov. Cuomo: Government 'Failed Effort To Stop The First Wave' | Meet The Press | NBC News</t>
  </si>
  <si>
    <t>After breaking his leg, undergraduate student Luke Durward used his time to return home and mentor his little brother on healthy eating. While illustrating his brother's dramatic transformation, Durward shares the obvious secret that is repeatedly overlooked by unsuccessful dieters.
TEDxYorkU held its 4th annual event on March 4, 2014 at York University.  The theme for the event was Combustion.  Follow us on Twitter @tedxyorku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</si>
  <si>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Follow the Insanity at: https://www.FailedNormal.com
Downloadable Podcasts at: https://failednormal.podbean.com
iTunes: https://itunes.apple.com/us/podcast/failed-normal/id1349818284?mt=2
Info
Level: Beginner
Date Created: July 9, 2010
Length of Class: 18 Minutes
Tracks
Networking
Prerequisites
Introduction to Networking
Purpose of Class
This class explains the OSI Model for technicians
Topics Covered
The OSI Model
Class Notes
Layer 7 -- Application Layer -- The layer users interact with
Layer 6 -- Presentation Layer -- Generally the layer the Operating System is on
Layer 5 -- Session Layer -- The layer that controls the communication session between two computers
Layer 4 -- Transport Layer -- The layer that controls Windowing and other tasks related to communication
Layer 3 -- Network Layer -- The layer that Routers and IP addresses operate at
Layer 2 -- Data Link Layer -- The layer that Switches, MAC Addresses and ARP reside at
Layer 1 -- Physical Layer -- The layer that cabling resides on
Resources
Wikipedia</t>
  </si>
  <si>
    <t>Andy Cotgreave builds a dashboard that helps his team better understand the behavior of Twitter users -- in 2 minutes and 42 seconds.
For more like this goto: http://3minutewin.tumblr.com/</t>
  </si>
  <si>
    <t>This video walks through the process of loading social network data into R for use with the package igraph by 1) typing in a short edge list into an R script), 2) importing a CSV file of an edge list, 3) importing a CSV file of an adjacency matrix. Shot for the University of Maine at Augusta</t>
  </si>
  <si>
    <t>If you read the news every now and then, you've probably heard of cookies on the internet. But what exactly is a cookie?
When cookies were 'invented', they basically were little documents containing helpful information about you and your preferences.
For instance, imagine selecting a certain language for a website you'd visit. You'd tell the website: "Hey, I'd like to view your website in, say, English." The website would then save that information to a little document - a cookie on your computer.
The next time you'd visit that website, it would be able to read the cookie it saved earlier. That way, the website could 'remember' your language and let you view the website in English, without you having to select your language again.
Pretty handy, huh?
But cookies are not limited to remembering just your language. In fact, a cookie can contain pretty much any kind of information. It can contain the time you visited a website or it can contain the items you added to your shopping basket. It can even contain all the links you clicked on a certain website, much like leaving a breadcrumb trail on the internet. A cookie can only contain so much text, but apart from it's size the possibilities are endless. What exactly is saved to a cookie, is up to the creator of the website you are visiting.
Now, in contrary to the stuff a cookie can contain, there are limits to who can read your cookies. Imagine you first visit the website we talked about earlier, and you tell that website that your language is English. This is then saved to a cookie on your computer. If you'd visit a different website later, the latter wouldn't be able to read the cookie from the first website. In other words; only the same website that saves information to a cookie can access it.
Since the beginning of cookies, the popularity of these clever little helpers exploded and they gradually evolved into a more complex, yet essential part of the internet.
During their evolution, the amount of data cookies contained started to grow. At first they'd contain just a few preferences like your language and maybe your preferred layout for a website. But soon developers realized that the more information they could store about you, the better they could suit your needs. Cookies started containing more and more data, and eventually started pushing their size limitations.
Subsequently, developers came up with a clever workaround. What if they would simply store a unique id in a cookie on your computer, and save the rest of the data in their own system? That way, they could save unlimited amounts of data. The cookie would simply serve as an identifier for your computer, much like a dog tag by which the website can recognize you and look up your data in it's own system.
This was the first leap towards so called third party cookies. As mentioned, only the same website that saved data to a cookie can access it later. But one website can actually contain bits of another website. These bits and pieces of other websites, embedded in the website you're visiting, are actually able to access cookies they saved to your computer earlier.
Imagine visiting a news website. Apart from news articles, many news websites contain a couple of ads. These ads are in most cases bits of other websites, embedded in to the news website. Now, the news website you're looking at may not have saved any cookies to your computer and thus know nothing about you. But where do the ads come from?
It's not unlikely that the ads on the news website are embedded from the same website as the ads on another website you visited earlier. In fact, you may visit dozens of websites with ads which are all embedded from the same website.
So what does this mean? This means that, if the website the ads come from has saved a cookie to your computer earlier, it can identify you - and save information about you -through other websites. So while you're reading that news website, shopping for new shoes, looking up cures for a headache or reading the latest gossip, the ads on those websites can identify you, look up your information in their own system and dynamically show ads that you're most likely to be interested in while simultaneously saving information about what you're doing online.
So is this a bad thing? Are cookies dangerous? That depends, really. It is up to the creators of a website to determine what information they do and do not store, and more importantly; what they use that information for. Cookies are a tool. Just like a hammer, or a saw, they can be used for bad things, but they are intended to be used for good things. The responsibility lies with the people putting them to use.
Cookies in a nutshell. Visit www.adversitement.com for more information.</t>
  </si>
  <si>
    <t>This video explains what a Software Defined Network (SDN) is as well as the control and data components and how they work with one another.  Animation is used to illustrate how connections are made in a scalable enterprise architecture. The features and benefits are also listed as well as a few of the customers and vendors who are making this new architecture possible.</t>
  </si>
  <si>
    <t>Watch this Twitter Advanced tutorial to learn some advanced tips, tricks, and tools that can help you use Twitter more effectively and enjoyably.  These tips will be relevant regardless of why you're using Twitter, but there's also a tip at the end of the video that's specific to teachers only. ***Consider supporting Technology for Teachers and Students on Patreon***:  https://www.patreon.com/technologyforteachersandstudents</t>
  </si>
  <si>
    <t>Watch the video of our first hangout: Visualizing Graph Databases with KeyLines.
Presented by Visualization expert, Corey Lanum, this presentation explains how KeyLines can help you make sense of your graph database - bringing visualization analysis capability to the whole organization.</t>
  </si>
  <si>
    <t>Overview of tools for measuring online communities.</t>
  </si>
  <si>
    <t>Hier geht's zum Blog:
http://www.christian-mehler.de (früher: spaetzlemitsoss.de)
In diesem kurzen Video-Tutorial wird erklärt, wie ihr euer privates Facebook Netzwerk mit Hilfe des Freeware-Programms "Gephi" analysieren und visualisieren könnt.
Erläuterung des im Video genannten Begriffs "Betweenness Centrality":
Dieser Wert gibt an, wie viele der kürzesten Pfade eines Netzwerks über den jeweiligen Knoten führen und bietet daher ein wichtiges Beurteilungskriterium für die Relevanz eines Knotens in einem Netzwerk.
Danke an Sarah Joy Murray:
http://de.slideshare.net/persuasion</t>
  </si>
  <si>
    <t>Online tutorial about Cytoscape software for ITL-207 Networking Foundations course at Washington &amp; Jefferson College</t>
  </si>
  <si>
    <t>Gary Bader presents an overview of network visualization with cytoscape at the UCLA Human Genetics/Biostatistics Network Course.</t>
  </si>
  <si>
    <t>This video shows how to make an overview visualization for the narrating the history of a Facebook page. Starts by introducing Netvizz, talks through the data files, and shows how to use Excel for making stacked bar graphs with temporal data.</t>
  </si>
  <si>
    <t>During this webinar, KeyLines creator Joe Parry introduces you to the complexities of dynamic networks and demonstrate how KeyLines 2.0 can help you make sense of your evolving connected data.
Learn more on our website: https://cambridge-intelligence.com/time/</t>
  </si>
  <si>
    <t>All the examples in part 1 used very small networks to describe the concepts of social graphs. Let's now apply these to larger networks, and see how different graph layouts can highlight different aspects of the network.</t>
  </si>
  <si>
    <t>Why Justin Bieber might not be an expert in AI and who helps sell the idea of building a wall</t>
  </si>
  <si>
    <t>Video de manejo básico de la herramienta de análisis y visualización de redes sociales Gephi (https://gephi.org/). Este video indica cómo cargar un archivo de datos de red y muestra las tres vistas principales de la herramienta: vista general, laboratorio de datos y previsualización. También muestra cómo el cálculo de datos desde el panel "estadísticas" habilita funciones en otras partes de la herramienta que antes de ello no estaban disponibles.
El dataset utilizado es el que publica Freeman en su página y que proviene de un estudio de Coleman sobre amistad entre chicos de una escuela secundaria (FRIENDSHIPS AMONG HIGH SCHOOL BOYS  http://moreno.ss.uci.edu/data.html#high)</t>
  </si>
  <si>
    <t>Stockholm Resilience Centre researcher Beatrice Crona gives an introduction to what is social network analysis and how to apply it in natural resource management.</t>
  </si>
  <si>
    <t>An introduction to information visualization, specifically network visualization techniques.
Table of Contents:
00:10 - Information Visualization
01:06 - Challenger
02:56 - 
04:44 - 
05:37 - 
05:49 - 
06:08 - Main Idea
06:34 - Information Visualization
07:45 - Key Attributes
09:07 - Tasks in Info Vis
09:45 - Tasks in Info Vis
10:07 - How Vis Amplifies Cognition
12:50 - Network Visualization 
13:15 - What is interesting about this network?
21:49 - What makes a good visualization?
23:15 - Is this a good visualization?
23:56 - What about this one?
24:56 - And this one?
25:29 - And finally, this one?
26:06 - Node Size and Color
28:33 - Node Size and Color
29:40 - Edge Weight
30:04 - Visualization Issues
31:05 - Example: Senate Voting Records
31:48 - Filtering
32:38 - Example: Senate Voting Records
32:43 - Filtering
32:46 - Examples
32:51 - Visualization Tools
34:19 - In Class Exercise</t>
  </si>
  <si>
    <t>Uploading and visualizing files with VisiTrend is so quick easy, you can be done in 30 seconds. This video shows you how!
For help getting started with VisiTrend, check out out this article on our support site: https://support.visitrend.com/support/solutions/articles/5000526028-quick-start
or check out these extended videos:
 - Uploading a file - http://youtu.be/-eBVZKwegGo
 - Connecting to a database - http://youtu.be/4_AgnVydwss</t>
  </si>
  <si>
    <t>This video explains conceptual data modeling. We'll explore the purpose of concepual data modeling and then show how to create crow's foot entity-relationship diagrams from your data semantics.</t>
  </si>
  <si>
    <t>This vlog looks at the fundamentals of Gephi, giving viewers an introduction to social network analysis (SNA) and Gephi.</t>
  </si>
  <si>
    <t>Explore the basics behind convolutional neural networks (CNNs) in this MATLAB® Tech Talk. 
- Learn more about Deep Learning: https://goo.gl/F8tBZi
- Download a trial: https://goo.gl/PSa78r
Broadly, CNNs are a common deep learning architecture – but what exactly is a CNN? This video breaks down this sometimes complicated concept into easy-to-understand parts. You’ll learn about 3 concepts: local receptive fields, shared weights and biases, and activation and pooling.
The video pulls together these three concepts and shows you how to configure the layers in a CNN.
You’ll also learn about the 3 ways to train CNNs for image analysis. These include: 1.) Training the model from scratch; 2.) Using transfer learning (based on the idea that you can use knowledge of one type of problem to solve a similar problem); 3.) Using a pretrained CNN to extract features for training a machine learning model.</t>
  </si>
  <si>
    <t>Data Science Wednesday is produced by Decisive Data, a data analytics consultancy. Lean more about us using the following links. Also, the video transcription is included below.
http://www.decisivedata.net
https://twitter.com/DecisiveData
https://www.linkedin.com/company/decisive-data/
Video Transcription:
What is Predictive Analytics 
Hello, and welcome back to Data Science Wednesday. My name is Tessa Jones, and I'm a data scientist with Decisive Data. And today we're gonna talk about predictive analytics and what it can do for you. Predictive analytics fits into the spectrum of analytics that we've talked about before. Starting with descriptive, which is the most basic of the analytics, it's basically just cleaning, relating, summarizing, and visualizing your data, really getting to the questions about what's happening in my business. And then there's diagnostic, which is really getting down to why things are happening. What's causing my revenue to decline or to increase? How are things related? Things like that. So if you've got a good base in both of these, then we're ready to move into predictive analytics, which is gonna dive into what's gonna happen in the future, which is super powerful. If you're a business person and you want to be able to make good business questions, if you have at least an idea of what might happen in the future, your answers are already gonna be a little bit better.
So, let's dive in. So, let's go with an example because that just makes it easier to kind of flow through what's actually happening here. So let's pretend that we are grocery store owners. And if we're already talking about predictive analytics, you should have a pretty good grasp on descriptive and predictive and diagnostic analytics. So, you probably already have a decent dashboard that really tells you what's happening in your business right now. So, something like this where you have, you know, something here that tells you revenue by different departments like foods and pastry, or how your sales changes by product over time, things like that. So you have an idea of what's happening in your business, but now you really wanna know, what's gonna happen in my business? So one really common question is, how many of a given product am I gonna sell for every store? Because this can really answer questions around how you're gonna support supply chain processes, or how you're gonna manage the profits that you're going to have. Things like that.
So the first thing we need to do is talk about what happened in the past. We really can't do anything or predict very easily unless we know or at least have an idea of what's happened in the past. So here we have three lines in black that represent, basically, historical data. Each line here is one year worth of sales for a given product. And then the green line here is the current year. And here's today. And if we build a predictive model, it's gonna tell us what's gonna happen for the rest of the year. So if this is all set up and we build a model, basically, we mix this information with all the data that's really clean and well-organized, we mash it together with a bunch of mathematics and coding, and basically, we pop out some results and it shows up in a visual like this where you have, these are the sales that we have had and these are the sales that we think we're going to have. So a business person can look at this chart and say, "Wow, we need to put a lot more products to this store because I see sales are gonna increase." Or, "Our profit margins are gonna be way higher than we thought so we can start a new program." Things like that. You can really start to get innovative with your business decisions.
So, let's pretend we've built this model and it's been running for a year. And now we wanna know how well is this model actually performing? So down here, we have a chart that shows, in black, what we actually sold, and then in green, what we thought we were going to sell. And we see that there's a couple of pretty big misses. Right here, we sold way more than we thought we would, which leaves risk to, you know, missing out on inventory. Or, here, we predicted we would sell way more than we did. So both of these are kind of misses. And so we need to go back and look at the data and understand what assumptions we applied that were maybe a little bit wrong, or applied incorrectly, or look at the data, maybe we weren't accounting for something and we kind of reorganize that and incorporate it into the model. And then we redeploy it, and then we have a better model.</t>
  </si>
  <si>
    <t>Download Now - http://www.getgoingtraining.com - The Get Going With Excel 101 video teaches beginners the basics of how to use Microsoft Excel in less than an hour. This Excel training video is great for college students, high school students, homeowners, families, self-employed and small-business owners.
iPhone / iPod / HD Video Versions</t>
  </si>
  <si>
    <t>In this short video we show you an example of how social network analysis improves organisational performance.
Optimice TV is the Youtube channel owned and managed by Optimice (www.optimice.com.au). Optimice specialise in mapping social networks.</t>
  </si>
  <si>
    <t>UCINET/NetDraw tutorial on visualizing a collaboration network with 504 nodes.</t>
  </si>
  <si>
    <t>Connect to a stream of graph objects using the new Gephi Graph Streaming features.
The Gephi project is part of the Google Summer of Code, a global program that offers student developers stipends to write code for various open source software projects.
The new Graph Streaming features will be available in the next version of Gephi.
Learn more: 
http://gephi.org/2010/google-summer-of-code-2010/
http://gephi.org/features/
Video License:
Creative Commons By-NC-SA
http://creativecommons.org/licenses/by-nc-sa/3.0/
Music Credits:
Teremock-Teremock - Daylight
by Tunguska Electronic Music Society
http://www.jamendo.com/en/track/560880</t>
  </si>
  <si>
    <t>See how Alteryx makes it easy to view data relationships with network analysis. Visit alteryx.com/trial to try the network analysis features for yourself.</t>
  </si>
  <si>
    <t>Explore this live at Tableau public:  https://public.tableau.com/profile/jim.knippenberg#!/vizhome/NetworkGraphExample_0/NetworkGraph
.
Learn how to build a usable Network Graph in Tableau with virtually any two dimensions from csv data in just a few minutes.  Once built, leverage all the native Tableau analytic functionality as with any other chart type (size, color, tooltips, etc.)!
.
Source files and supporting info are available here:
https://www.dropbox.com/sh/83uslc5lshnf2po/AAA7cmGt2ICQNW7xGwgBPzcra?dl=0
.
Me at LinkedIn: https://www.linkedin.com/in/jim-knippenberg-720b0595
.</t>
  </si>
  <si>
    <t>A tutorial of how to use Dedoose, a web-based program that allows for mixed methods research, and data analysis on quantitative and qualitative data.</t>
  </si>
  <si>
    <t>A quick and easy approach to run cluster analysis in Excel.
For a free template: please visit http://www.clusteranalysis4marketing.com</t>
  </si>
  <si>
    <t>This is the third of 3 vlogs which demonstrates the process of creating  your social network in a Spreadsheet then uploading it into Gephi. It covers some of the obstacles you may meet and how to overcome them. Here we look at self loops and an overview of the graph.</t>
  </si>
  <si>
    <t>Hi guys, in this video, I will be teaching you how to make tarpapel using Microft Excel.
This is a Tagalog Tutorial. Enjoy watching! :)
How to make tarpapel using Publisher video link: https://www.youtube.com/watch?v=B0_8m2sgUAM
---
Hey there! New to Thedz ENT? Make sure to check out my channel for Entertainment, Educational, Tips and Tutorials videos.
Subscribe for more:  https://www.youtube.com/channel/UCpds7LVB85JiEFzSnJBtSEA?view_as=subscriber?sub_confirmation=1
Where else you can find me:
Instagram: https://www.instagram.com/thedzalarte/
Twitter: https://twitter.com/ThedzAlarte
Facebook: https://www.facebook.com/thedemalarte
EMAIL: thedzalarte@gmail.com
Thank you! Xoxo!
Disclaimer:
Copyright Disclaimer Under Section 107 of the Copyright Act 1976, allowance is made for "fair use" for purposes such as criticism, comment, news reporting, teaching, scholarship, and research. Fair use is a use permitted by copyright statute that might otherwise be infringing. Non-profit, educational or personal use tips the balance in favor of fair use. ALL RIGHTS BELONG TO THEIR RESPECTIVE OWNERS*
#Tarpapel #HowtoMakeTarpapel #TarpapelDIY</t>
  </si>
  <si>
    <t>The GraphStream team is happy to announce the release of the first stable version of GraphStream. We hope it will fulfill your needs and that you will enjoy the new features that come with it.
GraphStream website : http://graphstream-project.org
This video provides an overview of some features of this new release :
1. Generators, it is an overview of some generators that can be found in GraphStream. Generators allow to produce a graph (static or dynamic).
2. Algorithms, some examples of algorithms : A*, Kruskal spanning tree, Betweenness Centrality.
3. Stylesheet, a demonstration of some style properties. GraphStream uses a CSS syntax to define thee graph style.
4. New UI, the new release comes with an alternative viewer in the package gs-ui. All the video is made with this new viewer but this part focuses on the ability to move the view center and to change the zoom from the program.
5. Geographic Information System : GraphStream contains a new experimental packages, called gs-geography, that allows to produce a graph from a shape file. This part displays the graph of the city of Le Havre (France) and runs the algorithm RandomWalk on it to simulate traffic.
The video is published by G. Savin under the term of the Creative Commons licence BY-NC-SA. The soundtrack comes from the Queue release of Juno6 (http://www.juno6.de, http://www.1bit-wonder.com) that is published under the CC BY-NC-SA licence.</t>
  </si>
  <si>
    <t>If you like this video, here's my entire playlist of Excel tutorials: http://bit.ly/tech4excel
Learn the basics of using Microsoft Excel, including the anatomy of a spreadsheet, how to enter data, how to make your data look good so it's easier to read and use, and more. This tutorial was made using Excel 2016, but is applicable to older versions of Excel and newer versions too.
***Consider supporting Technology for Teachers and Students on Patreon***:  https://www.patreon.com/technologyforteachersandstudents
Click below for more information about some of the movies mentioned in this tutorial:
Dirty Rotten Scoundrels: http://amzn.to/2xTpck1
Ladyhawke:  http://amzn.to/2xOhLsA
Stardust: http://amzn.to/2yjJvs9
Young Sherlock Holmes: http://amzn.to/2xaJJNv</t>
  </si>
  <si>
    <t>Demostración en vivo sobre el uso de NodeXL para analizar una Red de Twitter</t>
  </si>
  <si>
    <t>un poco de todo el plech top 10 top 10 plech videos graciosos videos interesantes videos divertidos paginas web productos amazon</t>
  </si>
  <si>
    <t>huawei mate p8 p8 lite captura de pantalla screenshot facil rapido foto tomar cell cellphone phone android tutorial review phones google gsm software explicativo telefono celular smartphone ascend</t>
  </si>
  <si>
    <t>español estadisticas gratis twitter analytics Marketing online social media redes sociales twitter analytics marketing online web funciones Google Social tweets seguidores neoattack media</t>
  </si>
  <si>
    <t>herramientas seo herramientas para seo posicionamiento seo youtube curso de posicionamiento seo curso seo posicionamiento web posicionamiento web seo tutorial posicionamiento seo curso posicionamiento seo posicionamiento seo google posicionamiento seo wordpress posicionamiento seo herramientas seo 2018 seo posicionamiento web 2018 posicionamiento seo 2018 herramientas para seo 2018</t>
  </si>
  <si>
    <t>docker debian rocker rstudio analysis sentiment analisis de sentimiento español spanish twitter leche gloria leche gloria text mining data science</t>
  </si>
  <si>
    <t>gephi análise de redes redes sociais análise de redes sociais ciência de dados redes</t>
  </si>
  <si>
    <t>Gephi ARS Filtros Métricas</t>
  </si>
  <si>
    <t>Google Analytics Blogger Páginas web</t>
  </si>
  <si>
    <t>Netvizz Gephi .tab .gdf ARS Analytics</t>
  </si>
  <si>
    <t>redes sociales social media socialancer marketing online Marketing Influencer Marketing influencers gephi influencia influencers social media influencers redes sociales grafos comunidades comunidades online embajador de marca embajadores de marca Media</t>
  </si>
  <si>
    <t>Gephi Distribución Layouts ARS Analítica</t>
  </si>
  <si>
    <t>Curso ARS CIETE-ULA Netvizz Gephi</t>
  </si>
  <si>
    <t>NodeXL SNA Social Media Social Network Network Visualization Graph Map Chart #digiblogchat</t>
  </si>
  <si>
    <t>Text Mining (Industry) Computer Science (Field Of Study) Research (Industry) Researcher (Profession) Data Mining (Software Genre) text analysis research articles</t>
  </si>
  <si>
    <t>Sna jobs applications university University Of Maine At Augusta (Organization) social network analysis social networks job skills</t>
  </si>
  <si>
    <t>Textual Criticism (Literature Subject) science of literature religion Psychology (Field Of Study) Linguistics (Film Genre)</t>
  </si>
  <si>
    <t>online gephi view gephi online</t>
  </si>
  <si>
    <t>programming software liwc textual analysis sentiment big data</t>
  </si>
  <si>
    <t>gephi lesmis quick start tutorial visualization sna network analysis</t>
  </si>
  <si>
    <t>Screencast-O-Matic.com nodexl venezuela hidrografia</t>
  </si>
  <si>
    <t>فورت نايت دعس جلد ضحك حشيش كود فيفا لعبة رعب يجي ملحوقة ومسبوقة فلوق تحدي تحديات مقالب xxYjYxx fortnite cod wwii gta flog زومبي اوفرواتش سولو مواب شرح تحميل</t>
  </si>
  <si>
    <t>microsoft office excel 2013 tutorial training video videos course learn e-learning web based wbt alliance how to use using share invite connection link account manage services add sharing</t>
  </si>
  <si>
    <t>Tableau Graficos de Barras Histogramas Box Plots</t>
  </si>
  <si>
    <t>tidyr dplyr select() filter() R-Project limpieza de datos analisis de datos</t>
  </si>
  <si>
    <t>Excel Dynamic Chart Area with IF Function excelisfun Mike Gel Girvin Highline Community College Normal Distribution Statistics Standard Probability Theory Statistics.</t>
  </si>
  <si>
    <t>R-project R (Programming Language) XLConnect</t>
  </si>
  <si>
    <t>doug excel bubble chart bubble how to learn excel axis jpeg image create a bubble chart 3d data visualization excel chart bubble graph excel msofficetrain101 bubble chart excel youtube channel bubble chart in excel dough picture microsoft excel</t>
  </si>
  <si>
    <t>Gráfico funcionarios eficientes Gráficos avanzados Funcionarios Eficientes Gráficos estadísticos Excel 2007 Gráfico en excel Excel 2010 Chart</t>
  </si>
  <si>
    <t>How to create a basic dashboard in Excel 2010 or Excel 2013 Microsoft Excel (Software) Data slicers Excel 2010 Excel 2013 dashboards Excel dashboard Office How-to (Website Category) Microsoft Office (Software) tables data tables Excel tables rules for creating an Excel dashboard create your own dashboard in Excel dynamic dashboard</t>
  </si>
  <si>
    <t>dir.create() RStudio R (Programming Language)</t>
  </si>
  <si>
    <t>Tutorial español tutorial excel tabla dinamica excel tablas dinámcias excel español crear tabla dinámica filtros excel campos tabla dinámica valores tabla dinámica Excel 2010 Excel 2013 tabla dinámica excel 2010 tabla dinámica excel 2013 fácil sencillo hacer tabla dinámica saber programas saberprogramas Agrupar datos Excel</t>
  </si>
  <si>
    <t>Data Visualization (Industry) social media twitter kozo sugiyama viz nodexl</t>
  </si>
  <si>
    <t>YouTube Capture</t>
  </si>
  <si>
    <t>Dijkstra's Algorithm Dijkstra Algorithm (Literature Subject) Directed Graph vertex single source shortest paths source greedy algorithm greedy graph theory example demo</t>
  </si>
  <si>
    <t>Graphviz dot graphviz dot emacs state diagrams graphs directed graphs flowcharts CPM</t>
  </si>
  <si>
    <t>Visualization (Field Of Study) Social Media (Project) maine politics #mepolitics how-to sociology social networks nodexl software university of maine at augusta university data visualization</t>
  </si>
  <si>
    <t>how can i do that social media social network analysis</t>
  </si>
  <si>
    <t>Group dynamics social networks social network analysis group structure symlog sociometry</t>
  </si>
  <si>
    <t>Facebook visualizer facebook visualizer Challenger Meurs hrm facebook app network visualizer gd2011 graph drawing social network network viewer facebook viewer facebook visualize</t>
  </si>
  <si>
    <t>statistics SNA lecture networks</t>
  </si>
  <si>
    <t>Gephi Data Visualization (Industry) Open Source Networks Social Network (Industry) Open Source (Software License) Data (Website Category) Technology Software (Industry)</t>
  </si>
  <si>
    <t>user interfaces visualization hci</t>
  </si>
  <si>
    <t>fsoss2007 open source social network analysis wiki tikiwiki</t>
  </si>
  <si>
    <t>node xl demo social graph</t>
  </si>
  <si>
    <t>social media socialmedia socialmarketing youtube facebook twitter linkedin hyves schoolbank flickr myspace slideshare infomation nederland feiten inzichten</t>
  </si>
  <si>
    <t>Ezvid Video</t>
  </si>
  <si>
    <t>social network analysis Twitter followees network graph nodes edges twecoll directed edge edges define relationships adjacency matrix graph ML format CSV files XML file format twitter application authorization page graph visualization Gephi tool in-degree out-degree betweenness centrality closeness centrality centrality measures community detection modularity reingold algorithm degree distribution graph exporting data laboratory.</t>
  </si>
  <si>
    <t>Network Science Social Network Analysis (Interest) Lecture (Type Of Public Presentation) Computer Science (Field Of Study) Social Network (Industry)</t>
  </si>
  <si>
    <t>Epidemiology mathematical modeling modeling simulation using R network modeling</t>
  </si>
  <si>
    <t>Stata social network analysis nwcommands tutorial</t>
  </si>
  <si>
    <t>IBM social media social media analytics introduction WASM</t>
  </si>
  <si>
    <t>indzara social media dashboard social media dashboard template free excel dashboard social media report facebook metrics twitter metrics excel dashboard template small business social media data visualization template social network metrics social network report template social media template social media reporting social media reporting template social media dashboard excel template</t>
  </si>
  <si>
    <t>Parag Gupta Parag Praveen Sharma Swapnil Patni Praveen Jindal Vishal Bhattad Subodh Shah Munish Bhandari Manish Bhandhari Kamal Garg Surbhi Bansal Aaditya Jain Sanjay Saraf Aditya Jain Sanjay Aggarwal Vinod Gupta Jayesh Gupta Dinesh Madan Raj Kumar Dippak Gupta Deepak Gupta Costing Operations Research Quantitative Techniques PERT CPM farooq haque classes neeraj arora network analysis ca final</t>
  </si>
  <si>
    <t>sosyal ağ analizi açık ders iletişim bilimleri anadolu üniversitesi gephi nodexl veri görselleştirme dağhan ırak</t>
  </si>
  <si>
    <t>Machine Learning ML Excel 2016 Excel Magic Deep Learning and Excel Micrsoft Azure Sentiment Analysis Using Microsoft Azure Add in Artificial Inteligence</t>
  </si>
  <si>
    <t>Zotero Tips</t>
  </si>
  <si>
    <t>Twitter Data import Data analysis</t>
  </si>
  <si>
    <t>nodexl relationship mapping network map fundraising analytics analytics prospect research prospect development fundraising research social media foundation marc a smith</t>
  </si>
  <si>
    <t>Microsoft Corporation (Venture Funded Company) Microsoft Excel (Software) Click Windows Installation (Award-Winning Work) How-to (Website Category) Software (album) Tutorial Maker excel add-in add in add in addin</t>
  </si>
  <si>
    <t>社會網路 社會網絡 社會網路分析 SocialNetworkAnalysis SNA 數位人文 DH Digital Humanities 唐牧群</t>
  </si>
  <si>
    <t>#hangoutsonair Hangouts On Air #hoa</t>
  </si>
  <si>
    <t>Jimmy Fallon Late Night With Jimmy Fallon Late Night NBC NBC TV Television Funny Talk Show comedic humor stand-up snl Fallon Stand-up Fallon monologue latenight jokes funny video interview variety comedy sketches talent celebrities music musical performance The Roots video clip highlight talking youtube Hashtags Dad Quotes Jimmy Fallon Hashtags #hashtag Father's Day Tweets</t>
  </si>
  <si>
    <t>Tutorials MacBookPro</t>
  </si>
  <si>
    <t>Summer Social Webshop 2012 SSW12</t>
  </si>
  <si>
    <t>create add-in</t>
  </si>
  <si>
    <t>how to tutorial on in of off or and an with access 2007 2010 2003 data base database easy fast use utilize import things stuff information create design build your my own generate form report query reports queries program for programming code different type types wizard input into generating put together combine export external windows microsoft office manage management system computer software business training tecchnology customer using field name order excel</t>
  </si>
  <si>
    <t>Powerbi DAshboard Facebook Sentiment Analysis</t>
  </si>
  <si>
    <t>Graph in a box NodeXL. sub-graphs.</t>
  </si>
  <si>
    <t>networkx library installation how to use how to draw graph nodes edges pyplot matplotlib</t>
  </si>
  <si>
    <t>Excel cell graphical representation equation quadrilateral find the slope Excel equation Excel table Excel database Microsoft Excel Excel tips productivity software</t>
  </si>
  <si>
    <t>Eigenvector Centrality Calculations Gephi</t>
  </si>
  <si>
    <t>python bokeh networkx data datascience data visualization</t>
  </si>
  <si>
    <t>Gephi Social Network Analysis SNA Uploading data</t>
  </si>
  <si>
    <t>gephi netwrok analysis partition by node attribute statistics metrics load data in gephi</t>
  </si>
  <si>
    <t>Gephi Visualisation Network graph datascience machinelearning lecture tutorial data science machine learning data mining</t>
  </si>
  <si>
    <t>Excel 2016 Tips and Tricks Top Tips and Tricks for Excel Excel Advanced Microsoft Excel Tips Power Tips for Excel My Favorite Excel Tips Learn Excel 2016 Excel 2016 Tutorial excel tips excel 2016 excel tutorial Excel Introduction to Excel excel tips and tricks excel tricks excel formulas microsoft excel leila gharani advanced excel tricks microsoft office suite tutorial excel tips and tricks 2019 excel tricks 2019 microsoft office Sele Training</t>
  </si>
  <si>
    <t>Eigenvector Centrality Pagerank Gephi Social Networks</t>
  </si>
  <si>
    <t>NVivo 12 Thematic Analysis Content Analysis</t>
  </si>
  <si>
    <t>Twitter intelligence osint twitter twitter osint kali linux</t>
  </si>
  <si>
    <t>how to open stanford facebook dataset in gephi how to analyze facebook network</t>
  </si>
  <si>
    <t>NodeXL SNA Social Media Social Network Network Visualization Graph Map Chart</t>
  </si>
  <si>
    <t>APSA #APSA2016 Twitter social network social network analysis gephi nodexl network visualization</t>
  </si>
  <si>
    <t>Twitter API Twitter PowerBI Power BI Business Intelligence streaming power bi dashboard</t>
  </si>
  <si>
    <t>network analysis Startup Company (Website Category) organizational Network Analysis human resources change management Software As A Service (Industry) Data Visualization (Industry)</t>
  </si>
  <si>
    <t>Polinode Network Analysis Data Surveys</t>
  </si>
  <si>
    <t>#fierbmi #nodexl #gephi</t>
  </si>
  <si>
    <t>Polinode Network Analysis Data Visualization</t>
  </si>
  <si>
    <t>NodeXL twitter social media data mining how-to</t>
  </si>
  <si>
    <t>twitterpythtwitter api python streaming tweets python stream tweets python stream live tweets python twitter api tutorial twitter stream python twitter and python api tweepy tutorial tweepy stream tweets tweepy python tweepy tutorial analyzing twitter data in python analyzing tweet data analyzing tweet data in pythong sentiment analysis twitter python sentiment analysis python twitter sentiment analysis python tutorial python tutorial for beginners</t>
  </si>
  <si>
    <t>Awesometrics SNA Social Network Analysis Twitter Retweet</t>
  </si>
  <si>
    <t>Sentiment Analysis Text Analytics Text mining Sentiment analysis Excel Excel text mining Entity extraction Text summarization Themes discovery Citation detection Slang detection Keyword analysis</t>
  </si>
  <si>
    <t>twitter python datascience machinelearning data scraping</t>
  </si>
  <si>
    <t>nodexl visualization sociology social networks edge lists</t>
  </si>
  <si>
    <t>introduction introductory social networks R language igraph university of maine at augusta edge list how to</t>
  </si>
  <si>
    <t>Environment context garden sunflowers Queen Anne’s Lace social science</t>
  </si>
  <si>
    <t>distance education academic presentations slides content style public speaking university higher education academics</t>
  </si>
  <si>
    <t>criminalidade redes midias sociais network nodeXL</t>
  </si>
  <si>
    <t>MAXQDA Software (Industry) CAQDAS QDA Tutorial (Media Genre) Twitter Twitter analysis tweets qualitative research qualitative analysis social media analysis research 2.0 Media Studies (Field Of Study) import tweets import twitter capture ncapture Mixed Methods Research qualitative research software</t>
  </si>
  <si>
    <t>Comm Research</t>
  </si>
  <si>
    <t>r software twitter data twitter api twitter analytics</t>
  </si>
  <si>
    <t>Tableau tableau coach tutorial videos tableau tutorial business intelligence tool tableau software data science data scientist journey to data science twitter data use R to analyze tweets tweets twitter R language r programming</t>
  </si>
  <si>
    <t>twitter api twitter api tutorial twitter data twitter data collection twitter developer api twitter access token twitter api authentication example twitter api authentication</t>
  </si>
  <si>
    <t>nodeXL 社會網絡 林崑峯 三星統計 三星課程網</t>
  </si>
  <si>
    <t>Tutorial for Ucinet 教學</t>
  </si>
  <si>
    <t>PowerCam</t>
  </si>
  <si>
    <t>王小路 手機攝影課程</t>
  </si>
  <si>
    <t>二胡 吳欣潓 欣潓 erhu 煙花易冷 教學</t>
  </si>
  <si>
    <t>Tutorial Ucinet 教學</t>
  </si>
  <si>
    <t>MEERKAT VIDEO H264 YT</t>
  </si>
  <si>
    <t>Underwater Sensor Network Underwater Sensor Network Projects Underwater Sensor Network Projects using Ns2 Underwater Sensor Network Projects using Ns2 Simulatio Underwater Sensor Network Projects using Ns2 Simulation Projects</t>
  </si>
  <si>
    <t>gephi degree distribution</t>
  </si>
  <si>
    <t>數位人文 Digital Humanities Social Network Analysis</t>
  </si>
  <si>
    <t>AHP ANP 層級分析法 網路層級分析法</t>
  </si>
  <si>
    <t>SPSS (Software) Statistics (Field Of Study) 卡方分析 SPSS教學 三星統計 謝章升 Chi-squared Test</t>
  </si>
  <si>
    <t>連啓佑 新SEO</t>
  </si>
  <si>
    <t>數位行銷基本力</t>
  </si>
  <si>
    <t>張偉豪 統合分析 社會科學</t>
  </si>
  <si>
    <t>連啓佑 SEO進階</t>
  </si>
  <si>
    <t>網站流量分析</t>
  </si>
  <si>
    <t>SocialNetworkAnalysis 社會網路分析 Gephi SNA 數位人文 DH Digital Humanities 唐牧群</t>
  </si>
  <si>
    <t>data recovery un delete how to recover data recovery app software tools new android iso tablet samsung photo music songs apps documents email contacts</t>
  </si>
  <si>
    <t>Office 2010 Access Mike Gel Girvin excelisfun Highline Community College Ron Davidson Computer Information Systems Busn 216 Applications Class Create Queries in Simple Query Word Criteria Parameter Contains Less Than Greater Or Equal To AND OR Formula For Inventory Value Gross Profit Average Group by Reorder Phone List Between</t>
  </si>
  <si>
    <t>Big Data Analytics Tutorial Jaccard Distance Solved Problem video jaccard distance python jaccard distance r jaccard distance clustering jaccard distance sklearn jaccard coefficient calculator jaccard coefficient example in data mining jaccard index ecology jaccard similarity text</t>
  </si>
  <si>
    <t>correlation statistics excel Pearson r</t>
  </si>
  <si>
    <t>How-to (Website Category) R (Programming Language) RStudio (Software) Tutorial (Media Genre) Histogram Statistics (Field Of Study)</t>
  </si>
  <si>
    <t>Coursera Coursera Data Science Coursera Roger Peng Coursera R quiz Data Science Specialization Rstats R Videos getting and cleaning data getting and cleaning data coursera data science coursera coursera data science coursera getting and cleaning data</t>
  </si>
  <si>
    <t>social network analysis sna social network visualization visualization tools link analysis facebook investigation investigate facebook criminal networks fraud networks fraud rings injury rings crime rings facebook</t>
  </si>
  <si>
    <t>Wireshark (Software) output reading tcp/ip ethernet protocols Management Read Technology How-to (Media Genre) training education lecture Data System Business</t>
  </si>
  <si>
    <t>Text Analysis Qualitative Research Data Mining</t>
  </si>
  <si>
    <t>project network diagram PND activity on arrow AoA Critical path</t>
  </si>
  <si>
    <t>powerpivot data explorer microsoft excel excel 2013 twitter json excel format analytics social media microsoft business intelligence api web power query vba JavaScript (Programming Language) java script object notation</t>
  </si>
  <si>
    <t>nslookup ping tracert ipconfig network troubleshooting command prompt</t>
  </si>
  <si>
    <t>Atlas Microsoft Dynamics AX 2012 Excel ad-hoc reporting</t>
  </si>
  <si>
    <t>click excel database load data spread sheet Lois S. Mahoney and Judith K. Welch Accounting 386 Brigham Young University Hawaii BYUH</t>
  </si>
  <si>
    <t>labnol screencast twitter google docs</t>
  </si>
  <si>
    <t>Excel Microsoft Excel Financial Models Excel Shortcuts Cleaning Up Data PROPER TRIM CLEAN Text to Columns Address Data Paste Values Paste Formulas Breaking Into Wall Street Mergers And Inquisitions Excel Model Tutorial Investment excel tutorial ms excel microsoft excel tutorial worksheets financial statements financial modeling balance sheet cash flow statement excel tips excel function excel tricks excel formulas formulas valuation</t>
  </si>
  <si>
    <t>JMP SimpleLinearRegression</t>
  </si>
  <si>
    <t>Screencast-O-Matic.com random sample Excel</t>
  </si>
  <si>
    <t>gephi social network analysis visualization graphs</t>
  </si>
  <si>
    <t>excel excel2016 office365 json powerquery getandtransform</t>
  </si>
  <si>
    <t>R (programming Language) software tutorial Software Tutorial Watch Data Science</t>
  </si>
  <si>
    <t>nodexl troubleshooting updates twitter authorization University Of Maine At Augusta (Organization)</t>
  </si>
  <si>
    <t>Excel webinar</t>
  </si>
  <si>
    <t>adding cells excel formulas tracking information plotting data Excel tricks Excel help Excel tips Microsoft Excel spreadsheet creation</t>
  </si>
  <si>
    <t>Comma-Separated Values (File Format) Microsoft Excel (Software) Computer File Microsoft Outlook (Software) Software (album) Technology outlook contact group Import an Excel CSV Contacts into Outlook 2013 How To Import an Excel 2013 CSV Contacts File into Outlook 2013 how to do microsoft excel excel training excel tutorial How-to (Website Category)</t>
  </si>
  <si>
    <t>NodeXL GalleryGlimpse SNApshot</t>
  </si>
  <si>
    <t>import data from excel to r copy data from excel to r import csv data to r import txt data to r reading data into r loading data into r importing data read.table read.csv marinstatslectures marinstats marin stats marin stats youtube marin stats r rstudio r studio r programming r statistics r language r for data science marinhamadani import data into r copy data into r r (programming language) r programming tutorial r programming for beginners</t>
  </si>
  <si>
    <t>com/soc 375 university social networks network analysis ucinet nodexl how to undergraduate export import sociogram visualization uma College</t>
  </si>
  <si>
    <t>uma university of maine at augusta soc 101 sociology welcome university higher education</t>
  </si>
  <si>
    <t>walkthrough ucinet software social networks qap correlation</t>
  </si>
  <si>
    <t>UCINET software social networks maine university how-to walkthrough installation troubleshooting</t>
  </si>
  <si>
    <t>steve borgatti ucinet data import analytic technologies social network analysis sna</t>
  </si>
  <si>
    <t>Manchester EXCEL</t>
  </si>
  <si>
    <t>how to maine augusta university social networks course walkthrough 1-mode 2-mode ucinet software data</t>
  </si>
  <si>
    <t>uma university social networks qap regression com/soc 375 data matrices variables ucinet</t>
  </si>
  <si>
    <t>kozo sugiyama social networks visualization nodexl curved bundled sociogram network graph com/soc 375 uma sociology maine augusta university college how to twitter #mepolitics politics</t>
  </si>
  <si>
    <t>directed graph sugiyama algorithm hillclimbing layout drawing graphic</t>
  </si>
  <si>
    <t>transsexual transgender uma university of maine at augusta</t>
  </si>
  <si>
    <t>社會網絡分析 NodeXL</t>
  </si>
  <si>
    <t>翡翠 翡翠直播 玉 戒指 手链</t>
  </si>
  <si>
    <t>#大衛Sir #張舉能 #港版國安法 #大衛23</t>
  </si>
  <si>
    <t>天堂M 紫變 TJ卷 合成 捨情 黑妖 紫變合成 無課玩家 阿頓</t>
  </si>
  <si>
    <t>小菜 主散數據 理財 期貨 大單小單 台股 多空力道 台指 台指期</t>
  </si>
  <si>
    <t>Co-op Club 抽蛋 武裝 パズドラ Puzzle And Dragons 智龍迷城 Puzzle &amp; Dragons PAD PND 皮休 皮夫人 角色解說 三人協力 智龙迷城 8周年 降臨 協力友得分 龍族拼圖 Super God Fes. 森魔女 海魔女 Ver.18.3 情報 昂魔王 ベレト 四月任 列界 節日 super god fes. EVA 保命有得分 合作</t>
  </si>
  <si>
    <t>시대를 초월한 마음 時代を越える想 구리리 시대를 초월한 마음 가사 유하미 犬夜叉 이누야샤 グリリ Guriri Toki O Koeru Omoi 커버 Cover</t>
  </si>
  <si>
    <t>ashanty anang KRISDAYANTI raul lemos atta halilintar aurel azriel heboh nikah setting</t>
  </si>
  <si>
    <t>韓國瑜 包子隊長 挺韓</t>
  </si>
  <si>
    <t>高雄歷史哥 澄清唬 韓國瑜 抹黑 年輕人挺韓國瑜 柯文哲 民進黨 蔡英文 菸黨 1450 國民黨 綠共 中華民國 台獨 民主 市政 韓黑 黑韓 假新聞 菜包 草包 高雄光榮 尹立 反滲透法 戒嚴 社維法 民眾恐慌 共產黨 大撒幣 造謠 統獨 2020 中共 舔共 綠色恐怖 查水表 國家機器 網軍 網軍蟑螂 網路霸凌 選舉 霸凌 勇敢 直球對決 公然霸凌 暴力 割草 霸韓 異溫層 親中 抹紅 罷免 We care 光復高雄 黃標 檢舉 訂閱 退訂閱 下架韓國瑜 參選 馬英九 經濟 景氣 香港 武漢肺炎 防疫 韓國瑜草包 罷韓 WHO 口罩 口罩荒 倒讚 空氣傳染 飛沫傳染 勤洗手 自主管理 檢驗 陽性 預防勝於治療 篩檢 醫師 病情 病毒 傳染 咳嗽 痰液 飛沫 罷韓四君子 一粒教 日本 韓國 印尼 義大利 世代 悲劇 衝突 仇恨 陳柏維 3Q哥 健保 現代 政治 宣傳 疫情 武漢 新冠病毒 新冠肺炎 肺炎 感染 亞裔 種族歧視 川普 口罩乾蒸 乾蒸 蒸口罩 消毒口罩 口罩復活 口罩再利用 口罩循環 口罩再生 疫情報導 StayHome 微波口罩 氣炸鍋口罩 譚德賽 尼哥 黑鬼</t>
  </si>
  <si>
    <t>犬夜叉 超越時空的思念 時代を超える想い 二胡 櫻散零亂 Inuyasha To Love's End Erhu YungAn</t>
  </si>
  <si>
    <t>text mining data mining predictive modeling document classification Rstat</t>
  </si>
  <si>
    <t>data analysis Management Excel cumulative frequency statistics Microsoft Excel (Software) frequency function frequency table histogram monte carlo simulation data excelisfun excel histogram in excel data visualization in excel frequency distribution frequency distribution in Excel how to Matt Macarty Matthew Macarty data analysis tutorial data analysis in excel</t>
  </si>
  <si>
    <t>Microsoft Excel 教學</t>
  </si>
  <si>
    <t>Qualitative Research NVivo10</t>
  </si>
  <si>
    <t>結構方程模型 Amos SEM 論文 SSCI</t>
  </si>
  <si>
    <t>Tableau Tableau教學 Tableau介紹 視覺化資料分析 視覺化圖表 大數據分析 資料分析</t>
  </si>
  <si>
    <t>Education NodeXL Dynamic Networks Anomalies Visualization</t>
  </si>
  <si>
    <t>how to ucinet social networks editor data sociogram visualization data entry matrix university maine</t>
  </si>
  <si>
    <t>hashtag twitter data visualization</t>
  </si>
  <si>
    <t>LinkedIn (Website) Gephi (Software) social network analysis SNA GML Facebook cluster clustering Analytics Business Analytics</t>
  </si>
  <si>
    <t>ITL-207 networking pajek</t>
  </si>
  <si>
    <t>SSRI Duke University Education Module so Social Network Analysis (Interest) social network sociology Social Science (Field Of Study) political science sna network connections facebook twitter linkedin visual</t>
  </si>
  <si>
    <t>ucinet borgatti sna</t>
  </si>
  <si>
    <t>NodeXL tutorial network analysis visualization</t>
  </si>
  <si>
    <t>nodexl apresentação tutorial guia</t>
  </si>
  <si>
    <t>gephi visualization network analysis citation networks</t>
  </si>
  <si>
    <t>how to nodexl networks edge lists visualization</t>
  </si>
  <si>
    <t>NodeXL SNA social media networks</t>
  </si>
  <si>
    <t>jerry banfield JerryBanfield G Suite G Suite Tutorial Domain and Hosting Installation Email Services for Websites</t>
  </si>
  <si>
    <t>cómo usar google analytics qué es google analytics como funciona google analytics google analytics como utilizar google analytics en wordpress</t>
  </si>
  <si>
    <t>sql sql tutorial sql course sql for beginners Structured Query Language sql course for beginners learn sql free sql course web development mysql mysql tutorial mysql course rdbms</t>
  </si>
  <si>
    <t>yt:cc=on r programming r programming for beginners r programming tutorial r language for beginners r language r language tutorial r programming tutorial for beginners r tutorial r tutorial for beginners r tutorials for beginners r programming language r programming for data science r programming basics r programming for data analysis r programming software learn r programming r training for beginners r certification r edureka data analytics edureka edureka</t>
  </si>
  <si>
    <t>python text wordcloud draw canvas visual visualization data analysis</t>
  </si>
  <si>
    <t>marc smith nodexl network science network science institute</t>
  </si>
  <si>
    <t>facebook api html5 canvas infovis visualization social hypertree hyperbolic tree</t>
  </si>
  <si>
    <t>R (Programming Language) Data Science Feature Engineering Visualization Data Exploration R Programming R Programming Tutorial R Programming Training Data Science with R Data Scientist Machine Learning with R Programming Tutorial Training Data Science Training Data Science Tutorial Machine Learning Data Analysis Data Visualization Data Science with R Programming language tutorial programming r tutorial r course r programming course</t>
  </si>
  <si>
    <t>excel word cloud powerpoint word cloud how to create a word cloud in excel how to create a word cloud in powerpoint excel wordcloud powerpoint wordcloud power point wordcloud how to use word count to create word cloud create a wordcloud without software make a word cloud in excel how do I make a word cloud in excel how do I create an automated word cloud</t>
  </si>
  <si>
    <t>facebook members email extraction facebook parser facebook members group letsextract email extractor facebook scraper facebook crawler free</t>
  </si>
  <si>
    <t>Google Apps for Business G Suite Setup g suite for business g suite tutorial how to setup google apps for business google suite tutorial g suite business google g suite tutorial setting up google apps for business g suite setup tutorial g suite google tutorial set up g suite setting up g suite google business apps google for business google apps for work google for work g suite business tutorial google app for business setting up google apps</t>
  </si>
  <si>
    <t>python python programming python language python code python for python loop python mysql python script python input python examples python with python super python course python time learn python programming time module in python python tutorial for beginners python full course python training python tutorial python for beginners Twitter API with Python</t>
  </si>
  <si>
    <t>Network Analysis Network Visualization Facebook Network Analysis Gephi</t>
  </si>
  <si>
    <t>Word Cloud Text Mining Text mining in R Analytics Data Science Unigrams R Programming</t>
  </si>
  <si>
    <t>joma vlog data science data scientist facebook google netflix amazon data analyst business intelligence AI deep learning big data</t>
  </si>
  <si>
    <t>microsoft research</t>
  </si>
  <si>
    <t>Screencast-O-Matic.com nodexl ine venezuela redes grafos</t>
  </si>
  <si>
    <t>nodexl installation walkthrough</t>
  </si>
  <si>
    <t>Data Visualization Twitter Gephi Big Data</t>
  </si>
  <si>
    <t>NodeXL SNA Social Media Social Network Network Visualization Graph Map Chart SocialShakeUp</t>
  </si>
  <si>
    <t>vgsom VGSOM itb ITB 2012 iit kgp kgp mayank anuradha vgsom 2012</t>
  </si>
  <si>
    <t>NodeXL Video SNA Social Network Analysis Social Network Visualization Chart Graph Connection Collection Map</t>
  </si>
  <si>
    <t>Data Visualization Twitter NodeXL</t>
  </si>
  <si>
    <t>facebook twitter nodexl com/soc 375 university maine social networks how to import troubleshooting social media</t>
  </si>
  <si>
    <t>nodexl análise de redes sociais análise de redes tutorial ensino</t>
  </si>
  <si>
    <t>NodeXL Influencer Marketing</t>
  </si>
  <si>
    <t>com/soc 375 social networks edges vertices edge list node xl sociogram how to</t>
  </si>
  <si>
    <t>Social Network Analysis Social media Event Management Data collection Data analysis</t>
  </si>
  <si>
    <t>nodexl university social networks edge list visualization tie strength installing homework maine augusta social science</t>
  </si>
  <si>
    <t>nodexl walkthrough twitter social media visualization autofill groups social networks maine politics</t>
  </si>
  <si>
    <t>nodexl Network Analysis social networks software how to walkthrough install</t>
  </si>
  <si>
    <t>NodeXL Twitter social media semantic networks hashtags trends data mining analysis how-to walkthrough social networks network analysis</t>
  </si>
  <si>
    <t>Minecraft aether minecraft angels minecraft heaven going to the aether in minecraft becoming minecraft angels minecraft aether mod minecraft aether aphmau minecraft heaven aphmau minecraft aphmau aether how to go to the aether in minecraft aether dimension minecraft aether portal minecraft heaven mod minecraft mod minecraft challenges we became minecraft angels aphmau minecraft no swears minecraft funny moments</t>
  </si>
  <si>
    <t>brawadis prank basketball skits ghost funny videos vlog vlogging NBA browadis challenges bmw i8 faze rug faze rug brother mama rug and papa rug</t>
  </si>
  <si>
    <t>pierson pierson wodzynski lexi lexi rivera lexi hensler brent rivera ben azelart dom brack jeremy hutchins mason fulp pierson and brent rivera pierson boyfriend prank pranks on friends trending fake tattoo prank prank war laugh challenge comedian comedy tiktok tiktok trends whats in the box joke friends amp amp studios vlog amp squad youtube instagram summer laughing actress actor los angeles tiktok dance scaring people prank brent rivera girlfriend</t>
  </si>
  <si>
    <t>complexity complexnetworks networks springCoNKs2014 lecture education CoNKs physics mechanisms assortativity contagion</t>
  </si>
  <si>
    <t>Inkscape vectors paths svg illustrator ink splash splodge random shape splashing draw drawing illustration splatter splutter spots drops drop droplet drip drips paint editing tutorial artist art splat splosh splish spatter</t>
  </si>
  <si>
    <t>Tegrity</t>
  </si>
  <si>
    <t>CHI 2013 visualization brain visualization weighted graphs graph comparison node-link diagram adjacency matrix AVIZ InfoVis</t>
  </si>
  <si>
    <t>Excel 2010 Tutorial Training Course Class</t>
  </si>
  <si>
    <t>Bibexcel pajek</t>
  </si>
  <si>
    <t>Visualization WPF C# Graph#</t>
  </si>
  <si>
    <t>neural network cluster analysis excel clustering financial services marketing NeuroXL Clusterizer banking status marketing segmentation data mining</t>
  </si>
  <si>
    <t>degree node size change how to gephi network science</t>
  </si>
  <si>
    <t>Screen Recording 50</t>
  </si>
  <si>
    <t>7 genius life hacks put to the ultimate test - orbeez pool obstacles &amp; how to survive for 24 hours genius life hacks life hacks life hack hack ultimate test how to how to survive orbeez pool obstacles in real life real life real unspeakable irl 24 hours The Royalty Family 24 hours Brent Rivera testing collins key collins key diy giant backyard challenge impossible dude perfect trick shots Preston trick tiktok tik tok dont The Norris Nuts watermelon pranks react funny</t>
  </si>
  <si>
    <t>Raspberry Pi Node.js SSH without password SSHFS OSXFUSE mount</t>
  </si>
  <si>
    <t>Tiffwithmi tiff with mi Singapore singaporean girls youtube vlog vlogger Chinese 新加坡 华文 华人 singaporean youtuber Singapore youtuber Singaporean Vlogs 新加坡人 tantan 探探 dating app 交友app 恶整 Prank</t>
  </si>
  <si>
    <t>Nosso Sentimento Rede Social Whatsapp Pagode Rio De Janeiro Facebook Instagram Twitter</t>
  </si>
  <si>
    <t>alan lupatini</t>
  </si>
  <si>
    <t>Red Informatica Grafo informatico Grafo</t>
  </si>
  <si>
    <t>tableau tableau 10 tutorial word cloud tableau public tableaux tableau tutorial tableau training tableau online tableau excel tableau word cloud word cloud in tableau word cloud tableau tableau word cloud shape how to make word cloud in tableau superdatascience word cloud tablrau tableau wordcloud what are word clouds used for how to use tableau make word cloud term frequency tableau word cloud word cloud with tableau wordcloud in tableau wordcloud</t>
  </si>
  <si>
    <t>Programming computers code hacking information Security iOS iPhone udemy online-courses coupons free-coupons udemy-coupons udemy-courses android iphone reactjs web-development machine learning machine tensorflow scikit data mining</t>
  </si>
  <si>
    <t>PIC OBMEP IMPA Matematica Iniciação Cientifica</t>
  </si>
  <si>
    <t>gephi open source network analysis nodes edge attributes graphml format network visualization layout algorithms cores degree distribution graph average weighted degree network diameter directed graph graph distance report graph density modularity page rank average clustering coefficient eigen vector centrality Fruchterman Reingold algorithm contraction ForceAtlas painter nodes tag cloud</t>
  </si>
  <si>
    <t>Local Area Network USB Twisted Pair Testador de Cabos</t>
  </si>
  <si>
    <t>Laércio Vasconcelos Hardware Redes Matemática para Vencer diagramas de redes diagram editor Diagram</t>
  </si>
  <si>
    <t>PISO EPOXI EPOXY FLOORS PISOS INDUSTRIAIS ÉPOXI TINTURA HARDYFLOOR REVESTIMENTOS INDUSTRIAL ECOLOGICO REVESTIMENTO NOVOLAR TRINCAS NO SUBSTRATO SISTEMA LAPIDUR LAPIDAÇÃO DE CONCRETO CHANFRO MULTICOR URECRETE MEIA CANA JUNTAS CERRADAS COM TRANSFORMAÇÃO JUNTA CAIMENTO ARGAMASSADO</t>
  </si>
  <si>
    <t>mapas my maps google geroreferenciamento bancos de dados espaciais</t>
  </si>
  <si>
    <t>análise de rede análise de dados quantitativos grafos gephi</t>
  </si>
  <si>
    <t>LibreOffice Base Consultas Grafos Gephi</t>
  </si>
  <si>
    <t>Hashtag (Invention) social media nodexl How-to (Media Genre) walkthrough content analysis sociology University Of Maine At Augusta (Organization) social networks edge lists semantic network</t>
  </si>
  <si>
    <t>Linguistics Semantics Semantics and Pragmatics Frames Semantic Networks Componential Analyis Meaning Postulates Semantic Fields Word Semantics Lexemes Sense Synonymy Incompatibility Hypopnymy Theories Jürgen Handke Linguistics Online VLC Virtual Linguistics Campus Inverted Classroom Flipped Classroom E-Lecture University College Student Education Community educational mobile device Marburg University of Marburg</t>
  </si>
  <si>
    <t>social networks network analysis centrality betweenness centrality</t>
  </si>
  <si>
    <t>mavens data science network analysis social media digital marketing analytics pumpkin spice</t>
  </si>
  <si>
    <t>social network analysis business analytics R Studio Big Data Harvard University (College/University) Stanford University (College/University) Data Analysis (Media Genre) Data Analytics Data Mining GEPHI PEJAK Analytics (Industry) Linear Algebra (Field Of Study)</t>
  </si>
  <si>
    <t>Eric Ma MIT Network Analysis Eric Ma python python tutorial datacamp datacamp python data science python datacamp networks network analysis python</t>
  </si>
  <si>
    <t>social network R programming social network analysis basics of r programming learn R R basics</t>
  </si>
  <si>
    <t>Microsoft Excel (Software) social network analysis social networks University Of Maine At Augusta (College/University) mmult Matrix Multiplication (Literature Subject) Fortune 500 affiliation matices</t>
  </si>
  <si>
    <t>data science big data social media analytics social network</t>
  </si>
  <si>
    <t>Big Think BigThink BigThink.com Education Educational Lifelong Learning EDU Sociology Medicine Floating University Harvard Medical Network Social Suicide</t>
  </si>
  <si>
    <t>SSRI Duke University Education EHD Module social network sociology social science history SNA political science network connections Facebook Twitter LinkedIn Social Network Analysis (Interest) Visual</t>
  </si>
  <si>
    <t>gephi social network analysis adjacency list adjacency matrix pajek conversion</t>
  </si>
  <si>
    <t>SSRI Duke University social science research education EHD module Social network analysis graph code introduction intro dnac duke university ssri social science institute directed undirected edge arc weight loop layout data edgelist adjacency matrix igraph spring energy cluster centrality degree betweenness eigenvector closeness</t>
  </si>
  <si>
    <t>data science Social networks social network analysis turing the alan turing institute bernie hogan oxfod internet institute social science</t>
  </si>
  <si>
    <t>Data mining R programming Probability Statistics Programming</t>
  </si>
  <si>
    <t>fortnite fortnitebr fortnite battle royale mrfreshasian mr fresh asian fresh fortnite battle royale challenge meme popup</t>
  </si>
  <si>
    <t>fortnite fortnite battle royale fortnite gameplay fortnite chapter 2 season 3 challenge epic mccreamy new update memes funny moments glitches aimbot hacking cheating funny video games gaming games skins fortnite aimbot fortnite cheater fortnite daily moments fortnite best plays fortnite best fortnite daily fortnite challenges fortnite moments season 12 face reveal 24 hours lazarbeam tournament fncs cup win mythic hunting rifle sniper sniping xd xd clan</t>
  </si>
  <si>
    <t>google howto learning rules anomaly detection</t>
  </si>
  <si>
    <t>fortnite fortnite season 3 fortnite blaze skin renegade raider</t>
  </si>
  <si>
    <t>kay fazekay faze kay jarvis little brother pg family vlogs faze jarvis little brother jarvis faze house faze house fazejarvis faze clan fazeclan world's strongest strongest world's fastest tallest strong man strongest man eating food vs challenge who can punch the hardest bradley martin gym sports olympics stength test</t>
  </si>
  <si>
    <t>Network Science Social Network Analysis Digital Marketing</t>
  </si>
  <si>
    <t>kinetic art moving art contemporary art kinetic object kinetica kinetic sculpture chaos order willem van weeghel</t>
  </si>
  <si>
    <t>html animated background Tutorial CSS layer position tutorial animate html5 flash movie cartoon css javascript howto learn web design development online free adobe Animation Photoshop Fireworks education Flash Animation Adobe Flash javascript animation flashbuilding</t>
  </si>
  <si>
    <t>advizor solutions data visualization tools visual analysis data visualization visual analysis tools interactive data visualization data analysis predictive analytics</t>
  </si>
  <si>
    <t>math integer factoring visualization gephi</t>
  </si>
  <si>
    <t>Big Data Film (Invention)</t>
  </si>
  <si>
    <t>leadership distance learning Structure (Field Of Study) free online learning Organizational Studies (Field Of Study) marketing organizational theory</t>
  </si>
  <si>
    <t>Correlation R (Programming Language) Analysis</t>
  </si>
  <si>
    <t>graph data random</t>
  </si>
  <si>
    <t>WekaMOOC Weka data mining computer science University of Waikato Waikato MOOC</t>
  </si>
  <si>
    <t>Microsoft Excel (Software) autofill automatic numbers headers numbers dates ascending descending order rows columns</t>
  </si>
  <si>
    <t>Fibronectin Bacteria Molecular Dynamics Scientific Visualization Hertig Visualizations Sam Hertig VMD Autodesk Maya</t>
  </si>
  <si>
    <t>UI Research Patina</t>
  </si>
  <si>
    <t>solarwinds network performance monitor solarwinds npm npm network monitoring</t>
  </si>
  <si>
    <t>Microsoft Excel (Software) Karl Pearson Correlation Data Analysis Toolpak Excel Analytics LearnAnalytics Correlation Matrix Video Training Online Training Data Mining Analytics Analytics Training Central Management Technology Office</t>
  </si>
  <si>
    <t>instalação nodexl download guia tutorial</t>
  </si>
  <si>
    <t>amixem humour delire voleurs les pires chris crew vol effraction arrestation criminels cambriolage épisode 2</t>
  </si>
  <si>
    <t>child friendly family friendly kid friendly jelly minecraft pigtown survival troll cheat funny game games gaming mine craft minecraft troll invisible new I Found A CHEATING LEVER In MINECRAFT</t>
  </si>
  <si>
    <t>son trai tieu manh chu thuyet minh sơn trại tiểu manh chủ thái tử phi giả mạo phim hot nhat 2020 phim ngon tinh hay phim bộ trung quốc sơn trại tiểu manh chủ thuyết minh phim hay 2020 phim hay thuyet minh phim bo trung quoc 2020 phim ngôn tình chuyển thể phim thuyet minh ngon tinh son trai tieu manh chu</t>
  </si>
  <si>
    <t>Análisis de Facebook Análisis de Linkedin Análisis de Redes Análisis de Twitter Betweenness Centrality Closeness Centrality Clusterización Eigenvector Centrality facebook GDF Gephi Gephi Facebook Gephi Linkedin Gephi Twitter Gephi.org grafo Grafo de Facebook Grafo de Linkedin Grafo de Twitter Milgram Nodos redes sociales twitter Análisis Facebook Análisis Linkedin Análisis Redes Sociales Análisis Twitter</t>
  </si>
  <si>
    <t>learn network analysis learn network analysis for free learn machine learning learn machine learning for free network analysis tutorial network analysis free tutorial what is modularity?. machine learning free tutorial machine learning tutorial clustering analysis tutorial supervised learning unsupervised learning data analysis excel yt:cc=on analysis de redes 네트워크 분석 모듈성</t>
  </si>
  <si>
    <t>Lada 1</t>
  </si>
  <si>
    <t>NodeXL SNA Social Media Social Network Network Visualization Graph Map Chart Automate NodeXL Pro</t>
  </si>
  <si>
    <t>Graph Twecoll Software</t>
  </si>
  <si>
    <t>gephi visualization data journalism Data Visualization (Industry) network Social Network (Method Of Infectious Software Transmission)</t>
  </si>
  <si>
    <t>grafo matriz insumo producto MIP</t>
  </si>
  <si>
    <t>Gephi Intro Excel CSV Import importar exportar export basics networking networks software redes red</t>
  </si>
  <si>
    <t>gephi twitter archiving</t>
  </si>
  <si>
    <t>Gephi Apariencia Atributos Sociograma Netvizz ARS</t>
  </si>
  <si>
    <t>fabio ricotta fabio ricota marketing digital marketing Monitoramento em Redes Sociais mídias sociais relacionamento com o cliente twitter facebook youtube ferramentas de monitoramento hootsuite scup</t>
  </si>
  <si>
    <t>Graphviz java</t>
  </si>
  <si>
    <t>Node npm node.js nodejs windows como instalar react web development desenvolvimento web tecnologia futuro da web SPA</t>
  </si>
  <si>
    <t>sidemen sidemen sunday #sidemensunday sidemen mukang mukbang calorie challenge ksi w2s</t>
  </si>
  <si>
    <t>SATIRE</t>
  </si>
  <si>
    <t>analyze facebook 2016 Youtube facebook analyze stats Google facebook stats analysis 2015 facebook facebook data data extraction Myspace data extraction tutorial Hack analyze facebook data Data (Website Category) facebook stats Messenger Account data analysis tutorial Facebook (Award-Winning Work) statistical analysis facebook data 2016 Website (Industry) x98zu1 Computer Science (Field Of Study)</t>
  </si>
  <si>
    <t>3510 6510</t>
  </si>
  <si>
    <t>Universidade Federal Do Espírito Santo ucinet network Social Network (Method Of Infectious Software Transmission)</t>
  </si>
  <si>
    <t>Graph Drawing Gephi (Software) Social Network Analysis Tutorial (Media Genre) Science (Journal) Analysis Of Algorithms (Field Of Study) Data Visualization (Industry) Data science Mathematics (Field Of Study) Media Studies (Field Of Study) Algorithm (Literature Subject) Social Network (Industry)</t>
  </si>
  <si>
    <t>Gephi (Software) Análise de redes sociais L3P</t>
  </si>
  <si>
    <t>UCINET</t>
  </si>
  <si>
    <t>network analysis network analysis tutorial gephi gephi tutorial gephi examples how to use gephi</t>
  </si>
  <si>
    <t>gephi graph analysis Graph Theory (Field Of Study) graph databases graph metrics betweeness centrality grafo análise de grafos bancos de dados de grafos métricas de grafo</t>
  </si>
  <si>
    <t>Social Network Analysis Java excel Gephi (Software) Software (Industry)</t>
  </si>
  <si>
    <t>Excel _complementos</t>
  </si>
  <si>
    <t>Link Analysis Link Chart Link visualization Social Network Analysis SNA Betweenness Closeness Degree Centrality Eigenvalue Hub Authority Sentinel Visualizer software program technology data counterterrorism investigations law enforcement database FMSASG data visualization</t>
  </si>
  <si>
    <t>social networks network analysis density ties nodes sociology explainer</t>
  </si>
  <si>
    <t>nonprofit class pittsburgh disability community support services social capital awareness community living and support services class pittsburgh Al condeluci sociogram</t>
  </si>
  <si>
    <t>gender crying women men cross-national cross-cultural google ngrams text books</t>
  </si>
  <si>
    <t>simple basic bivariate regression constant slope summed squared error r-squared means contingent means example voter turnout</t>
  </si>
  <si>
    <t>Welcome Coursera</t>
  </si>
  <si>
    <t>How-to (Website Category) Microsoft Word (Software) Google Docs (Software) concept map concept mapping university mind mapping University Of Maine At Augusta (College/University)</t>
  </si>
  <si>
    <t>Drawing (Interest) network analysis sociogram graph pagerank</t>
  </si>
  <si>
    <t>InfoPath 2010 electronic forms forms SharePoint 2010 SharePoint Designer Filler SharePoint List Items web part workflow workflow applications publish to SharePoint ribbon backstage view form templates form controls import forms Word Excel form parts xml training videos InfoPath Microsoft Excel Microsoft Word Microsoft SharePoint Software Office software tutorial</t>
  </si>
  <si>
    <t>community detection in networks datasets Zachary's karate club</t>
  </si>
  <si>
    <t>cluster analysis marketing Excel segmentation market segments how to step by step data mining k-means</t>
  </si>
  <si>
    <t>Gephi grouping</t>
  </si>
  <si>
    <t>twitter social network network data mining data visualization visualization gephi json social media</t>
  </si>
  <si>
    <t>NodeXL SNA Social Media Social Network Network Visualization Graph Map Chart #PDF17 Personal Democracy Forum</t>
  </si>
  <si>
    <t>NodeXL SNA Social Media Social Network Network Visualization Graph Map Chart Geo Geo map Location Plot PowerMap PowerBI Spatial</t>
  </si>
  <si>
    <t>NVivo 11 Twitter Twitter data data analysis #mentalhealthstigma social media Hermeneutic Phenomenological Analyzing Social Media tweet ncapture mental health Philip Adu</t>
  </si>
  <si>
    <t>captainsparklez captain sparklez lets play playthrough minecraft minecraft let's play custom map skyblock one block one block playthrough custom minecraft map minecraft skyblock</t>
  </si>
  <si>
    <t>nextaz</t>
  </si>
  <si>
    <t>thomas petrou petroutv hype house hype tik tok chase hudson alex warren thomas tik tok vlog the hype tik tok house tik toker</t>
  </si>
  <si>
    <t>cod warzone call of duty warzone worst gun in warzone best gun in warzone warzone famas build</t>
  </si>
  <si>
    <t>eBay eBay Kleinanzeigen</t>
  </si>
  <si>
    <t>CONAMED SSICONAMED Investigación metodología de la investigación investigación cualitativa análisis de contenidos NVivo</t>
  </si>
  <si>
    <t>Video Tutorial Yed Graph Editor</t>
  </si>
  <si>
    <t>historia del mundo 100 segundos aplicación Gephi Gephi Gareth Lloyd Tom Martin historia mundial eventos mundo eventos humanidad zonas activas Eventos Mundiales Explosiones de Colores Explosiones Colores grafo Gephi Grafo de Eventos Mundiales Grafo de Eventos Grafo Mundo Animación Visual Historia de la Humanidad Gephi Facebook Gephi Linkedin Gephi Twitter Grafo Facebook Grafo Twitter redes sociales Análisis Facebook Análisis Twitter</t>
  </si>
  <si>
    <t>VosViewer citation network Research HUB Bibliometric citation analysis network visualization network analysis literature review citation analysis Ziaul Haque Munim Scopus Elsevier Scientometrics science mapping vos viewer vosviewer tutorial vosviewer manual bibliometrics tutorial introduction to bibliometrics</t>
  </si>
  <si>
    <t>Node XL error facebook</t>
  </si>
  <si>
    <t>Sistemas Complejos complejidad Complex Systems (Field Of Study) Social network analysis Análisis de Redes Sociales redes sociales centralidad redes Network Theory Tutorial homofilia nodos y enlaces</t>
  </si>
  <si>
    <t>Microsoft Excel (Software) NodeXL Chart Computer Science (Field Of Study) Social Media (Website Category) Business</t>
  </si>
  <si>
    <t>fix the debt social networks social science sociology maine clustering coefficient triads triad census nodexl ucinet twitter hashtag social media digraph erdos-renyi forbidden triangle</t>
  </si>
  <si>
    <t>UCINET NetDraw tutorial ARS Análise de rede social</t>
  </si>
  <si>
    <t>Media X at Stanford University Stanford University Stanford University Media X Spring 2012 Marc A. Smith Social media NodeXL SMRF graphML social networks spigots network science open data open scholarship strong ties weak ties psychological geography Twitter STRATA conference Centrality Hubs Bridges Clusters crowds</t>
  </si>
  <si>
    <t>twitter chambers</t>
  </si>
  <si>
    <t>açık ders iletişim bilimleri anadolu üniversitesi twitter sosyal ağ analizi nodexl dağhan ırak</t>
  </si>
  <si>
    <t>stoksuz ticaret eticaret stoksuz eticaret dropshipping drop shipping</t>
  </si>
  <si>
    <t>ingilizce aksan nasıl yapılır ingilizce aksan nasıl geliştirilir amerikan aksanı ingilizce aksanı</t>
  </si>
  <si>
    <t>Egypt jan25 gephi dynamic_networks</t>
  </si>
  <si>
    <t>twitter mining with r mining with r mining tweets maching learning social media machine learning twitter tweets r twitteR RCurl search twitter social media data unstructured data text data</t>
  </si>
  <si>
    <t>nodexl relationship mapping network mapping microsoft excel prospect research fundraising analytics</t>
  </si>
  <si>
    <t>twitter royal wedding social network analysis verkostoanalyysi visualization media</t>
  </si>
  <si>
    <t>instagram link ekleme youtube link ekleme web sitesi link sosyal medyam whatsapp youtube facebook whatsapp durum instgram hikaye wplink.org instgram adresine whatsapp link ekleme instagram durum youtuber instagram hikaye komik video link ekleme instagram whatsapp link youtube premium youtube video indirici youtube video indir whatsapp business ios google play store whatsapp instagram hikaye link</t>
  </si>
  <si>
    <t>sadi evren seker bilişim bilgisayar mühendisliği yazılım akademi üniversite bilgisayar kavramları derin öğrenme deep learning görüntü işleme erhan abdullah erchan aptoula</t>
  </si>
  <si>
    <t>XPath (Internet Protocol) KNIME Software (Industry) veri bilimi veri madenciliği Şadi Evren ŞEKER Bilgisayar Kavramları</t>
  </si>
  <si>
    <t>speaking toefl ielts pte ingilizce konuşma ingilizce mülakat</t>
  </si>
  <si>
    <t>twitter archive search old tweets twitter history download twitter archive see old tweets download twitter history twitter history search search twitter archive how to see all your tweets twitter history tweets your twitter archive how to download twitter archive tweet archive how to download tweets download twitter data how to download all your tweets how to download twitter data twitter</t>
  </si>
  <si>
    <t>KNIME Weka (Software) Veri Madenciliği Data Mining</t>
  </si>
  <si>
    <t>Twitter Grammarly kolay para rezervasyon forex hotels otel tutorial education software berk kurt</t>
  </si>
  <si>
    <t>Weka (Software) türkçe eğitim data mining veri madenciliği</t>
  </si>
  <si>
    <t>Python3 Dersleri Python3 Programlama Python3 Programlama Dersleri Python3 Request Modülü Python3 BeautifulSoup Modülü Python3 İnternetten Veri Alma</t>
  </si>
  <si>
    <t>piramitlerin amacı giza piramitleri mısır piramitleri antik mısır piramitlerin içi Piramitlerin Gerçek Amacı Sonunda Keşfedildi ilginç BÜYÜK SIRLAR piramitler piramit murat evegü piramitler nasıl piramitler nasıl inşa edildi Piramitlerin Nasıl Piramitlerin Nasıl Yapıldığı Nasıl Yapıldığı firavun mısır firavunları firavun piratmitleri mumya piramit piramitlerde mumya piramitlerin boyu piramitleri piramitleri kim piramidi kim piramit taşları</t>
  </si>
  <si>
    <t>Twitter (Website) c# C# (Programming Language) Twitter Api TwitterApi Twitter Application with C# twitter c# bot</t>
  </si>
  <si>
    <t>sadi evren seker bilişim bilgisayar mühendisliği yazılım akademi üniversite</t>
  </si>
  <si>
    <t>kodkolik.net yazılımın yeni adresi kodkolik kodkolik eğitim setleri eğitim setleri kodkolik video videolar kodkolik kodkolik.net videolu dersler Veri Madenciliği Veri Madenciliği Dersleri Veri Madenciliği Eğitim Seti Veri Madenciliği Dersleri Serisi Veri Madenciliği(Excel - Karışık Örnekler) veri veri madenciliği eğitimi</t>
  </si>
  <si>
    <t>Tweetdeck twitter rt fav like</t>
  </si>
  <si>
    <t>Python3 Dersleri Python3 Programlama Dersleri Python3 Programlama Python3 Requests Python3 BeautifulSoup Python3 İnternetten Bilgi Çekmek</t>
  </si>
  <si>
    <t>KNIME Web Madenciliği Web Data Mining Veri Bilimi Veri Madenciliği Büyük Veri Big Data şadi evren ŞEKER bilgisayar kavramları</t>
  </si>
  <si>
    <t>twitter api python streaming tweets python stream tweets python stream live tweets python twitter api tutorial twitter stream python twitter and python api tweepy tutorial tweepy stream tweets tweepy python tweepy tutorial</t>
  </si>
  <si>
    <t>Big Big Data BigData Büyük Veri Dev Veri Veri Madenciliği Bussiness Intelligence BI İş Zekası İş Zeka Veri Data</t>
  </si>
  <si>
    <t>R PROGRAMLAMA SOSYAL AĞ ANALİZİ TWİTTER ANALİZİ KAMİL ÇELİK KAMİL ÇELİK PRODUCTIONS R İLE TWİTTER ANALİZİ</t>
  </si>
  <si>
    <t>maxqda maxqda twitter twitter analiz sosyal medya analiz maxqda sosyal medya maxqda 12 maxqda 12 twitter</t>
  </si>
  <si>
    <t>Veri Madenciliği Veri Bilimi Şadi Evren ŞEKER Proje Proje Seçimi Data Mining Proje Konusu proje konusu örnek proje proje adımları özellik çıkarımı web madenciliği metin madenciliği sosyal ağlar Bilgisayar Kavramları</t>
  </si>
  <si>
    <t>tirendaz akademi tirendaz python dersleri python nltk nltk kütüphanesi metin analizi metin madenciliği text analizi duygu analizi sentimental analysis text miningi veri madenciliği makine öğrenmesi yapay zeka veri analizi scikit learn python ile ne yapılır tensorflow dersleri derin öğrenme doğal dil işleme natural language processing data analysis deep learning machine learning nasıl yapılır python metin analizi python metin madenciliği</t>
  </si>
  <si>
    <t>twitter tweet eski tweet arama tweet arama tweet bulma eski tweet bulma revani nasil yapilir twitter giris</t>
  </si>
  <si>
    <t>excel örnekleri excel formülleri excel internetten veri alma excel dışveri excel web al excel webden veri alma excel döviz kurları excel güncellenen tablo Microsoft Excel (Software)</t>
  </si>
  <si>
    <t>ekim kaya ekim nazim kaya ekim nazim kaya nazim kaya ekim nazim dropshipping pasif gelir kaya online ekim nazım kaya nazım kaya nazım ekim kaya ekim nazım ekin nazım kaya online egitim ekim kaya dropshipping amazon dropshipping amazon ekim kaya amazon ekim nazım kaya amazon ekimkaya shopify ekimkaya kimdir dropshipping nedir ekim nazim kaya dropshipping</t>
  </si>
  <si>
    <t>sosyal ağ analizi veri toplama facebook anadolu üniversitesi iletişim bilimleri netvizz dağhan ırak</t>
  </si>
  <si>
    <t>KNIME Twitter (Award-Winning Work) sosyal ağ madenciliği metin madenciliği veri madenciliği Data Mining (Software Genre) Şadi Evren ŞEKER Bilgisayar Kavramları</t>
  </si>
  <si>
    <t>Research Innovation Technology Microsoft Research Ltd Computer Science Prototype Technology Demo Education NodeXL</t>
  </si>
  <si>
    <t>amico invisibile john scp intruso rosso scp siren head siren head lyon red ice 173 rosso laboratorio wgf laboratorio lyon scp intruso scp 4335 scp cico scp anna scp lyon 096 ita scp ita lyon scp scp SCP minecraft failcraft 2 failcraft due anna lyon misteri minecraft segreti minecraft minecraft ita minecraft ITA lyon minecraft pe minecraft lyon minecraft anna mcpe ITA FailCraft DUE scp giorgio storie del mistero parassita</t>
  </si>
  <si>
    <t>Social Network Analysis online education quantitative techniques data analytics</t>
  </si>
  <si>
    <t>YT TalksAtGoogle Shneiderman Ben</t>
  </si>
  <si>
    <t>Ali-G science technology techmology toilet ammon cunningham ammon cunningham utah utah tech emergine technology trends</t>
  </si>
  <si>
    <t>winrumors microsoft microsoft research research nui touch</t>
  </si>
  <si>
    <t>Sian</t>
  </si>
  <si>
    <t>Visio 2010 Visio 2010 Tutorial network diagram drawing data data field data graphics data link database link shape Excel spreadsheet Access Access database highlight highlight shape labels Microsoft Excel (Software) software tutorial Design</t>
  </si>
  <si>
    <t>Google Analytics</t>
  </si>
  <si>
    <t>Access 2003 MS Access databases research applications medicine software</t>
  </si>
  <si>
    <t>CITRIS UCB Technology Science Research Visualization Ben Shneiderman</t>
  </si>
  <si>
    <t>철구 BJ철구 아프리카철구 afreecaTV 아프리카TV BJ 비제이 인터넷방송 인터넷방송BJ유머방송 개그방송 유머영상 개그영상 게임영상 게임방송 꿀잼 웃긴영상 웃긴방송</t>
  </si>
  <si>
    <t>minecraft animation minecraft animation enchantedmob undertale way deeper down the stupendium frisk papyrus comic sans skelton undertale rap undertale song undertale minecraft to the bone gaster way deeper down minecraft enchantedmob undertale seth zamination 3a display sans and papyrus</t>
  </si>
  <si>
    <t>big data analytics</t>
  </si>
  <si>
    <t>Jasmin</t>
  </si>
  <si>
    <t>NodeXL Semantic Network Search Semantic Abstraction</t>
  </si>
  <si>
    <t>F Sharp (programming Language)</t>
  </si>
  <si>
    <t>Sega Genesis Jurassic Park Music Visitor's Center Centre</t>
  </si>
  <si>
    <t>Schema XML Excel conversion Mike Lively</t>
  </si>
  <si>
    <t>NodeXL SNA Social Media Social Network Network Visualization Graph Map Chart PowerMap BI Analytics GIS Geo</t>
  </si>
  <si>
    <t>chris bishop future computers tam dalyell prize lecture informatics edinburgh university</t>
  </si>
  <si>
    <t>The Art of Computer Programming</t>
  </si>
  <si>
    <t>gource software visualization git moodle drupal postgresql rails vlc linux</t>
  </si>
  <si>
    <t>predicting;data;wheat;agriculture;</t>
  </si>
  <si>
    <t>social network analysis sna centralization gephi</t>
  </si>
  <si>
    <t>PowerMaps Excel Excel Training Power Maps Excel Tips</t>
  </si>
  <si>
    <t>dataviz data visualisation data visualization gephi Twitter ausvotes social media social network analysis</t>
  </si>
  <si>
    <t>graph layout graph# graphsharp</t>
  </si>
  <si>
    <t>social network analysis social business design</t>
  </si>
  <si>
    <t>network network science infovis visualization visual analytics graph graph viz graph theory complex network software open source science</t>
  </si>
  <si>
    <t>twitter marketing tool data analysis big data what is bi big data big analytics visualization software business intelligence analyst analytic dashboards big data discovery data visualizations what is social media social media for brands what is branding customer satisfaction analysis datameer big data analytics tutorial</t>
  </si>
  <si>
    <t>Network network theory network science network analysis networks complexity complex systems complexity science graph theory graph mathematics mathematical model connectivity connections network dynamics dynamics evolution network evolution network growth dynamic networks</t>
  </si>
  <si>
    <t>gephi</t>
  </si>
  <si>
    <t>spss syntax sociology social networks Tilburg University (Organization)</t>
  </si>
  <si>
    <t>Screencast-O-Matic.com methods</t>
  </si>
  <si>
    <t>rstudio R. twitter hastag no_code_code_club excel xlsx twitter_api api resign_is_fun</t>
  </si>
  <si>
    <t>social network analysis SNA network analysis data quantitative surveys network data analysis density reciprocity nodes degree centrality betweenness centrality UCINET NetDraw SNA software</t>
  </si>
  <si>
    <t>social media marketing digital marketing seo twitter facebook hashtags social media marketing social media tips social media tools</t>
  </si>
  <si>
    <t>CBW Cytoscape Network VIsualization</t>
  </si>
  <si>
    <t>social network analysis</t>
  </si>
  <si>
    <t>Operations Research (Field Of Study) Shortest Path Problem Research (Industry) Computer Science (Field Of Study) redes grafos pesquisa operacional</t>
  </si>
  <si>
    <t>algovidea simplex networks flow flujo red flow problems Simplex Algorithm (Algorithm)</t>
  </si>
  <si>
    <t>Rede Gephi Nitmateriais bibliometria</t>
  </si>
  <si>
    <t>DataMining 1</t>
  </si>
  <si>
    <t>microdados tutorial ibge inep</t>
  </si>
  <si>
    <t>Knime Data Mining (Software Genre) mineria de datos inteligencia de negocios Data (Website Category)</t>
  </si>
  <si>
    <t>\Marc Samet\ \Thinkmore Studios\ Google Facebook \Google analytics\ \social networks\ \network theory\ \six degrees of separation\</t>
  </si>
  <si>
    <t>manyeyes metodologia política análise de conteúdo software tutorial educational</t>
  </si>
  <si>
    <t>graph drawing motif simplification network visualization node-link diagram visual analytics ACM SIGCHI HCI</t>
  </si>
  <si>
    <t>TEA Ediciones Sociomet Sociométrico análisis sociométricos</t>
  </si>
  <si>
    <t>GG120 ArcGIS</t>
  </si>
  <si>
    <t>Graph YEd Tutorial Demo Free Flowchart Decision tree Microsoft Visio (Software) Alteranative Freeware</t>
  </si>
  <si>
    <t>gráficos excel gráfico gráficos excel 2016 gráfico de barra como fazer gráfico gráficos excel 2013 gráfico circular gráfico de pizza gráfico excel passo a passo como fazer gráfico de coluna no excel como fazer grafico de coluna no excel</t>
  </si>
  <si>
    <t>gis analise espacial instituto geoeduc arcgis estatistica</t>
  </si>
  <si>
    <t>Decision Science Or Management Science Maximisation Microsoft Excel programming Linear Excel Solver Microsft Excel Solver Microsoft Excel (Software) Optimization Solver Tutorial Solver Linear Programming Objective Function Ms Excel Solver Spreadsheet Optimization Microsoft Excel Solver LP Operations Research Constraints Ms Excel Solver Tutorial Optimisation tutorial</t>
  </si>
  <si>
    <t>excel add-in macros vba excel campus add ins addins excel add-ins how to add in excel how to install an excel add in</t>
  </si>
  <si>
    <t>demography social structure college undergraduate soc 101 introduction to sociology population pyramid</t>
  </si>
  <si>
    <t>NODEXL nodexl Nodexl kurulum NodeXL Sosyal ağ analizi Kurulum Ağ analizi</t>
  </si>
  <si>
    <t>Connectionism Semantic Network (Website Category) Semantics (Field Of Study)</t>
  </si>
  <si>
    <t>2-mode bipartite social networks social network analysis r project script affiliation matrix transformation csv import how-to university of maine at augusta</t>
  </si>
  <si>
    <t>data analysis text analysis semantic network digital methods wordij big data</t>
  </si>
  <si>
    <t>seo search engine optimization text mining analytics network analysis network visualization dataviz tna education science</t>
  </si>
  <si>
    <t>TEDS treatment episode data set data government statistics substance abuse</t>
  </si>
  <si>
    <t>R studio RedditExtractoR online methods social science</t>
  </si>
  <si>
    <t>LIWC tutorial text analysis natural language processing NLP</t>
  </si>
  <si>
    <t>Gephi (Software) Scientific literature Network analysis Visualization (Website Category)</t>
  </si>
  <si>
    <t>gephi gephi java gephi java installation GEPHI GEPHI java error gephi java not found gephi java configuration gephi jre not found gephi jdk not found java not found after installing gephi gephhhi gephi java gephi error gephi error cannot find java 1.8 or higher</t>
  </si>
  <si>
    <t>facepager Data (Website Category) Facebook (Award-Winning Work) Comma-Separated Values (File Format) api facebook graph</t>
  </si>
  <si>
    <t>SOCIOMETRIC SOCIOMETRIA SOCIOMETRIC CLASSIFICATION SICIOGRAM SOCIOGRAF</t>
  </si>
  <si>
    <t>Smarter Every Day Science Physics Destin Sandlin Education Math Smarter Every Day experiment nature demonstration slow motion slow motion education math science science education what is science Physics of projects experiments science projects weed eater weed wacker weed whipper strimmer whipper snipper weed eater line test Stihl husqvarna ryobi milwalkee dewalt craftsman oregon string trimmer line yard work lawn mower lawn grass lawncare lawn care</t>
  </si>
  <si>
    <t>PM Chalkboard Leading Software Maniacs PMI PMBOK Guide CamtasiaForMac project management matrix organization balanced organization functional organization</t>
  </si>
  <si>
    <t>IFRO Técnico em Finanças Análise de Risco Crédito</t>
  </si>
  <si>
    <t>motif simplification visual analytics network visualization node-link diagram graph drawing</t>
  </si>
  <si>
    <t>Social Network Analysis Software Social Network (Method Of Infectious Software Transmission)</t>
  </si>
  <si>
    <t>venezuela programas de gobierno text mining analisis del entorno</t>
  </si>
  <si>
    <t>Formation excel formation informatique cours excel Formation excel avancé complète microsoft office installer microsoft office pack office 2010 gratuit télécharger excel gratuit Microsoft Excel (Software) aznidi youssef fonction si excel aznidi excel formation excel fonction excel fonction recherchev fonction recherchev excel</t>
  </si>
  <si>
    <t>seo google enlaces internos posicionamiento buscadores Search Engine Optimization (Industry) Marketing</t>
  </si>
  <si>
    <t>Power BI Custom Visuals</t>
  </si>
  <si>
    <t>pnad censo ibge</t>
  </si>
  <si>
    <t>MAXQDA Software (Industry)</t>
  </si>
  <si>
    <t>tutorial principiantes excel planilha fibonacci iniciantes completo curso</t>
  </si>
  <si>
    <t>visualização facebook data visualiation redes</t>
  </si>
  <si>
    <t>faculdade</t>
  </si>
  <si>
    <t>configuração de rede ifconfig route dns Arch Linux Tutorial Computer curso linux</t>
  </si>
  <si>
    <t>MAXQDA MAX QDA qualitative data analysis research MAXQDA10 10 quantitative CAQDAS Computer assisted software transcription coding text interpretation content discourse grounded theory methodology organize project organizing management professional tutorial mixed methods software tutorial howto Help</t>
  </si>
  <si>
    <t>gráficos gráficos no excel excel 2010 média no excel gráficos com desvio cálculo de desvio padrão Microsoft Excel (Software) Chart Software (Industry)</t>
  </si>
  <si>
    <t>5G digital communication popular science</t>
  </si>
  <si>
    <t>netminer 넷마이너 사이람 cyram sna sns 소셜네트워크 소셜네트워크분석 net miner social network analysis</t>
  </si>
  <si>
    <t>MATLAB Simulink MathWorks MATLAB (Programming Language) Simulink (Software) The MathWorks (Business Operation) Graph</t>
  </si>
  <si>
    <t>edge list read from file networkx tutorials</t>
  </si>
  <si>
    <t>gephi network analysis digital humanities</t>
  </si>
  <si>
    <t>ego networks social networks egocentric networks</t>
  </si>
  <si>
    <t>social networks edge list matrix sociogram walkthrough</t>
  </si>
  <si>
    <t>Big Data Analytics SEM 8 Computer Engineering Infomation Technology Betweenness Centrality University of Mumbai Diploma MSBTE Engineering Graph Clique Community</t>
  </si>
  <si>
    <t>graph neo4j graph database Data Visualization (Industry) NoSQL (Software Genre) big data search explore</t>
  </si>
  <si>
    <t>social network analysis social networks density homophily distance geodesic degree centrality betweenness ego networks node tie social structure undergraduate University Of Maine At Augusta (College/University)</t>
  </si>
  <si>
    <t>excel index match tutorial index match match Index match how index match works how to use index match index formula excel complex lookup matrix lookup match function index match multiple criteria XelplusVis Advanced Excel Master Excel lookup Learn Excel Formulas Excel formulas Excel Tips Excel Tips and Tricks Best Excel Online Course Excel Advanced formulas Improve Excel skills Excel for analysts Microsoft Excel expert Leila Gharani</t>
  </si>
  <si>
    <t>Excel 2016 Bing maps</t>
  </si>
  <si>
    <t>Circuits Circuit Analysis Electronics Network Analysis Computer Physics (Field Of Study) Circuit Theory Electrical Engineering Arduino Linear Circuit Analysis Linear Circuits Electrical Network (Invention) Analog Technology Math KCL KVL Kirchhoff's Circuit Laws (Field Of Study) Superposition Voltage Source Current Source Voltage Divider Current Divider Nodal Analysis Loop Analysis Mesh Analysis Source Transformation Thevenin Norton Ohm's Law</t>
  </si>
  <si>
    <t>handbrake libdvdcss rip dvds copy-protected encrypted decrypt copy plex hard drive decode video free windows</t>
  </si>
  <si>
    <t>excel shortcuts excel tutorial excel tips excel excel advanced tips excel tips and tricks excel keyboard shortcuts keyboard shortcuts keyboard shortcuts in excel using excel using excel shortcuts shortcuts in excel using keyboard shortcuts in excel excel tricks excel basics using microsoft excel basic excel tutorial</t>
  </si>
  <si>
    <t>Facebook to Excel Facebook Friend List Facebook Data Import Facebook Data Export Facebook Data Export Facebook to Excel download data from facebook page download facebook data facebook post download download facebook information XL n CAD Excel Podcast Download Facebook Contact Download Facebook Email Id import facebook contacts to gmail export facebook contacts to excel export facebook contacts export facebook group members to csv</t>
  </si>
  <si>
    <t>เรื่องผี เรื่องหลอน นิทานผี นิทานหลอน เรื่องผีสยองขวัญ คืนเดือนมืด เรื่องสยองขวัญ BlackMoon animation การ์ตูน หลอน สยอง อนิเมชั่น มัธยม ประถม TheShock BlackMoonคืนเดือนมืด</t>
  </si>
  <si>
    <t>homophily travis hirschi age-crime curve crime criminology national crime victimization survey arrests victimization sociology</t>
  </si>
  <si>
    <t>network Pajek itl-207</t>
  </si>
  <si>
    <t>brownlee social dollywagon Influence jason media analysis network engine</t>
  </si>
  <si>
    <t>functionalism structural functionalism death causes of death health cdc statistics social problems harm institutions polls sociological imagination objectivism constructionism</t>
  </si>
  <si>
    <t>gigo garbage in garbage out ucinet social networks data quality errors nonsense how-to university</t>
  </si>
  <si>
    <t>Excel Network Diagram Network Diagrams</t>
  </si>
  <si>
    <t>gephi with raw data how to how Software Tutorial Software (Industry) quick tutorial short video</t>
  </si>
  <si>
    <t>CITRIS UCB Data Mining</t>
  </si>
  <si>
    <t>network yEd itl-207</t>
  </si>
  <si>
    <t>Project scheduling Monte-Carlo Simulation risk analysis</t>
  </si>
  <si>
    <t>graph theory graph network theory network analysis complexity complex systems mathematics model complexity theory network Math Theory (Quotation Subject) network science complexity science connectivity Network networks mathematical model connections</t>
  </si>
  <si>
    <t>queer queer theory gender relationships gender unicorn gender binary sociology university of maine at augusta</t>
  </si>
  <si>
    <t>excel install add-ins 2007 analysis toolpak solver regression t-stat anova office button</t>
  </si>
  <si>
    <t>Gephi Social Network Analysis Centrality 소셜 네트워크 중심성</t>
  </si>
  <si>
    <t>sociology coronavirus disasters social networks ripple effects estimation</t>
  </si>
  <si>
    <t>cdc centers for disease control statistics communicable diseases vaccination united states</t>
  </si>
  <si>
    <t>Graph data structure algorithm coding programming Graph Theory (Field Of Study) yt:cc=on</t>
  </si>
  <si>
    <t>social networks social network analysis coronavirus pandemic degree isolates cut points articulation points sociology social distancing social structural university of maine at augusta</t>
  </si>
  <si>
    <t>이수안 컴퓨터 연구소 SuanLab 엑셀 Excel 네이버 Naver VBA 매크로 크롤링 스크랩핑 Crawling Scraping</t>
  </si>
  <si>
    <t>sna Ucinet homphily</t>
  </si>
  <si>
    <t>com/soc 375 ucinet how to getting started matrix sociogram netdraw maine augusta uma undergraduate university college homework social networks networks</t>
  </si>
  <si>
    <t>retweet twitter gephi</t>
  </si>
  <si>
    <t>Data Visualization (Industry) Data (Website Category) Visualization (Website Category) Enron Dataset Enron Corpus Visualization Enron Big Data Visualization Big data Graph Visualization Data visualization tutorial qub computer science computer science queens university belfast communication network social network graph visualisation gephi gephi tutorial Enron corpus big data hadoop hadoop tutorial Java (Programming Language) understanding data</t>
  </si>
  <si>
    <t>spss social networks syntax Tilburg University (Organization) sociology</t>
  </si>
  <si>
    <t>Facebook (Award-Winning Work) Social Network Analysis (Interest) Social Networking Service (Website Category)</t>
  </si>
  <si>
    <t>Gephi Big Data Twitter Data Visualization</t>
  </si>
  <si>
    <t>network analysis social networks statistical learning statistical inference</t>
  </si>
  <si>
    <t>dalmooc moocs data analytics learning analytics social network analysis</t>
  </si>
  <si>
    <t>Social Network Analysis (Interest) Social Network (Industry) Network theory network science social network science social theory social analysis social science network analysis complex systems social systems sociology netowrks society social realtions systems science</t>
  </si>
  <si>
    <t>University of Michigan Coursera course Social Network Analysis Lada Adamic free online education</t>
  </si>
  <si>
    <t>ArcGIS Network Analysis</t>
  </si>
  <si>
    <t>twitter UC Berkeley ischool school of information marti hearst big data data science</t>
  </si>
  <si>
    <t>Networks Adjacency Matrix Lecture Libreoffice</t>
  </si>
  <si>
    <t>social network analysis data visualisation</t>
  </si>
  <si>
    <t>YG Entertainment YG 와이지 K-pop BLACKPINK 블랙핑크 블핑 제니 로제 리사 지수 Lisa Jisoo Jennie Rosé BLINK 블링크 How You Like That BLACKPINK How You Like That 블랙핑크 How You Like That HYLT BLACKPINK HYLT 블랙핑크 HYLT 블랙핑크 인기가요 BLACKPINK Inkigayo 블핑 인기가요 블핑 인가</t>
  </si>
  <si>
    <t>arc plot Circos plot Matrix Plot network visualization python network analysis datacamp datacamp network analysis network analysis visualization data science datacamp python data science python data science tutorial nxviz</t>
  </si>
  <si>
    <t>social networks r project visualization structure layout how to scripts university of maine at augusta undergraduate sociology</t>
  </si>
  <si>
    <t>social media twitter fizz bloom datavisualization graphics design screencast</t>
  </si>
  <si>
    <t>DBpedia Linked Data (Field Of Study) Google refine Research (Industry) Gephi Punk Punk Rock (Musical Genre) Band</t>
  </si>
  <si>
    <t>social network analysis gephi visualization gmail email viz</t>
  </si>
  <si>
    <t>data analysis Instagram co-hashtag digital methods gephi research Twitter network analysis</t>
  </si>
  <si>
    <t>sfld cytoscape</t>
  </si>
  <si>
    <t>IBM BigInights David Barnes jStart Hadoop Twitter big data analytics emerging technology Dave Barnes David Barnes Technology Evangelist david-barnes linkedin.com/in/david-barnes</t>
  </si>
  <si>
    <t>Research methods Social Network Analysis</t>
  </si>
  <si>
    <t>Social Network Analysis (Interest) Social Network (Industry) Centrality Computer Science (Field Of Study) Lecture (Type Of Public Presentation)</t>
  </si>
  <si>
    <t>ITL-207 networking Pajek</t>
  </si>
  <si>
    <t>facebook analytics</t>
  </si>
  <si>
    <t>Gephi Data visualization</t>
  </si>
  <si>
    <t>social network analysis centrality</t>
  </si>
  <si>
    <t>gephi network visualization social network analysis</t>
  </si>
  <si>
    <t>social network analysis graph visualization gephi</t>
  </si>
  <si>
    <t>Network Theory centrality eigenvector centrality network centrality Mathematics (Field Of Study) network science networks complexity science complexity complex systems graph theory graph Social Network (Industry) Network network theory network analysis mathematics mathematical model connectivity connections</t>
  </si>
  <si>
    <t>QlikView</t>
  </si>
  <si>
    <t>gephi social network analysis</t>
  </si>
  <si>
    <t>Power BI Power BI Custom Visuals Power BI Training Social Network Graph</t>
  </si>
  <si>
    <t>calvaland minecraft tarifa calvo nuevo integrante grefg thegrefg</t>
  </si>
  <si>
    <t>MTP Full Episodes Meet the Press full broadcast Chuck Todd NBC News Meet The Press today Meet the press full meet the press 6/28 MTP Full Interviews Politics 2020 Election Coronavirus us news world news donald trump white house coronavirus news nbc news top stories latest news second wave coronavirus spikes covid19 meet the press nbc news meet the press chuck todd coronavirus update white house news Bolton Cuomo Azar meet the press full trump</t>
  </si>
  <si>
    <t>roblox flamingo roblox albert flamingo funny roblox funny moments roblox funny</t>
  </si>
  <si>
    <t>emma chamberlain emma chambie vlog hair dying my hair hair transformation</t>
  </si>
  <si>
    <t>Perugia Journalism Festival Ijf13 Festival Del Giornalismo Giornalismo Journalism twitter api michael bauer</t>
  </si>
  <si>
    <t>Fortnite fortnite short film KIT FALLS IN LOVE JULES SAVES KIT KIT ORIGIN STORY RISE OF THE AUTHORITY fortnite season 3 fortnite chapter 2 season 3 kit in love jules eternal knight kit kitten skin aquaman fortnite aquaman the authority SHADOW GHOST SHADOW fortnite GHOST fortnite midas battle pass fortnite origin story season 3 battle pass chapter 2 season 3 fortnite fortnite chapter 3 new season fortnite brutus fortnite movie newscapepro</t>
  </si>
  <si>
    <t>API REST API What is an API? API Example Twitter's API Instagram's API</t>
  </si>
  <si>
    <t>subnets Computer Computer Science It VLAN routers</t>
  </si>
  <si>
    <t>MTP Full Interviews First Read Politics Meet the Press Andrew Cuomo Latest Stories Coronavirus Coronavirus - Politics 2020 Election us news world news donald trump white house coronavirus news nbc news top stories current events latest news second wave coronavirus spikes virus covid19 meet the press nbc news meet the press chuck todd opinion coronavirus update covid trump white house news Cuomo NY gov Cuomo interview Cuomo nbc news New York</t>
  </si>
  <si>
    <t>York University (Organization) Health TEDxYorkU Education (Word) Canada (Country) tedx Healthy Diet (Diet) ted TEDx How-to (Media Genre) ted x ted talks English Language (Human Language) Food tedx talk TEDxYorkU 2014 tedx talks ted talk</t>
  </si>
  <si>
    <t>osi model 720pH</t>
  </si>
  <si>
    <t>data analysis data visualization business dashboards business intelligence tableau tableau software 3minwin 3 minute win twitter</t>
  </si>
  <si>
    <t>R project igraph csv import edge list adjacency matrix social network script</t>
  </si>
  <si>
    <t>cookie privacy digital governance online digital web analytics adversitement Marketing Google</t>
  </si>
  <si>
    <t>Software-defined Networking SDN Explainer</t>
  </si>
  <si>
    <t>Twitter Twitter tips twitter tricks twitter tools twitter for teachers using twitter twitter for dummies twitter tutorial how to use twitter how to use twitter as a teacher effective twitter</t>
  </si>
  <si>
    <t>KeyLines visualization network visualization graph databases hangouts on air</t>
  </si>
  <si>
    <t>Microsoft MSR Netscan Usenet Online Community Community Social Media Threads Conversations</t>
  </si>
  <si>
    <t>Gephi Social Media Marketing Social Network Analyse Software Tutorial Facebook Netzwerkanalyse christian-mehler.de christian mehler</t>
  </si>
  <si>
    <t>network Cytoscape itl-207</t>
  </si>
  <si>
    <t>Gary Bader Network Visualization Cytoscape Human Genetics Biostatistics UCLA</t>
  </si>
  <si>
    <t>time visualization link analysis dynamic graphs graph visualization</t>
  </si>
  <si>
    <t>iMovie</t>
  </si>
  <si>
    <t>twitter</t>
  </si>
  <si>
    <t>sna ars gephi tutorial análisis de redes sociales</t>
  </si>
  <si>
    <t>network analysis networks natural resources management knowledge</t>
  </si>
  <si>
    <t>network visualization gephi nodexl</t>
  </si>
  <si>
    <t>Visualization (Website Category) Cloud Computing (Industry) Speedrun (Website Category)</t>
  </si>
  <si>
    <t>Database Design ERD Crow's foot data modeling model Systems Analysis (Literature Subject)</t>
  </si>
  <si>
    <t>Gephi Social Network Analysis SNA Introduction</t>
  </si>
  <si>
    <t>MATLAB Simulink MathWorks Deep Learning 畳み込みニューラルネットワーク CNN ディープラーニング 入門 ディープラーニング 深層学習 deep learning 局所受容野 共有された重みとバイアス 活性化とプーリング 転移学習 ディープラーニング アルゴリズム 画像認識 物体検出 物体検知 物体認識 オブジェクト検出 オブジェクト検知 オブジェクト認識 ニューラルネットワーク 機械学習 machine learning 画像処理 コンピュータビジョン 人工知能 AI 深度学习 卷积神经网络</t>
  </si>
  <si>
    <t>Data Data Science Predictive Analytics Data Visualization Analytics Business Analytics</t>
  </si>
  <si>
    <t>how to use excel learn excel online excel tutorial free tutorials on excel microsoft excel help excel tutorial dvd Microsoft Excel Instructions Tricks Howto Tips</t>
  </si>
  <si>
    <t>Social Network Analysis Innovation Connected Leadership Strategy Business Networks Optimice</t>
  </si>
  <si>
    <t>Visualization (Website Category) ucinet netdraw Steve Borgatti social network analysis</t>
  </si>
  <si>
    <t>Gephi Graph Streaming Social-Network-Analysis</t>
  </si>
  <si>
    <t>alteryx data blending advanced analytics Customer Analytics Spatial Analytics Big Data Analysis Geo Spatial Analysis Customer Intelligence Business Analytics Strategic Analytics tableau analytics qlik analytics retail analytics Hadoop analytics customer churn analytics visual analytics salesforce analytics health care analytics merchandizing analytics data preparation</t>
  </si>
  <si>
    <t>dedoose data quantitative qualitative tutorial software research mixed methods</t>
  </si>
  <si>
    <t>cluster analysis Excel segmentation spreadsheet marketing</t>
  </si>
  <si>
    <t>Gephi Social Network Analysis SNA Uploading data Self loops</t>
  </si>
  <si>
    <t>Teacher Thedz Thedz Alarte tarpapel in excel how to make tarpapel tarpapel tutorial tarpapel in microsoft word tarpapel in publisher paano gumawa ng tarpapel sa excel paano gumawa ng tarpapel sa microsoft word paano gumawa ng tarpapel sa publisher how to make tarpapel in excel tarpapel in excel text tarpapel in excel 2016 tarpapel in excel 2010</t>
  </si>
  <si>
    <t>graphstream graph dynamic complex networks software</t>
  </si>
  <si>
    <t>excel 2016 excel basics how to use excel excel excel how to beginning excel level 1 excel excel level 1 basic excel learning excel basics learn excel basics learn basic excel help with excel excel help excel for dummies excel for dummys learn excel using excel beginner's excel how to use exel beginner's guide to microsoft excel ms excel for dummies</t>
  </si>
  <si>
    <t>Un Poco De Todo</t>
  </si>
  <si>
    <t>Orientador Movil</t>
  </si>
  <si>
    <t>Agencia de Marketing Online en Madrid - NeoAttack</t>
  </si>
  <si>
    <t>Programación Fácil ,SEO y Marketing</t>
  </si>
  <si>
    <t>Piero Alejandro Pajares Orihuela</t>
  </si>
  <si>
    <t>Pesquisa &amp; Jogos</t>
  </si>
  <si>
    <t>Larry Lugo</t>
  </si>
  <si>
    <t>Cesar moreno pascual</t>
  </si>
  <si>
    <t>BD Guidance</t>
  </si>
  <si>
    <t>Socialancer</t>
  </si>
  <si>
    <t>Shaun Kellogg</t>
  </si>
  <si>
    <t>Marc Smith</t>
  </si>
  <si>
    <t>Elsevier</t>
  </si>
  <si>
    <t>James Cook</t>
  </si>
  <si>
    <t>ryantatenichols</t>
  </si>
  <si>
    <t>Gephi</t>
  </si>
  <si>
    <t>vedium</t>
  </si>
  <si>
    <t>I Johar</t>
  </si>
  <si>
    <t>jengolbeck</t>
  </si>
  <si>
    <t>Be Val</t>
  </si>
  <si>
    <t>xxYjYxx</t>
  </si>
  <si>
    <t>K Alliance</t>
  </si>
  <si>
    <t>dataminingincae</t>
  </si>
  <si>
    <t>ExcelIsFun</t>
  </si>
  <si>
    <t>Doug H</t>
  </si>
  <si>
    <t>Funcionarios Eficientes</t>
  </si>
  <si>
    <t>United Computers</t>
  </si>
  <si>
    <t>Saber Programas</t>
  </si>
  <si>
    <t>tuuber</t>
  </si>
  <si>
    <t>Joe James</t>
  </si>
  <si>
    <t>Aditya Bankar</t>
  </si>
  <si>
    <t>Derek Hansen</t>
  </si>
  <si>
    <t>Don Forsyth</t>
  </si>
  <si>
    <t>Kyrion100</t>
  </si>
  <si>
    <t>agconway</t>
  </si>
  <si>
    <t>Planetizen Courses</t>
  </si>
  <si>
    <t>Paul Xu</t>
  </si>
  <si>
    <t>michaeljmcguffin</t>
  </si>
  <si>
    <t>Kai-Wen Hsiung</t>
  </si>
  <si>
    <t>koth55</t>
  </si>
  <si>
    <t>suresh sood</t>
  </si>
  <si>
    <t>Newcom Research &amp; Consultancy</t>
  </si>
  <si>
    <t>Matt M</t>
  </si>
  <si>
    <t>Harkive</t>
  </si>
  <si>
    <t>Dr. Zubair Mohamed</t>
  </si>
  <si>
    <t>Privacy and Security in Online Social Media</t>
  </si>
  <si>
    <t>Leonid Zhukov</t>
  </si>
  <si>
    <t>Stat Pharm</t>
  </si>
  <si>
    <t>Thomas Grund</t>
  </si>
  <si>
    <t>IBM Analytics Learning Services</t>
  </si>
  <si>
    <t>Indzara</t>
  </si>
  <si>
    <t>StudyByTech</t>
  </si>
  <si>
    <t>marketingprofessor</t>
  </si>
  <si>
    <t>Jess Kropczynski</t>
  </si>
  <si>
    <t>Sosyal Ağ Analizi</t>
  </si>
  <si>
    <t>Data Science Enthusiast</t>
  </si>
  <si>
    <t>Social Media Research Foundation</t>
  </si>
  <si>
    <t>科技部數位人文籌畫小組</t>
  </si>
  <si>
    <t>Tu COSMOPOLIS</t>
  </si>
  <si>
    <t>Martin Zh</t>
  </si>
  <si>
    <t>Netlytic</t>
  </si>
  <si>
    <t>Found Goody</t>
  </si>
  <si>
    <t>Prospect Research Institute</t>
  </si>
  <si>
    <t>Mahesh Babu</t>
  </si>
  <si>
    <t>謝章升</t>
  </si>
  <si>
    <t>數位人文概論國立臺灣大學圖書資訊學系</t>
  </si>
  <si>
    <t>Martin Hawksey</t>
  </si>
  <si>
    <t>The Tonight Show Starring Jimmy Fallon</t>
  </si>
  <si>
    <t>AceWIGProductions</t>
  </si>
  <si>
    <t>summersocialwebshop</t>
  </si>
  <si>
    <t>Dinesh Kumar Takyar</t>
  </si>
  <si>
    <t>TFIglobal</t>
  </si>
  <si>
    <t>LearnAllYouCan</t>
  </si>
  <si>
    <t>Global Power BI User Group</t>
  </si>
  <si>
    <t>Dr Alan Shaw</t>
  </si>
  <si>
    <t>HowTo</t>
  </si>
  <si>
    <t>eHowTech</t>
  </si>
  <si>
    <t>Machine Love Us</t>
  </si>
  <si>
    <t>whatsQ Official</t>
  </si>
  <si>
    <t>Volodymyr Miz</t>
  </si>
  <si>
    <t>Sele Training</t>
  </si>
  <si>
    <t>Polinode</t>
  </si>
  <si>
    <t>Kenneth A. Rethmeier, DrPH</t>
  </si>
  <si>
    <t>Tigerman root</t>
  </si>
  <si>
    <t>Eric</t>
  </si>
  <si>
    <t>قناة آية الثقافية</t>
  </si>
  <si>
    <t>Mika Laiti</t>
  </si>
  <si>
    <t>freeCodeCamp.org</t>
  </si>
  <si>
    <t>Awesometrics</t>
  </si>
  <si>
    <t>Sentiment Analysis</t>
  </si>
  <si>
    <t>ritvikmath</t>
  </si>
  <si>
    <t>Tulio Kahn</t>
  </si>
  <si>
    <t>MAXQDA VERBI</t>
  </si>
  <si>
    <t>MageeComm</t>
  </si>
  <si>
    <t>Dr. Bharatendra Rai</t>
  </si>
  <si>
    <t>Story by Data</t>
  </si>
  <si>
    <t>Stevesie Data</t>
  </si>
  <si>
    <t>Amit Sharma</t>
  </si>
  <si>
    <t>傑全</t>
  </si>
  <si>
    <t>t03238</t>
  </si>
  <si>
    <t>吳欣潓 二胡 陶笛 瑜伽</t>
  </si>
  <si>
    <t>sognatriceThebest</t>
  </si>
  <si>
    <t>aicmlmedia</t>
  </si>
  <si>
    <t>NS2 Simulator Projects</t>
  </si>
  <si>
    <t>CBlissMath</t>
  </si>
  <si>
    <t>Piyush Ramachandran</t>
  </si>
  <si>
    <t>LinkedIn Learning</t>
  </si>
  <si>
    <t>The Android Guy</t>
  </si>
  <si>
    <t>RANJI RAJ</t>
  </si>
  <si>
    <t>Chris Olson</t>
  </si>
  <si>
    <t>Software Tutorials</t>
  </si>
  <si>
    <t>Dragonfly Statistics</t>
  </si>
  <si>
    <t>Harmari by LTAS Technologies</t>
  </si>
  <si>
    <t>Sølve Dahl</t>
  </si>
  <si>
    <t>Dan Morrill</t>
  </si>
  <si>
    <t>etableutilities</t>
  </si>
  <si>
    <t>Eugene O'Loughlin</t>
  </si>
  <si>
    <t>The Power User</t>
  </si>
  <si>
    <t>sakitech</t>
  </si>
  <si>
    <t>Atlas 4 Dynamics</t>
  </si>
  <si>
    <t>BYU–Hawaii Learning Channel</t>
  </si>
  <si>
    <t>STAT 5302</t>
  </si>
  <si>
    <t>Amit Agarwal</t>
  </si>
  <si>
    <t>Mergers &amp; Inquisitions / Breaking Into Wall Street</t>
  </si>
  <si>
    <t>Stat302Videos</t>
  </si>
  <si>
    <t>Rachael Barlow</t>
  </si>
  <si>
    <t>SyntaxByte</t>
  </si>
  <si>
    <t>Hong Qin</t>
  </si>
  <si>
    <t>University of Adelaide IT Training</t>
  </si>
  <si>
    <t>How to do</t>
  </si>
  <si>
    <t>Sam Long</t>
  </si>
  <si>
    <t>Jean Pierre de Vries</t>
  </si>
  <si>
    <t>MarinStatsLectures-R Programming &amp; Statistics</t>
  </si>
  <si>
    <t>Beatriz Blodau</t>
  </si>
  <si>
    <t>Steve Borgatti</t>
  </si>
  <si>
    <t>Ralf Becker</t>
  </si>
  <si>
    <t>leckmich0815a</t>
  </si>
  <si>
    <t>星滙網Star Internet Radio Hong Kong</t>
  </si>
  <si>
    <t>漢唐翡翠珠寶 緬甸現場實況直播</t>
  </si>
  <si>
    <t>大衛Sir</t>
  </si>
  <si>
    <t>捨情忘愛</t>
  </si>
  <si>
    <t>蔡旻颯</t>
  </si>
  <si>
    <t>Co-op Club協力會</t>
  </si>
  <si>
    <t>banking ET</t>
  </si>
  <si>
    <t>구리리 Guriri</t>
  </si>
  <si>
    <t>Ke Jiang</t>
  </si>
  <si>
    <t>Deddy Corbuzier</t>
  </si>
  <si>
    <t>包子隊長</t>
  </si>
  <si>
    <t>高雄林小姐</t>
  </si>
  <si>
    <t>高雄歷史哥</t>
  </si>
  <si>
    <t>永安的心情二胡 YungAn's Erhu Fantasy</t>
  </si>
  <si>
    <t>毛嘉慶</t>
  </si>
  <si>
    <t>Check Your Assumptions</t>
  </si>
  <si>
    <t>Matt Macarty</t>
  </si>
  <si>
    <t>平民百姓</t>
  </si>
  <si>
    <t>PAPAYA 電腦教室</t>
  </si>
  <si>
    <t>Tableau 視覺化分析筆記</t>
  </si>
  <si>
    <t>Jacopo Cirrone</t>
  </si>
  <si>
    <t>Paradigma Digital</t>
  </si>
  <si>
    <t>5waraj</t>
  </si>
  <si>
    <t>telombardi</t>
  </si>
  <si>
    <t>Mod•U: Powerful Concepts in Social Science</t>
  </si>
  <si>
    <t>brianbritt87</t>
  </si>
  <si>
    <t>metodologiabrasil</t>
  </si>
  <si>
    <t>Radio Fenix Tv</t>
  </si>
  <si>
    <t>Jerry Banfield</t>
  </si>
  <si>
    <t>Coach2Coach</t>
  </si>
  <si>
    <t>edureka!</t>
  </si>
  <si>
    <t>Indian Pythonista</t>
  </si>
  <si>
    <t>Network Science Institute</t>
  </si>
  <si>
    <t>Daniel Pyrathon</t>
  </si>
  <si>
    <t>Brian Dick</t>
  </si>
  <si>
    <t>David Barov</t>
  </si>
  <si>
    <t>HackerRank</t>
  </si>
  <si>
    <t>Joshua Herbison</t>
  </si>
  <si>
    <t>Python Codex</t>
  </si>
  <si>
    <t>Natarajan Meghanathan</t>
  </si>
  <si>
    <t>High 5 Learning</t>
  </si>
  <si>
    <t>Joma Tech</t>
  </si>
  <si>
    <t>Chalmers Functional Programming Seminar Series</t>
  </si>
  <si>
    <t>TASA (The Australian Sociological Association)</t>
  </si>
  <si>
    <t>Harvard Ash Center</t>
  </si>
  <si>
    <t>Microsoft Research</t>
  </si>
  <si>
    <t>Avkash Chauhan</t>
  </si>
  <si>
    <t>prodfranciscan</t>
  </si>
  <si>
    <t>Francisco Marco-Serrano</t>
  </si>
  <si>
    <t>Alexandra Ott</t>
  </si>
  <si>
    <t>Durga Software Solutions</t>
  </si>
  <si>
    <t>Grzegorz Gałęzowski</t>
  </si>
  <si>
    <t>Aphmau</t>
  </si>
  <si>
    <t>Brawadis</t>
  </si>
  <si>
    <t>pierson</t>
  </si>
  <si>
    <t>Peter Sheridan Dodds</t>
  </si>
  <si>
    <t>Billy Kerr</t>
  </si>
  <si>
    <t>Lily Popova Zhuhadar</t>
  </si>
  <si>
    <t>Tobias Isenberg</t>
  </si>
  <si>
    <t>Nat Dunn</t>
  </si>
  <si>
    <t>Keith P. Jolley</t>
  </si>
  <si>
    <t>Hamid Darvish</t>
  </si>
  <si>
    <t>SuperScalise</t>
  </si>
  <si>
    <t>NeuroXL</t>
  </si>
  <si>
    <t>Chris Kimmer</t>
  </si>
  <si>
    <t>David Sherlock</t>
  </si>
  <si>
    <t>Collins Key</t>
  </si>
  <si>
    <t>BureauForFreshness</t>
  </si>
  <si>
    <t>TiffwithMi</t>
  </si>
  <si>
    <t>Grupo Sentimento TV</t>
  </si>
  <si>
    <t>Jessé Rodrigues - Escola do Marketing Digital</t>
  </si>
  <si>
    <t>Christian Vallejos</t>
  </si>
  <si>
    <t>SuperDataScience</t>
  </si>
  <si>
    <t>Hitesh Choudhary</t>
  </si>
  <si>
    <t>Programa de Iniciação Cientifica da OBMEP</t>
  </si>
  <si>
    <t>Skooter Blog</t>
  </si>
  <si>
    <t>Joseph Channel</t>
  </si>
  <si>
    <t>Laércio Vasconcelos LVC Computação Ltda.</t>
  </si>
  <si>
    <t>MARCELO FERRAZ</t>
  </si>
  <si>
    <t>Marco Pinheiro</t>
  </si>
  <si>
    <t>Benjamin Franklin</t>
  </si>
  <si>
    <t>The Virtual Linguistics Campus</t>
  </si>
  <si>
    <t>Mavens of London</t>
  </si>
  <si>
    <t>Rohit Dhankar</t>
  </si>
  <si>
    <t>DataCamp</t>
  </si>
  <si>
    <t>Ram Subramaniam</t>
  </si>
  <si>
    <t>Big Think</t>
  </si>
  <si>
    <t>The Alan Turing Institute</t>
  </si>
  <si>
    <t>InsiderMiner</t>
  </si>
  <si>
    <t>Fresh</t>
  </si>
  <si>
    <t>McCreamy</t>
  </si>
  <si>
    <t>GoogleTechTalks</t>
  </si>
  <si>
    <t>MrTop5</t>
  </si>
  <si>
    <t>SSundee</t>
  </si>
  <si>
    <t>FaZe Kay</t>
  </si>
  <si>
    <t>Bowen Zhang</t>
  </si>
  <si>
    <t>WillemVanWeeghel</t>
  </si>
  <si>
    <t>Tony Hirst</t>
  </si>
  <si>
    <t>Adam Khoury</t>
  </si>
  <si>
    <t>AdvizorSolutions</t>
  </si>
  <si>
    <t>Mike Carr</t>
  </si>
  <si>
    <t>saurabhschool</t>
  </si>
  <si>
    <t>Miracle Lens</t>
  </si>
  <si>
    <t>MeanThat</t>
  </si>
  <si>
    <t>Manuel Amunategui</t>
  </si>
  <si>
    <t>Max Woolf</t>
  </si>
  <si>
    <t>WekaMOOC</t>
  </si>
  <si>
    <t>TeachExcel</t>
  </si>
  <si>
    <t>Sam Hertig</t>
  </si>
  <si>
    <t>Autodesk Research</t>
  </si>
  <si>
    <t>QBS Software</t>
  </si>
  <si>
    <t>Learn Analytics</t>
  </si>
  <si>
    <t>Amixem</t>
  </si>
  <si>
    <t>Jelly</t>
  </si>
  <si>
    <t>MGTV Vietnam</t>
  </si>
  <si>
    <t>PC-SERVEIS, Presupuesto Web</t>
  </si>
  <si>
    <t>FIAN Research</t>
  </si>
  <si>
    <t>Brittany Kubinski</t>
  </si>
  <si>
    <t>Juan MC Larrosa</t>
  </si>
  <si>
    <t>Data J Lab</t>
  </si>
  <si>
    <t>cesarsantube</t>
  </si>
  <si>
    <t>José Alejandro De Souza</t>
  </si>
  <si>
    <t>Bill Wolff</t>
  </si>
  <si>
    <t>Fabio Ricotta</t>
  </si>
  <si>
    <t>IrisUs9</t>
  </si>
  <si>
    <t>Mateus Fernandes</t>
  </si>
  <si>
    <t>Sidemen</t>
  </si>
  <si>
    <t>PewDiePie</t>
  </si>
  <si>
    <t>Thomas Joslyn</t>
  </si>
  <si>
    <t>G Alan Davis</t>
  </si>
  <si>
    <t>Julio Bonella</t>
  </si>
  <si>
    <t>Martin Grandjean</t>
  </si>
  <si>
    <t>Laboratório de Políticas Públicas Participativas</t>
  </si>
  <si>
    <t>Robert Kuhl</t>
  </si>
  <si>
    <t>Fullstack Academy</t>
  </si>
  <si>
    <t>André Santanchè</t>
  </si>
  <si>
    <t>Khulisa Management Services</t>
  </si>
  <si>
    <t>KurozawaAkira</t>
  </si>
  <si>
    <t>FMSChannel</t>
  </si>
  <si>
    <t>Purvaja Balaji</t>
  </si>
  <si>
    <t>CLASS</t>
  </si>
  <si>
    <t>CourseraVideos</t>
  </si>
  <si>
    <t>Timothy Pratley</t>
  </si>
  <si>
    <t>PresentationChoices</t>
  </si>
  <si>
    <t>Rishu Sharma</t>
  </si>
  <si>
    <t>MktgStudyGuide</t>
  </si>
  <si>
    <t>Xuebin Wei</t>
  </si>
  <si>
    <t>Methodology Related Presentations - TCSPP</t>
  </si>
  <si>
    <t>CaptainSparklez</t>
  </si>
  <si>
    <t>NexTaz</t>
  </si>
  <si>
    <t>Thomas Petrou</t>
  </si>
  <si>
    <t>jackfrags</t>
  </si>
  <si>
    <t>unsympathischTV</t>
  </si>
  <si>
    <t>ssiconamed</t>
  </si>
  <si>
    <t>davutnfrba</t>
  </si>
  <si>
    <t>Jose Alberto Benítez Andrades</t>
  </si>
  <si>
    <t>Research HUB</t>
  </si>
  <si>
    <t>Francisco J. Romero-Campero</t>
  </si>
  <si>
    <t>Javier Barriuso</t>
  </si>
  <si>
    <t>Martin Hilbert</t>
  </si>
  <si>
    <t>EFREN ROMERO RIAÑO</t>
  </si>
  <si>
    <t>Pass Business Intelligence Virtual Group</t>
  </si>
  <si>
    <t>Web Science Trust</t>
  </si>
  <si>
    <t>Nicole Berroya</t>
  </si>
  <si>
    <t>Anne Duff</t>
  </si>
  <si>
    <t>Yang Song</t>
  </si>
  <si>
    <t>mediaXstanford</t>
  </si>
  <si>
    <t>Frank J. Kenny</t>
  </si>
  <si>
    <t>PyCon Israel</t>
  </si>
  <si>
    <t>Ekim Kaya</t>
  </si>
  <si>
    <t>Hüseyin Demirtaş ile İngilizce</t>
  </si>
  <si>
    <t>Sanal Gözcü</t>
  </si>
  <si>
    <t>André Panisson</t>
  </si>
  <si>
    <t>Jalayer Academy</t>
  </si>
  <si>
    <t>verkostoanatomia</t>
  </si>
  <si>
    <t>HABERİN VAR MI</t>
  </si>
  <si>
    <t>BilgisayarKavramlari</t>
  </si>
  <si>
    <t>Max Dalton</t>
  </si>
  <si>
    <t>BERKMENO</t>
  </si>
  <si>
    <t>Ertugrul Ergun</t>
  </si>
  <si>
    <t>Yazılım Bilimi</t>
  </si>
  <si>
    <t>Murat Evegü - FSA</t>
  </si>
  <si>
    <t>Enis Kurtay Yilmaz</t>
  </si>
  <si>
    <t>Kodkolik.Net | Yazılımın Yeni Adresi</t>
  </si>
  <si>
    <t>Emre KELEŞOĞLU</t>
  </si>
  <si>
    <t>LucidProgramming</t>
  </si>
  <si>
    <t>Carol Beth Anderson</t>
  </si>
  <si>
    <t>Bunlar Hep Teknoloji</t>
  </si>
  <si>
    <t>Kamil ÇELİK</t>
  </si>
  <si>
    <t>Buracademy</t>
  </si>
  <si>
    <t>Tirendaz Akademi</t>
  </si>
  <si>
    <t>yorumhane</t>
  </si>
  <si>
    <t>M. MUSTAFA BOLAT</t>
  </si>
  <si>
    <t>MSRC08</t>
  </si>
  <si>
    <t>WhenGamersFail ► Lyon</t>
  </si>
  <si>
    <t>John Heinrichs</t>
  </si>
  <si>
    <t>Talks at Google</t>
  </si>
  <si>
    <t>ScottCunningham</t>
  </si>
  <si>
    <t>Tom Warren</t>
  </si>
  <si>
    <t>MrBeast Gaming</t>
  </si>
  <si>
    <t>DrInfrastructor</t>
  </si>
  <si>
    <t>Google</t>
  </si>
  <si>
    <t>painpallcare</t>
  </si>
  <si>
    <t>CITRIS</t>
  </si>
  <si>
    <t>철구형 (CHULTUBE)</t>
  </si>
  <si>
    <t>EnchantedMob</t>
  </si>
  <si>
    <t>Keunhyun Oh</t>
  </si>
  <si>
    <t>TheHatman</t>
  </si>
  <si>
    <t>Michael Lively</t>
  </si>
  <si>
    <t>The University of Edinburgh</t>
  </si>
  <si>
    <t>Gource</t>
  </si>
  <si>
    <t>Christopher Hughes</t>
  </si>
  <si>
    <t>Andrew Lockwood</t>
  </si>
  <si>
    <t>jeangenie1970</t>
  </si>
  <si>
    <t>András Pálinkás</t>
  </si>
  <si>
    <t>jletourneau1</t>
  </si>
  <si>
    <t>GephiOrg</t>
  </si>
  <si>
    <t>Young Thomas Choi</t>
  </si>
  <si>
    <t>Datameer</t>
  </si>
  <si>
    <t>Systems Innovation</t>
  </si>
  <si>
    <t>dave cormier</t>
  </si>
  <si>
    <t>Erik van Ingen</t>
  </si>
  <si>
    <t>gregfulkerson</t>
  </si>
  <si>
    <t>Onesinus SPT</t>
  </si>
  <si>
    <t>PRERNA </t>
  </si>
  <si>
    <t>Social Sciences Research Laboratories (SSRL)</t>
  </si>
  <si>
    <t>Tool Highlight Tuesday</t>
  </si>
  <si>
    <t>Bioinformatics DotCa</t>
  </si>
  <si>
    <t>Washington Lemos</t>
  </si>
  <si>
    <t>Héctor Opazo</t>
  </si>
  <si>
    <t>NIT Materiais</t>
  </si>
  <si>
    <t>Ahmed Gedo</t>
  </si>
  <si>
    <t>Cristhian Narea 21</t>
  </si>
  <si>
    <t>TED-Ed</t>
  </si>
  <si>
    <t>Association for Computing Machinery (ACM)</t>
  </si>
  <si>
    <t>TEA Ediciones</t>
  </si>
  <si>
    <t>GISatMidd</t>
  </si>
  <si>
    <t>Perunamuusi</t>
  </si>
  <si>
    <t>Hashtag Treinamentos</t>
  </si>
  <si>
    <t>Instituto GEOeduc</t>
  </si>
  <si>
    <t>Piyush Shah</t>
  </si>
  <si>
    <t>Excel Campus - Jon</t>
  </si>
  <si>
    <t>Kaan Galatasaray</t>
  </si>
  <si>
    <t>East Tennessee State University</t>
  </si>
  <si>
    <t>Bernhard Rieder</t>
  </si>
  <si>
    <t>Nodus Labs</t>
  </si>
  <si>
    <t>James Pennebaker</t>
  </si>
  <si>
    <t>Scientific Literature Analysis</t>
  </si>
  <si>
    <t>Techno INDIA</t>
  </si>
  <si>
    <t>Mikro Graf Art d.o.o. podjetje</t>
  </si>
  <si>
    <t>SmarterEveryDay</t>
  </si>
  <si>
    <t>SoftwareManiacLSM</t>
  </si>
  <si>
    <t>IFRO Porto Velho Zona Norte</t>
  </si>
  <si>
    <t>Cody Dunne</t>
  </si>
  <si>
    <t>Youssef Aznidi</t>
  </si>
  <si>
    <t>José B. Moreno Suárez</t>
  </si>
  <si>
    <t>Desktop Data Crunching</t>
  </si>
  <si>
    <t>GMAP UNISINOS - Grupo de Pesquisa em Modelagem para Aprendizagem</t>
  </si>
  <si>
    <t>reboeiras</t>
  </si>
  <si>
    <t>Carambola Videos</t>
  </si>
  <si>
    <t>Eduardo Oliveira</t>
  </si>
  <si>
    <t>Rodrigo Mello</t>
  </si>
  <si>
    <t>Sérgio</t>
  </si>
  <si>
    <t>Communication Systems, Linköping University, LIU</t>
  </si>
  <si>
    <t>CyramNetminer</t>
  </si>
  <si>
    <t>MATLAB</t>
  </si>
  <si>
    <t>pennlibraries</t>
  </si>
  <si>
    <t>Anuradha Bhatia</t>
  </si>
  <si>
    <t>Linkurious</t>
  </si>
  <si>
    <t>Vlad A</t>
  </si>
  <si>
    <t>Leila Gharani</t>
  </si>
  <si>
    <t>John McCulloch</t>
  </si>
  <si>
    <t>Géo Tech</t>
  </si>
  <si>
    <t>Solid State Workshop</t>
  </si>
  <si>
    <t>LinuxTechShow</t>
  </si>
  <si>
    <t>Technology for Teachers and Students</t>
  </si>
  <si>
    <t>Ajay Anand</t>
  </si>
  <si>
    <t>BlackMoon</t>
  </si>
  <si>
    <t>Dollywagon1</t>
  </si>
  <si>
    <t>mooring10</t>
  </si>
  <si>
    <t>Anirudh Bhargava</t>
  </si>
  <si>
    <t>Dr. Chachrist Srisuwanrat</t>
  </si>
  <si>
    <t>이원경</t>
  </si>
  <si>
    <t>mycodeschool</t>
  </si>
  <si>
    <t>이수안컴퓨터연구소</t>
  </si>
  <si>
    <t>MVPH-EAD, Faculty of Veterinary and Agricultural Sciences, The University of Melbourne</t>
  </si>
  <si>
    <t>Darryl Lee</t>
  </si>
  <si>
    <t>Philip Starritt</t>
  </si>
  <si>
    <t>Sebastian Robledo</t>
  </si>
  <si>
    <t>Purdue University</t>
  </si>
  <si>
    <t>Data Analytics and Learning MOOC</t>
  </si>
  <si>
    <t>btrain1525</t>
  </si>
  <si>
    <t>Anders Larsolle</t>
  </si>
  <si>
    <t>Berkeley School of Information</t>
  </si>
  <si>
    <t>Peter Scargill</t>
  </si>
  <si>
    <t>Ahmet Kutsi Nircan</t>
  </si>
  <si>
    <t>Micheal Axelsen</t>
  </si>
  <si>
    <t>BLACKPINK</t>
  </si>
  <si>
    <t>Future Journalism Project Media Lab</t>
  </si>
  <si>
    <t>Ken Riopelle</t>
  </si>
  <si>
    <t>Digital Methods Initiative</t>
  </si>
  <si>
    <t>SFLDTutorials</t>
  </si>
  <si>
    <t>David Barnes – Communicating by Demonstrating</t>
  </si>
  <si>
    <t>methodsMcr</t>
  </si>
  <si>
    <t>Parth Acharya</t>
  </si>
  <si>
    <t>University of Kentucky Libraries</t>
  </si>
  <si>
    <t>QlikView Demos</t>
  </si>
  <si>
    <t>Pragmatic Works</t>
  </si>
  <si>
    <t>TheGrefg</t>
  </si>
  <si>
    <t>NBC News</t>
  </si>
  <si>
    <t>Flamingo</t>
  </si>
  <si>
    <t>emma chamberlain</t>
  </si>
  <si>
    <t>International Journalism Festival</t>
  </si>
  <si>
    <t>Wolfram</t>
  </si>
  <si>
    <t>NewScapePro 3 - Fortnite Shorts, Films &amp; Skits!</t>
  </si>
  <si>
    <t>WebConcepts</t>
  </si>
  <si>
    <t>Prescott Computer Guy</t>
  </si>
  <si>
    <t>TEDx Talks</t>
  </si>
  <si>
    <t>Eli the Computer Guy</t>
  </si>
  <si>
    <t>Tableau Software</t>
  </si>
  <si>
    <t>Digital Power</t>
  </si>
  <si>
    <t>plixerweb</t>
  </si>
  <si>
    <t>Cambridge Intelligence</t>
  </si>
  <si>
    <t>Clyde Phelix</t>
  </si>
  <si>
    <t>spaetzletube</t>
  </si>
  <si>
    <t>Computing Technologies Research Lab Streaming</t>
  </si>
  <si>
    <t>The Bigger Picture</t>
  </si>
  <si>
    <t>Mark Harwood</t>
  </si>
  <si>
    <t>Salvador Sánchez</t>
  </si>
  <si>
    <t>Stockholm Resilience Centre TV</t>
  </si>
  <si>
    <t>VisiTrend</t>
  </si>
  <si>
    <t>Michael Fudge</t>
  </si>
  <si>
    <t>Decisive Data</t>
  </si>
  <si>
    <t>GetGoing Tutorials</t>
  </si>
  <si>
    <t>OptimiceTV</t>
  </si>
  <si>
    <t>Alteryx</t>
  </si>
  <si>
    <t>Jim Knippenberg</t>
  </si>
  <si>
    <t>Jo-Ann Wong</t>
  </si>
  <si>
    <t>Thedz Alarte</t>
  </si>
  <si>
    <t>GraphStream</t>
  </si>
  <si>
    <t>2020-06-28T15:00:04Z</t>
  </si>
  <si>
    <t>2016-04-13T05:00:00Z</t>
  </si>
  <si>
    <t>2015-11-23T21:40:20Z</t>
  </si>
  <si>
    <t>2016-09-12T01:10:13Z</t>
  </si>
  <si>
    <t>2017-07-22T14:34:21Z</t>
  </si>
  <si>
    <t>2019-05-15T14:00:07Z</t>
  </si>
  <si>
    <t>2016-02-07T05:33:38Z</t>
  </si>
  <si>
    <t>2017-03-05T15:57:55Z</t>
  </si>
  <si>
    <t>2017-05-29T19:05:44Z</t>
  </si>
  <si>
    <t>2016-02-07T04:01:53Z</t>
  </si>
  <si>
    <t>2016-09-16T02:34:16Z</t>
  </si>
  <si>
    <t>2014-07-17T20:50:03Z</t>
  </si>
  <si>
    <t>2016-02-07T04:28:59Z</t>
  </si>
  <si>
    <t>2016-02-07T03:29:15Z</t>
  </si>
  <si>
    <t>2018-02-17T21:24:11Z</t>
  </si>
  <si>
    <t>2018-02-27T22:30:12Z</t>
  </si>
  <si>
    <t>2015-10-08T14:20:51Z</t>
  </si>
  <si>
    <t>2014-04-26T14:25:42Z</t>
  </si>
  <si>
    <t>2014-12-29T14:25:51Z</t>
  </si>
  <si>
    <t>2017-10-16T01:08:15Z</t>
  </si>
  <si>
    <t>2018-02-20T10:36:56Z</t>
  </si>
  <si>
    <t>2016-05-04T03:49:36Z</t>
  </si>
  <si>
    <t>2018-06-09T17:05:43Z</t>
  </si>
  <si>
    <t>2013-10-07T23:19:33Z</t>
  </si>
  <si>
    <t>2020-06-28T21:15:31Z</t>
  </si>
  <si>
    <t>2013-09-12T20:56:01Z</t>
  </si>
  <si>
    <t>2014-08-31T05:22:24Z</t>
  </si>
  <si>
    <t>2015-05-06T19:23:46Z</t>
  </si>
  <si>
    <t>2009-12-11T22:29:36Z</t>
  </si>
  <si>
    <t>2015-05-04T14:33:12Z</t>
  </si>
  <si>
    <t>2012-08-25T10:27:05Z</t>
  </si>
  <si>
    <t>2014-07-24T11:28:21Z</t>
  </si>
  <si>
    <t>2014-09-14T08:20:48Z</t>
  </si>
  <si>
    <t>2015-05-04T12:46:10Z</t>
  </si>
  <si>
    <t>2015-11-22T21:46:18Z</t>
  </si>
  <si>
    <t>2013-09-29T02:32:07Z</t>
  </si>
  <si>
    <t>2013-10-14T08:11:46Z</t>
  </si>
  <si>
    <t>2015-06-21T22:08:18Z</t>
  </si>
  <si>
    <t>2009-09-05T17:38:58Z</t>
  </si>
  <si>
    <t>2013-09-29T14:01:19Z</t>
  </si>
  <si>
    <t>2010-08-11T19:28:43Z</t>
  </si>
  <si>
    <t>2014-02-19T16:25:20Z</t>
  </si>
  <si>
    <t>2011-09-23T10:36:06Z</t>
  </si>
  <si>
    <t>2009-08-10T14:18:29Z</t>
  </si>
  <si>
    <t>2014-12-03T00:08:05Z</t>
  </si>
  <si>
    <t>2016-03-16T03:32:38Z</t>
  </si>
  <si>
    <t>2009-08-01T16:21:24Z</t>
  </si>
  <si>
    <t>2014-01-17T09:24:34Z</t>
  </si>
  <si>
    <t>2007-11-02T03:06:06Z</t>
  </si>
  <si>
    <t>2010-07-30T23:58:55Z</t>
  </si>
  <si>
    <t>2011-03-09T21:30:34Z</t>
  </si>
  <si>
    <t>2015-05-07T04:27:21Z</t>
  </si>
  <si>
    <t>2016-09-20T14:28:59Z</t>
  </si>
  <si>
    <t>2014-09-09T18:47:36Z</t>
  </si>
  <si>
    <t>2016-08-22T17:13:04Z</t>
  </si>
  <si>
    <t>2015-03-24T04:48:10Z</t>
  </si>
  <si>
    <t>2017-03-14T23:01:18Z</t>
  </si>
  <si>
    <t>2014-12-25T23:18:29Z</t>
  </si>
  <si>
    <t>2018-01-04T13:03:06Z</t>
  </si>
  <si>
    <t>2016-09-21T20:24:33Z</t>
  </si>
  <si>
    <t>2015-05-21T23:24:47Z</t>
  </si>
  <si>
    <t>2016-11-07T00:05:07Z</t>
  </si>
  <si>
    <t>2016-09-15T01:20:32Z</t>
  </si>
  <si>
    <t>2016-09-20T00:03:55Z</t>
  </si>
  <si>
    <t>2018-04-29T17:11:07Z</t>
  </si>
  <si>
    <t>2019-01-22T21:03:02Z</t>
  </si>
  <si>
    <t>2015-06-03T05:23:51Z</t>
  </si>
  <si>
    <t>2020-06-28T22:00:03Z</t>
  </si>
  <si>
    <t>2012-09-05T18:44:02Z</t>
  </si>
  <si>
    <t>2015-04-11T03:01:14Z</t>
  </si>
  <si>
    <t>2017-11-29T10:46:41Z</t>
  </si>
  <si>
    <t>2014-06-04T00:56:21Z</t>
  </si>
  <si>
    <t>2014-07-19T14:25:07Z</t>
  </si>
  <si>
    <t>2014-06-17T09:59:59Z</t>
  </si>
  <si>
    <t>2017-09-01T07:06:06Z</t>
  </si>
  <si>
    <t>2013-03-01T17:12:57Z</t>
  </si>
  <si>
    <t>2014-07-22T07:01:27Z</t>
  </si>
  <si>
    <t>2013-06-14T04:30:29Z</t>
  </si>
  <si>
    <t>2014-05-10T21:04:26Z</t>
  </si>
  <si>
    <t>2012-10-20T21:05:49Z</t>
  </si>
  <si>
    <t>2011-03-07T05:43:29Z</t>
  </si>
  <si>
    <t>2020-06-28T13:30:01Z</t>
  </si>
  <si>
    <t>2012-11-04T19:45:54Z</t>
  </si>
  <si>
    <t>2016-10-24T17:18:57Z</t>
  </si>
  <si>
    <t>2014-10-01T23:41:14Z</t>
  </si>
  <si>
    <t>2019-04-09T16:37:18Z</t>
  </si>
  <si>
    <t>2016-11-21T01:19:05Z</t>
  </si>
  <si>
    <t>2012-11-22T13:34:10Z</t>
  </si>
  <si>
    <t>2019-07-12T20:00:34Z</t>
  </si>
  <si>
    <t>2018-11-26T02:56:08Z</t>
  </si>
  <si>
    <t>2018-08-31T17:10:25Z</t>
  </si>
  <si>
    <t>2019-06-19T01:45:05Z</t>
  </si>
  <si>
    <t>2019-11-25T14:28:10Z</t>
  </si>
  <si>
    <t>2018-02-26T13:36:26Z</t>
  </si>
  <si>
    <t>2019-07-12T16:47:27Z</t>
  </si>
  <si>
    <t>2019-04-09T18:46:50Z</t>
  </si>
  <si>
    <t>2017-06-29T23:35:10Z</t>
  </si>
  <si>
    <t>2016-06-06T19:01:40Z</t>
  </si>
  <si>
    <t>2019-09-28T21:02:53Z</t>
  </si>
  <si>
    <t>2017-04-16T11:38:47Z</t>
  </si>
  <si>
    <t>2017-07-02T17:46:19Z</t>
  </si>
  <si>
    <t>2016-09-02T04:34:55Z</t>
  </si>
  <si>
    <t>2019-10-11T08:17:19Z</t>
  </si>
  <si>
    <t>2015-02-17T09:06:18Z</t>
  </si>
  <si>
    <t>2017-10-09T08:39:14Z</t>
  </si>
  <si>
    <t>2020-04-02T14:54:09Z</t>
  </si>
  <si>
    <t>2015-11-10T04:55:32Z</t>
  </si>
  <si>
    <t>2018-10-18T15:09:56Z</t>
  </si>
  <si>
    <t>2015-02-12T19:37:24Z</t>
  </si>
  <si>
    <t>2014-08-10T22:29:08Z</t>
  </si>
  <si>
    <t>2018-06-19T02:49:06Z</t>
  </si>
  <si>
    <t>2014-02-04T02:37:32Z</t>
  </si>
  <si>
    <t>2020-01-16T14:56:33Z</t>
  </si>
  <si>
    <t>2016-09-25T11:24:28Z</t>
  </si>
  <si>
    <t>2019-09-09T22:45:05Z</t>
  </si>
  <si>
    <t>2019-06-20T20:52:13Z</t>
  </si>
  <si>
    <t>2020-06-01T21:30:02Z</t>
  </si>
  <si>
    <t>2016-01-13T15:02:29Z</t>
  </si>
  <si>
    <t>2014-01-09T02:06:15Z</t>
  </si>
  <si>
    <t>2016-02-23T13:03:10Z</t>
  </si>
  <si>
    <t>2015-09-02T17:51:31Z</t>
  </si>
  <si>
    <t>2012-12-04T02:39:45Z</t>
  </si>
  <si>
    <t>2016-02-16T02:50:24Z</t>
  </si>
  <si>
    <t>2016-12-11T21:49:01Z</t>
  </si>
  <si>
    <t>2019-10-26T02:27:55Z</t>
  </si>
  <si>
    <t>2016-03-02T17:10:16Z</t>
  </si>
  <si>
    <t>2016-01-22T14:35:14Z</t>
  </si>
  <si>
    <t>2012-12-06T04:15:35Z</t>
  </si>
  <si>
    <t>2014-04-12T13:56:35Z</t>
  </si>
  <si>
    <t>2019-02-24T06:39:44Z</t>
  </si>
  <si>
    <t>2019-03-06T07:08:19Z</t>
  </si>
  <si>
    <t>2017-01-03T00:16:12Z</t>
  </si>
  <si>
    <t>2012-12-06T10:01:14Z</t>
  </si>
  <si>
    <t>2012-10-25T20:04:47Z</t>
  </si>
  <si>
    <t>2020-05-28T00:00:04Z</t>
  </si>
  <si>
    <t>2020-05-27T03:03:58Z</t>
  </si>
  <si>
    <t>2015-11-10T19:22:43Z</t>
  </si>
  <si>
    <t>2018-09-20T14:39:22Z</t>
  </si>
  <si>
    <t>2020-06-01T10:17:52Z</t>
  </si>
  <si>
    <t>2018-04-09T20:45:27Z</t>
  </si>
  <si>
    <t>2020-05-18T07:56:01Z</t>
  </si>
  <si>
    <t>2016-02-26T06:33:28Z</t>
  </si>
  <si>
    <t>2014-07-25T13:04:20Z</t>
  </si>
  <si>
    <t>2020-05-14T04:50:43Z</t>
  </si>
  <si>
    <t>2018-09-20T10:43:11Z</t>
  </si>
  <si>
    <t>2015-09-18T15:20:56Z</t>
  </si>
  <si>
    <t>2020-06-24T01:10:01Z</t>
  </si>
  <si>
    <t>2019-09-21T07:46:41Z</t>
  </si>
  <si>
    <t>2019-10-01T01:31:39Z</t>
  </si>
  <si>
    <t>2020-05-15T05:13:45Z</t>
  </si>
  <si>
    <t>2019-08-22T00:36:14Z</t>
  </si>
  <si>
    <t>2020-06-02T06:34:44Z</t>
  </si>
  <si>
    <t>2019-08-22T01:19:10Z</t>
  </si>
  <si>
    <t>2018-09-20T06:18:57Z</t>
  </si>
  <si>
    <t>2019-10-02T02:17:45Z</t>
  </si>
  <si>
    <t>2019-02-18T08:08:16Z</t>
  </si>
  <si>
    <t>2017-09-01T07:43:05Z</t>
  </si>
  <si>
    <t>2013-12-12T18:37:26Z</t>
  </si>
  <si>
    <t>2012-10-19T01:15:33Z</t>
  </si>
  <si>
    <t>2016-05-28T13:40:29Z</t>
  </si>
  <si>
    <t>2011-03-07T23:39:58Z</t>
  </si>
  <si>
    <t>2017-02-12T02:55:01Z</t>
  </si>
  <si>
    <t>2013-01-19T23:16:33Z</t>
  </si>
  <si>
    <t>2015-06-07T09:50:05Z</t>
  </si>
  <si>
    <t>2014-09-08T07:38:04Z</t>
  </si>
  <si>
    <t>2013-01-11T14:16:25Z</t>
  </si>
  <si>
    <t>2014-01-08T15:15:37Z</t>
  </si>
  <si>
    <t>2014-01-08T20:12:46Z</t>
  </si>
  <si>
    <t>2013-12-28T19:08:58Z</t>
  </si>
  <si>
    <t>2011-01-07T16:01:33Z</t>
  </si>
  <si>
    <t>2013-04-23T08:58:39Z</t>
  </si>
  <si>
    <t>2012-11-04T03:36:50Z</t>
  </si>
  <si>
    <t>2011-12-11T15:11:18Z</t>
  </si>
  <si>
    <t>2011-09-20T18:01:33Z</t>
  </si>
  <si>
    <t>2014-08-20T19:33:33Z</t>
  </si>
  <si>
    <t>2015-10-21T13:40:42Z</t>
  </si>
  <si>
    <t>2014-03-04T04:50:35Z</t>
  </si>
  <si>
    <t>2010-10-28T19:48:19Z</t>
  </si>
  <si>
    <t>2011-10-26T14:14:35Z</t>
  </si>
  <si>
    <t>2013-08-25T19:11:03Z</t>
  </si>
  <si>
    <t>2017-03-18T16:51:15Z</t>
  </si>
  <si>
    <t>2017-02-06T02:08:55Z</t>
  </si>
  <si>
    <t>2012-01-26T21:43:50Z</t>
  </si>
  <si>
    <t>2014-04-07T20:16:24Z</t>
  </si>
  <si>
    <t>2016-04-05T02:50:51Z</t>
  </si>
  <si>
    <t>2014-02-05T18:22:37Z</t>
  </si>
  <si>
    <t>2014-12-17T20:04:33Z</t>
  </si>
  <si>
    <t>2014-12-06T02:32:40Z</t>
  </si>
  <si>
    <t>2014-08-09T22:30:22Z</t>
  </si>
  <si>
    <t>2013-09-19T09:14:53Z</t>
  </si>
  <si>
    <t>2012-12-06T04:16:02Z</t>
  </si>
  <si>
    <t>2012-09-22T12:19:07Z</t>
  </si>
  <si>
    <t>2015-06-04T14:37:44Z</t>
  </si>
  <si>
    <t>2019-09-02T16:00:12Z</t>
  </si>
  <si>
    <t>2012-10-12T03:18:54Z</t>
  </si>
  <si>
    <t>2013-04-29T03:47:40Z</t>
  </si>
  <si>
    <t>2013-02-05T14:00:57Z</t>
  </si>
  <si>
    <t>2019-04-05T18:23:24Z</t>
  </si>
  <si>
    <t>2017-12-03T23:12:06Z</t>
  </si>
  <si>
    <t>2013-04-22T17:02:13Z</t>
  </si>
  <si>
    <t>2012-11-24T04:21:35Z</t>
  </si>
  <si>
    <t>2012-09-23T21:30:22Z</t>
  </si>
  <si>
    <t>2010-10-31T20:42:20Z</t>
  </si>
  <si>
    <t>2014-10-11T21:53:00Z</t>
  </si>
  <si>
    <t>2019-10-06T18:37:29Z</t>
  </si>
  <si>
    <t>2013-11-07T11:55:03Z</t>
  </si>
  <si>
    <t>2020-06-26T15:24:02Z</t>
  </si>
  <si>
    <t>2020-06-29T06:55:16Z</t>
  </si>
  <si>
    <t>2020-06-29T07:51:52Z</t>
  </si>
  <si>
    <t>2020-06-29T14:29:13Z</t>
  </si>
  <si>
    <t>2020-06-29T06:19:42Z</t>
  </si>
  <si>
    <t>2020-06-27T16:36:40Z</t>
  </si>
  <si>
    <t>2020-06-29T07:01:52Z</t>
  </si>
  <si>
    <t>2019-01-18T08:00:03Z</t>
  </si>
  <si>
    <t>2016-02-18T00:26:34Z</t>
  </si>
  <si>
    <t>2020-06-29T04:52:40Z</t>
  </si>
  <si>
    <t>2020-06-29T12:45:14Z</t>
  </si>
  <si>
    <t>2020-06-29T12:47:23Z</t>
  </si>
  <si>
    <t>2020-06-28T18:32:37Z</t>
  </si>
  <si>
    <t>2011-02-06T15:19:13Z</t>
  </si>
  <si>
    <t>2020-06-29T13:32:44Z</t>
  </si>
  <si>
    <t>2012-05-16T22:39:49Z</t>
  </si>
  <si>
    <t>2012-12-06T02:35:48Z</t>
  </si>
  <si>
    <t>2012-12-06T10:00:57Z</t>
  </si>
  <si>
    <t>2020-06-28T18:13:11Z</t>
  </si>
  <si>
    <t>2018-05-19T06:44:33Z</t>
  </si>
  <si>
    <t>2013-06-21T07:45:21Z</t>
  </si>
  <si>
    <t>2013-12-17T15:10:30Z</t>
  </si>
  <si>
    <t>2013-09-13T05:09:55Z</t>
  </si>
  <si>
    <t>2019-01-15T14:48:32Z</t>
  </si>
  <si>
    <t>2012-07-13T15:26:17Z</t>
  </si>
  <si>
    <t>2013-02-05T16:14:34Z</t>
  </si>
  <si>
    <t>2013-03-04T09:16:09Z</t>
  </si>
  <si>
    <t>2013-12-12T17:58:38Z</t>
  </si>
  <si>
    <t>2015-10-23T01:41:55Z</t>
  </si>
  <si>
    <t>2011-09-10T18:02:31Z</t>
  </si>
  <si>
    <t>2015-09-15T16:16:36Z</t>
  </si>
  <si>
    <t>2016-04-05T23:36:37Z</t>
  </si>
  <si>
    <t>2012-04-06T20:36:35Z</t>
  </si>
  <si>
    <t>2012-10-14T17:11:39Z</t>
  </si>
  <si>
    <t>2016-04-30T21:31:56Z</t>
  </si>
  <si>
    <t>2019-01-11T03:31:00Z</t>
  </si>
  <si>
    <t>2013-09-23T21:40:52Z</t>
  </si>
  <si>
    <t>2020-06-29T11:41:36Z</t>
  </si>
  <si>
    <t>2017-07-06T13:50:05Z</t>
  </si>
  <si>
    <t>2019-02-18T16:45:01Z</t>
  </si>
  <si>
    <t>2014-07-17T18:41:38Z</t>
  </si>
  <si>
    <t>2018-07-02T17:13:32Z</t>
  </si>
  <si>
    <t>2017-05-18T07:13:03Z</t>
  </si>
  <si>
    <t>2017-09-09T19:29:00Z</t>
  </si>
  <si>
    <t>2018-02-16T20:51:17Z</t>
  </si>
  <si>
    <t>2011-01-10T21:27:03Z</t>
  </si>
  <si>
    <t>2019-06-06T14:12:38Z</t>
  </si>
  <si>
    <t>2019-03-22T02:32:13Z</t>
  </si>
  <si>
    <t>2018-10-10T18:46:32Z</t>
  </si>
  <si>
    <t>2016-09-27T19:39:18Z</t>
  </si>
  <si>
    <t>2014-11-10T20:52:38Z</t>
  </si>
  <si>
    <t>2017-11-15T08:03:30Z</t>
  </si>
  <si>
    <t>2014-09-22T18:12:48Z</t>
  </si>
  <si>
    <t>2017-07-23T22:44:10Z</t>
  </si>
  <si>
    <t>2018-06-23T01:51:50Z</t>
  </si>
  <si>
    <t>2020-06-18T15:00:51Z</t>
  </si>
  <si>
    <t>2013-08-15T09:41:55Z</t>
  </si>
  <si>
    <t>2014-11-13T17:53:04Z</t>
  </si>
  <si>
    <t>2016-09-07T17:24:27Z</t>
  </si>
  <si>
    <t>2013-10-07T21:41:01Z</t>
  </si>
  <si>
    <t>2013-09-15T11:09:32Z</t>
  </si>
  <si>
    <t>2013-02-20T07:37:32Z</t>
  </si>
  <si>
    <t>2012-04-06T21:04:57Z</t>
  </si>
  <si>
    <t>2017-05-26T15:51:59Z</t>
  </si>
  <si>
    <t>2012-04-05T13:59:01Z</t>
  </si>
  <si>
    <t>2010-09-15T22:38:19Z</t>
  </si>
  <si>
    <t>2013-02-20T01:45:15Z</t>
  </si>
  <si>
    <t>2012-09-30T11:27:42Z</t>
  </si>
  <si>
    <t>2015-03-19T20:47:47Z</t>
  </si>
  <si>
    <t>2017-11-20T11:46:52Z</t>
  </si>
  <si>
    <t>2012-10-16T05:38:38Z</t>
  </si>
  <si>
    <t>2015-02-04T19:45:03Z</t>
  </si>
  <si>
    <t>2012-09-08T21:08:31Z</t>
  </si>
  <si>
    <t>2014-08-15T13:53:27Z</t>
  </si>
  <si>
    <t>2013-03-24T20:45:10Z</t>
  </si>
  <si>
    <t>2013-04-08T10:07:29Z</t>
  </si>
  <si>
    <t>2019-01-12T22:19:06Z</t>
  </si>
  <si>
    <t>2015-09-14T02:14:21Z</t>
  </si>
  <si>
    <t>2020-06-28T11:44:28Z</t>
  </si>
  <si>
    <t>2015-11-17T04:22:34Z</t>
  </si>
  <si>
    <t>2011-02-07T13:45:00Z</t>
  </si>
  <si>
    <t>2020-06-28T19:20:21Z</t>
  </si>
  <si>
    <t>2020-06-28T18:41:36Z</t>
  </si>
  <si>
    <t>2020-06-28T20:00:57Z</t>
  </si>
  <si>
    <t>2014-04-22T17:10:09Z</t>
  </si>
  <si>
    <t>2011-06-10T13:44:11Z</t>
  </si>
  <si>
    <t>2013-08-19T16:01:13Z</t>
  </si>
  <si>
    <t>2013-03-04T21:13:11Z</t>
  </si>
  <si>
    <t>2010-05-14T02:58:18Z</t>
  </si>
  <si>
    <t>2014-03-02T15:29:50Z</t>
  </si>
  <si>
    <t>2016-12-07T10:01:09Z</t>
  </si>
  <si>
    <t>2009-09-09T19:58:10Z</t>
  </si>
  <si>
    <t>2010-08-16T18:21:45Z</t>
  </si>
  <si>
    <t>2014-04-24T13:51:07Z</t>
  </si>
  <si>
    <t>2017-04-16T10:05:46Z</t>
  </si>
  <si>
    <t>2012-09-12T13:01:20Z</t>
  </si>
  <si>
    <t>2016-01-13T14:19:17Z</t>
  </si>
  <si>
    <t>2020-06-28T17:20:32Z</t>
  </si>
  <si>
    <t>2012-12-24T12:51:46Z</t>
  </si>
  <si>
    <t>2020-06-28T12:36:00Z</t>
  </si>
  <si>
    <t>2015-08-27T21:39:13Z</t>
  </si>
  <si>
    <t>2012-07-05T17:15:32Z</t>
  </si>
  <si>
    <t>2015-03-05T05:02:11Z</t>
  </si>
  <si>
    <t>2017-06-03T14:00:04Z</t>
  </si>
  <si>
    <t>2017-07-30T05:15:00Z</t>
  </si>
  <si>
    <t>2016-11-09T19:44:41Z</t>
  </si>
  <si>
    <t>2016-09-13T11:28:46Z</t>
  </si>
  <si>
    <t>2014-04-08T14:43:16Z</t>
  </si>
  <si>
    <t>2016-11-09T19:54:05Z</t>
  </si>
  <si>
    <t>2013-06-05T23:43:22Z</t>
  </si>
  <si>
    <t>2015-04-03T11:28:22Z</t>
  </si>
  <si>
    <t>2010-09-12T15:39:54Z</t>
  </si>
  <si>
    <t>2017-10-31T12:47:11Z</t>
  </si>
  <si>
    <t>2018-03-20T17:32:34Z</t>
  </si>
  <si>
    <t>2017-11-14T17:12:01Z</t>
  </si>
  <si>
    <t>2018-11-24T20:39:06Z</t>
  </si>
  <si>
    <t>2015-10-13T20:25:55Z</t>
  </si>
  <si>
    <t>2013-10-31T18:52:13Z</t>
  </si>
  <si>
    <t>2013-04-03T11:07:59Z</t>
  </si>
  <si>
    <t>2014-02-03T21:52:57Z</t>
  </si>
  <si>
    <t>2017-06-05T12:24:49Z</t>
  </si>
  <si>
    <t>2016-08-17T21:45:22Z</t>
  </si>
  <si>
    <t>2015-09-04T19:50:08Z</t>
  </si>
  <si>
    <t>2017-03-24T13:49:33Z</t>
  </si>
  <si>
    <t>2016-11-19T04:20:39Z</t>
  </si>
  <si>
    <t>2015-10-12T20:19:20Z</t>
  </si>
  <si>
    <t>2017-09-07T03:07:15Z</t>
  </si>
  <si>
    <t>2012-10-20T11:45:45Z</t>
  </si>
  <si>
    <t>2015-08-21T20:17:17Z</t>
  </si>
  <si>
    <t>2016-05-04T13:53:56Z</t>
  </si>
  <si>
    <t>2017-11-01T14:46:45Z</t>
  </si>
  <si>
    <t>2018-03-13T19:05:13Z</t>
  </si>
  <si>
    <t>2019-02-24T23:09:04Z</t>
  </si>
  <si>
    <t>2015-03-19T20:47:13Z</t>
  </si>
  <si>
    <t>2019-01-28T00:44:43Z</t>
  </si>
  <si>
    <t>2014-12-04T04:24:41Z</t>
  </si>
  <si>
    <t>2016-02-23T13:04:55Z</t>
  </si>
  <si>
    <t>2018-02-17T21:24:12Z</t>
  </si>
  <si>
    <t>2018-02-17T21:22:08Z</t>
  </si>
  <si>
    <t>2019-01-21T14:01:07Z</t>
  </si>
  <si>
    <t>2020-06-28T14:17:17Z</t>
  </si>
  <si>
    <t>2020-06-28T17:46:15Z</t>
  </si>
  <si>
    <t>2007-10-09T02:38:30Z</t>
  </si>
  <si>
    <t>2020-06-28T21:54:28Z</t>
  </si>
  <si>
    <t>2020-06-28T15:07:00Z</t>
  </si>
  <si>
    <t>2020-06-28T17:31:03Z</t>
  </si>
  <si>
    <t>2013-12-07T02:26:53Z</t>
  </si>
  <si>
    <t>2010-12-16T21:30:05Z</t>
  </si>
  <si>
    <t>2010-10-30T21:11:57Z</t>
  </si>
  <si>
    <t>2012-02-15T01:07:06Z</t>
  </si>
  <si>
    <t>2010-10-29T03:11:40Z</t>
  </si>
  <si>
    <t>2013-12-11T20:39:21Z</t>
  </si>
  <si>
    <t>2012-09-08T14:28:43Z</t>
  </si>
  <si>
    <t>2013-01-21T10:06:17Z</t>
  </si>
  <si>
    <t>2014-01-02T03:52:09Z</t>
  </si>
  <si>
    <t>2016-08-17T01:42:12Z</t>
  </si>
  <si>
    <t>2014-10-08T18:43:34Z</t>
  </si>
  <si>
    <t>2016-02-01T03:01:02Z</t>
  </si>
  <si>
    <t>2013-09-09T01:31:57Z</t>
  </si>
  <si>
    <t>2013-08-06T07:30:01Z</t>
  </si>
  <si>
    <t>2016-08-23T12:15:56Z</t>
  </si>
  <si>
    <t>2013-05-06T18:13:20Z</t>
  </si>
  <si>
    <t>2013-01-09T15:45:46Z</t>
  </si>
  <si>
    <t>2013-04-27T08:16:18Z</t>
  </si>
  <si>
    <t>2012-10-14T15:45:39Z</t>
  </si>
  <si>
    <t>2020-06-28T16:00:29Z</t>
  </si>
  <si>
    <t>2020-06-28T18:30:18Z</t>
  </si>
  <si>
    <t>2020-06-28T12:45:11Z</t>
  </si>
  <si>
    <t>2012-10-23T14:32:15Z</t>
  </si>
  <si>
    <t>2017-01-25T02:55:38Z</t>
  </si>
  <si>
    <t>2012-04-06T21:40:11Z</t>
  </si>
  <si>
    <t>2015-03-19T20:46:32Z</t>
  </si>
  <si>
    <t>2013-05-23T20:43:27Z</t>
  </si>
  <si>
    <t>2012-11-05T17:47:10Z</t>
  </si>
  <si>
    <t>2017-06-12T22:24:38Z</t>
  </si>
  <si>
    <t>2013-12-12T17:43:25Z</t>
  </si>
  <si>
    <t>2015-04-22T16:54:39Z</t>
  </si>
  <si>
    <t>2013-09-30T22:29:58Z</t>
  </si>
  <si>
    <t>2013-02-20T06:41:01Z</t>
  </si>
  <si>
    <t>2018-05-05T07:46:53Z</t>
  </si>
  <si>
    <t>2013-05-01T13:51:01Z</t>
  </si>
  <si>
    <t>2017-07-12T18:49:11Z</t>
  </si>
  <si>
    <t>2016-02-07T04:51:02Z</t>
  </si>
  <si>
    <t>2016-07-29T14:46:07Z</t>
  </si>
  <si>
    <t>2011-06-25T18:58:47Z</t>
  </si>
  <si>
    <t>2016-11-16T13:49:25Z</t>
  </si>
  <si>
    <t>2020-06-28T17:04:44Z</t>
  </si>
  <si>
    <t>2020-06-28T18:38:22Z</t>
  </si>
  <si>
    <t>2015-02-16T01:29:36Z</t>
  </si>
  <si>
    <t>2019-01-11T00:00:09Z</t>
  </si>
  <si>
    <t>2014-05-14T18:55:16Z</t>
  </si>
  <si>
    <t>2015-10-13T14:58:41Z</t>
  </si>
  <si>
    <t>2015-08-11T17:16:19Z</t>
  </si>
  <si>
    <t>2012-05-28T21:03:23Z</t>
  </si>
  <si>
    <t>2017-08-17T17:28:41Z</t>
  </si>
  <si>
    <t>2014-11-19T16:03:01Z</t>
  </si>
  <si>
    <t>2014-12-21T09:57:19Z</t>
  </si>
  <si>
    <t>2012-01-03T21:59:41Z</t>
  </si>
  <si>
    <t>2010-02-16T16:20:01Z</t>
  </si>
  <si>
    <t>2016-04-10T17:30:03Z</t>
  </si>
  <si>
    <t>2017-11-08T16:07:55Z</t>
  </si>
  <si>
    <t>2018-11-08T07:01:50Z</t>
  </si>
  <si>
    <t>2014-02-07T16:36:01Z</t>
  </si>
  <si>
    <t>2019-09-24T20:16:29Z</t>
  </si>
  <si>
    <t>2019-06-25T00:31:16Z</t>
  </si>
  <si>
    <t>2012-04-18T12:08:38Z</t>
  </si>
  <si>
    <t>2014-07-28T17:51:45Z</t>
  </si>
  <si>
    <t>2015-06-21T02:23:19Z</t>
  </si>
  <si>
    <t>2011-12-01T00:12:07Z</t>
  </si>
  <si>
    <t>2016-04-27T19:24:50Z</t>
  </si>
  <si>
    <t>2019-01-22T00:24:31Z</t>
  </si>
  <si>
    <t>2016-01-31T04:05:59Z</t>
  </si>
  <si>
    <t>2017-06-28T00:42:00Z</t>
  </si>
  <si>
    <t>2017-11-06T16:16:24Z</t>
  </si>
  <si>
    <t>2010-11-18T11:55:18Z</t>
  </si>
  <si>
    <t>2017-02-20T22:22:27Z</t>
  </si>
  <si>
    <t>2017-06-11T14:51:46Z</t>
  </si>
  <si>
    <t>2015-09-01T16:52:02Z</t>
  </si>
  <si>
    <t>2016-10-27T20:12:51Z</t>
  </si>
  <si>
    <t>2016-08-26T19:42:37Z</t>
  </si>
  <si>
    <t>2020-06-28T22:00:01Z</t>
  </si>
  <si>
    <t>2020-06-28T16:36:25Z</t>
  </si>
  <si>
    <t>2020-06-28T17:00:11Z</t>
  </si>
  <si>
    <t>2020-06-28T20:20:11Z</t>
  </si>
  <si>
    <t>2020-06-28T16:00:12Z</t>
  </si>
  <si>
    <t>2013-07-05T21:14:39Z</t>
  </si>
  <si>
    <t>2011-06-15T12:42:24Z</t>
  </si>
  <si>
    <t>2012-10-16T18:58:17Z</t>
  </si>
  <si>
    <t>2019-03-17T14:48:52Z</t>
  </si>
  <si>
    <t>2018-07-30T15:02:48Z</t>
  </si>
  <si>
    <t>2018-12-11T21:50:10Z</t>
  </si>
  <si>
    <t>2016-08-28T16:12:03Z</t>
  </si>
  <si>
    <t>2013-12-30T15:37:38Z</t>
  </si>
  <si>
    <t>2019-04-16T15:41:29Z</t>
  </si>
  <si>
    <t>2014-08-27T14:51:58Z</t>
  </si>
  <si>
    <t>2012-11-05T12:09:52Z</t>
  </si>
  <si>
    <t>2016-04-06T14:15:13Z</t>
  </si>
  <si>
    <t>2012-04-28T23:37:08Z</t>
  </si>
  <si>
    <t>2011-11-02T16:57:32Z</t>
  </si>
  <si>
    <t>2017-02-26T03:47:38Z</t>
  </si>
  <si>
    <t>2012-06-18T22:46:30Z</t>
  </si>
  <si>
    <t>2013-04-17T15:26:50Z</t>
  </si>
  <si>
    <t>2019-06-24T09:26:04Z</t>
  </si>
  <si>
    <t>2016-09-14T21:43:51Z</t>
  </si>
  <si>
    <t>2017-12-24T22:20:38Z</t>
  </si>
  <si>
    <t>2018-01-01T18:47:57Z</t>
  </si>
  <si>
    <t>2018-01-27T21:20:33Z</t>
  </si>
  <si>
    <t>2011-02-14T14:25:47Z</t>
  </si>
  <si>
    <t>2015-04-27T01:52:14Z</t>
  </si>
  <si>
    <t>2014-04-08T09:48:06Z</t>
  </si>
  <si>
    <t>2011-04-29T13:33:07Z</t>
  </si>
  <si>
    <t>2017-10-09T08:27:55Z</t>
  </si>
  <si>
    <t>2018-02-18T16:50:57Z</t>
  </si>
  <si>
    <t>2017-09-15T11:22:44Z</t>
  </si>
  <si>
    <t>2015-12-09T17:19:11Z</t>
  </si>
  <si>
    <t>2018-03-10T11:56:26Z</t>
  </si>
  <si>
    <t>2018-03-31T04:16:56Z</t>
  </si>
  <si>
    <t>2015-11-27T08:33:16Z</t>
  </si>
  <si>
    <t>2015-03-30T22:06:28Z</t>
  </si>
  <si>
    <t>2014-05-14T12:36:45Z</t>
  </si>
  <si>
    <t>2016-06-26T16:05:12Z</t>
  </si>
  <si>
    <t>2018-05-13T10:03:58Z</t>
  </si>
  <si>
    <t>2013-08-25T01:42:12Z</t>
  </si>
  <si>
    <t>2017-01-22T02:20:30Z</t>
  </si>
  <si>
    <t>2016-05-07T18:07:28Z</t>
  </si>
  <si>
    <t>2017-11-16T15:36:21Z</t>
  </si>
  <si>
    <t>2016-06-27T16:01:59Z</t>
  </si>
  <si>
    <t>2015-10-21T08:30:55Z</t>
  </si>
  <si>
    <t>2018-01-15T22:33:38Z</t>
  </si>
  <si>
    <t>2019-06-18T18:25:16Z</t>
  </si>
  <si>
    <t>2017-09-06T23:42:15Z</t>
  </si>
  <si>
    <t>2020-04-17T14:30:27Z</t>
  </si>
  <si>
    <t>2017-10-28T09:55:39Z</t>
  </si>
  <si>
    <t>2016-02-12T20:55:38Z</t>
  </si>
  <si>
    <t>2020-02-21T08:32:08Z</t>
  </si>
  <si>
    <t>2019-12-28T21:01:32Z</t>
  </si>
  <si>
    <t>2014-02-01T19:58:17Z</t>
  </si>
  <si>
    <t>2018-08-26T17:55:46Z</t>
  </si>
  <si>
    <t>2016-09-10T21:03:58Z</t>
  </si>
  <si>
    <t>2015-11-04T09:09:01Z</t>
  </si>
  <si>
    <t>2009-05-14T14:40:27Z</t>
  </si>
  <si>
    <t>2020-06-28T16:30:03Z</t>
  </si>
  <si>
    <t>2012-01-29T19:56:59Z</t>
  </si>
  <si>
    <t>2011-08-09T15:04:02Z</t>
  </si>
  <si>
    <t>2011-04-29T13:31:06Z</t>
  </si>
  <si>
    <t>2006-08-28T23:42:20Z</t>
  </si>
  <si>
    <t>2011-02-23T11:59:58Z</t>
  </si>
  <si>
    <t>2012-05-18T16:26:35Z</t>
  </si>
  <si>
    <t>2020-06-28T16:34:53Z</t>
  </si>
  <si>
    <t>2012-06-06T04:16:58Z</t>
  </si>
  <si>
    <t>2008-02-19T16:58:49Z</t>
  </si>
  <si>
    <t>2011-06-24T14:44:54Z</t>
  </si>
  <si>
    <t>2010-03-03T21:54:12Z</t>
  </si>
  <si>
    <t>2020-06-28T10:43:57Z</t>
  </si>
  <si>
    <t>2020-06-28T17:00:10Z</t>
  </si>
  <si>
    <t>2013-07-29T07:41:13Z</t>
  </si>
  <si>
    <t>2012-05-21T13:32:27Z</t>
  </si>
  <si>
    <t>2009-10-15T06:17:48Z</t>
  </si>
  <si>
    <t>2011-10-28T15:42:10Z</t>
  </si>
  <si>
    <t>2008-12-26T04:48:52Z</t>
  </si>
  <si>
    <t>2008-01-29T22:46:51Z</t>
  </si>
  <si>
    <t>2015-09-01T19:23:37Z</t>
  </si>
  <si>
    <t>2009-12-18T11:15:49Z</t>
  </si>
  <si>
    <t>2012-02-14T17:27:45Z</t>
  </si>
  <si>
    <t>2009-09-23T10:39:37Z</t>
  </si>
  <si>
    <t>2013-08-01T08:13:42Z</t>
  </si>
  <si>
    <t>2017-02-26T02:21:37Z</t>
  </si>
  <si>
    <t>2015-01-24T04:32:02Z</t>
  </si>
  <si>
    <t>2016-12-28T18:43:32Z</t>
  </si>
  <si>
    <t>2013-12-12T18:22:56Z</t>
  </si>
  <si>
    <t>2010-10-05T17:41:55Z</t>
  </si>
  <si>
    <t>2009-06-04T00:09:08Z</t>
  </si>
  <si>
    <t>2010-11-18T11:47:01Z</t>
  </si>
  <si>
    <t>2010-01-15T22:40:11Z</t>
  </si>
  <si>
    <t>2010-03-10T11:06:16Z</t>
  </si>
  <si>
    <t>2011-12-04T17:50:40Z</t>
  </si>
  <si>
    <t>2013-01-11T00:08:49Z</t>
  </si>
  <si>
    <t>2015-04-29T16:00:02Z</t>
  </si>
  <si>
    <t>2011-03-06T19:57:47Z</t>
  </si>
  <si>
    <t>2013-08-02T11:59:51Z</t>
  </si>
  <si>
    <t>2013-04-01T19:52:04Z</t>
  </si>
  <si>
    <t>2018-12-20T11:34:10Z</t>
  </si>
  <si>
    <t>2017-11-29T10:43:12Z</t>
  </si>
  <si>
    <t>2018-06-08T17:22:23Z</t>
  </si>
  <si>
    <t>2017-10-09T08:39:15Z</t>
  </si>
  <si>
    <t>2016-02-02T15:34:05Z</t>
  </si>
  <si>
    <t>2018-06-27T14:27:23Z</t>
  </si>
  <si>
    <t>2013-07-14T22:22:01Z</t>
  </si>
  <si>
    <t>2014-10-15T16:29:07Z</t>
  </si>
  <si>
    <t>2010-12-05T00:59:27Z</t>
  </si>
  <si>
    <t>2013-08-07T18:23:15Z</t>
  </si>
  <si>
    <t>2012-09-22T20:47:49Z</t>
  </si>
  <si>
    <t>2013-08-07T13:59:10Z</t>
  </si>
  <si>
    <t>2013-05-07T15:50:42Z</t>
  </si>
  <si>
    <t>2013-04-20T15:40:22Z</t>
  </si>
  <si>
    <t>2013-04-20T15:34:03Z</t>
  </si>
  <si>
    <t>2015-09-07T03:21:43Z</t>
  </si>
  <si>
    <t>2013-01-23T16:03:03Z</t>
  </si>
  <si>
    <t>2013-04-20T15:27:03Z</t>
  </si>
  <si>
    <t>2012-10-05T20:44:54Z</t>
  </si>
  <si>
    <t>2013-06-07T16:27:40Z</t>
  </si>
  <si>
    <t>2017-03-14T08:40:26Z</t>
  </si>
  <si>
    <t>2013-04-20T15:21:09Z</t>
  </si>
  <si>
    <t>2012-10-28T16:51:22Z</t>
  </si>
  <si>
    <t>2014-04-17T06:53:26Z</t>
  </si>
  <si>
    <t>2018-09-25T20:03:06Z</t>
  </si>
  <si>
    <t>2014-08-21T19:48:20Z</t>
  </si>
  <si>
    <t>2013-04-20T15:34:47Z</t>
  </si>
  <si>
    <t>2012-11-28T17:09:55Z</t>
  </si>
  <si>
    <t>2016-05-18T15:57:54Z</t>
  </si>
  <si>
    <t>2020-04-21T19:34:28Z</t>
  </si>
  <si>
    <t>2019-03-11T12:09:49Z</t>
  </si>
  <si>
    <t>2014-09-09T13:50:43Z</t>
  </si>
  <si>
    <t>2016-10-23T23:15:22Z</t>
  </si>
  <si>
    <t>2018-01-03T16:24:44Z</t>
  </si>
  <si>
    <t>2018-07-22T12:18:57Z</t>
  </si>
  <si>
    <t>2019-06-25T02:15:48Z</t>
  </si>
  <si>
    <t>2020-02-09T00:21:17Z</t>
  </si>
  <si>
    <t>2019-02-19T03:48:15Z</t>
  </si>
  <si>
    <t>2015-08-28T12:15:14Z</t>
  </si>
  <si>
    <t>2018-10-03T16:54:20Z</t>
  </si>
  <si>
    <t>2014-06-19T11:30:49Z</t>
  </si>
  <si>
    <t>2016-01-20T12:19:49Z</t>
  </si>
  <si>
    <t>2013-12-12T18:34:31Z</t>
  </si>
  <si>
    <t>2020-06-28T15:43:13Z</t>
  </si>
  <si>
    <t>2011-12-12T16:23:56Z</t>
  </si>
  <si>
    <t>2015-02-11T23:20:21Z</t>
  </si>
  <si>
    <t>2013-01-22T02:14:24Z</t>
  </si>
  <si>
    <t>2014-06-13T17:28:12Z</t>
  </si>
  <si>
    <t>2013-12-10T05:58:46Z</t>
  </si>
  <si>
    <t>2014-05-19T11:45:43Z</t>
  </si>
  <si>
    <t>2014-01-27T00:13:34Z</t>
  </si>
  <si>
    <t>2017-12-12T15:56:16Z</t>
  </si>
  <si>
    <t>2012-11-01T20:50:45Z</t>
  </si>
  <si>
    <t>2015-08-10T13:45:40Z</t>
  </si>
  <si>
    <t>2009-09-02T05:29:19Z</t>
  </si>
  <si>
    <t>2016-05-15T14:06:00Z</t>
  </si>
  <si>
    <t>2010-03-26T04:09:56Z</t>
  </si>
  <si>
    <t>2012-10-04T10:44:15Z</t>
  </si>
  <si>
    <t>2012-03-14T10:15:14Z</t>
  </si>
  <si>
    <t>2013-03-09T17:42:17Z</t>
  </si>
  <si>
    <t>2017-10-28T05:49:03Z</t>
  </si>
  <si>
    <t>2011-01-20T04:56:02Z</t>
  </si>
  <si>
    <t>2015-09-08T15:24:59Z</t>
  </si>
  <si>
    <t>2016-11-24T01:08:02Z</t>
  </si>
  <si>
    <t>2015-05-20T03:51:00Z</t>
  </si>
  <si>
    <t>2019-01-13T05:52:19Z</t>
  </si>
  <si>
    <t>2017-02-23T16:44:30Z</t>
  </si>
  <si>
    <t>2014-02-09T00:38:47Z</t>
  </si>
  <si>
    <t>2013-01-29T06:17:07Z</t>
  </si>
  <si>
    <t>2017-05-23T04:58:43Z</t>
  </si>
  <si>
    <t>2013-09-15T20:55:43Z</t>
  </si>
  <si>
    <t>2015-10-07T01:05:04Z</t>
  </si>
  <si>
    <t>2018-10-18T06:35:02Z</t>
  </si>
  <si>
    <t>2017-03-04T21:31:34Z</t>
  </si>
  <si>
    <t>2017-09-11T02:55:02Z</t>
  </si>
  <si>
    <t>2017-05-28T15:21:27Z</t>
  </si>
  <si>
    <t>2015-03-22T19:10:19Z</t>
  </si>
  <si>
    <t>2016-12-29T17:39:36Z</t>
  </si>
  <si>
    <t>2018-04-09T17:57:50Z</t>
  </si>
  <si>
    <t>2019-04-30T16:00:07Z</t>
  </si>
  <si>
    <t>2020-06-28T08:28:24Z</t>
  </si>
  <si>
    <t>2019-06-27T23:36:26Z</t>
  </si>
  <si>
    <t>2020-01-13T20:58:20Z</t>
  </si>
  <si>
    <t>2011-08-19T18:59:23Z</t>
  </si>
  <si>
    <t>2010-06-25T07:59:26Z</t>
  </si>
  <si>
    <t>2020-04-20T20:19:40Z</t>
  </si>
  <si>
    <t>2019-07-01T22:49:55Z</t>
  </si>
  <si>
    <t>2013-02-23T01:59:06Z</t>
  </si>
  <si>
    <t>2016-02-07T15:01:30Z</t>
  </si>
  <si>
    <t>2013-03-08T20:59:38Z</t>
  </si>
  <si>
    <t>2011-01-27T00:48:11Z</t>
  </si>
  <si>
    <t>2011-08-19T18:20:55Z</t>
  </si>
  <si>
    <t>2012-12-08T15:39:16Z</t>
  </si>
  <si>
    <t>2015-04-18T15:00:00Z</t>
  </si>
  <si>
    <t>2019-09-24T16:42:21Z</t>
  </si>
  <si>
    <t>2009-12-03T21:24:16Z</t>
  </si>
  <si>
    <t>2018-04-14T07:28:03Z</t>
  </si>
  <si>
    <t>2020-04-01T03:20:40Z</t>
  </si>
  <si>
    <t>2019-07-04T19:02:58Z</t>
  </si>
  <si>
    <t>2015-01-24T16:26:50Z</t>
  </si>
  <si>
    <t>2020-04-01T05:06:41Z</t>
  </si>
  <si>
    <t>2018-11-21T01:38:20Z</t>
  </si>
  <si>
    <t>2015-11-09T22:32:58Z</t>
  </si>
  <si>
    <t>2015-09-21T23:34:39Z</t>
  </si>
  <si>
    <t>2012-09-15T19:07:12Z</t>
  </si>
  <si>
    <t>2015-05-19T23:43:52Z</t>
  </si>
  <si>
    <t>2020-02-19T16:07:17Z</t>
  </si>
  <si>
    <t>2013-03-04T09:17:47Z</t>
  </si>
  <si>
    <t>2013-03-07T19:26:34Z</t>
  </si>
  <si>
    <t>2014-08-17T18:51:58Z</t>
  </si>
  <si>
    <t>2013-08-02T11:59:20Z</t>
  </si>
  <si>
    <t>2013-04-04T03:15:21Z</t>
  </si>
  <si>
    <t>2014-07-30T08:31:34Z</t>
  </si>
  <si>
    <t>2013-02-20T06:46:40Z</t>
  </si>
  <si>
    <t>2011-08-17T21:37:13Z</t>
  </si>
  <si>
    <t>2014-10-29T18:10:29Z</t>
  </si>
  <si>
    <t>2014-07-08T18:37:53Z</t>
  </si>
  <si>
    <t>2012-04-18T08:50:00Z</t>
  </si>
  <si>
    <t>2013-12-12T18:14:07Z</t>
  </si>
  <si>
    <t>2010-02-01T04:39:55Z</t>
  </si>
  <si>
    <t>2013-02-07T11:02:05Z</t>
  </si>
  <si>
    <t>2012-08-28T17:38:50Z</t>
  </si>
  <si>
    <t>2011-08-19T18:50:43Z</t>
  </si>
  <si>
    <t>2013-01-26T11:01:06Z</t>
  </si>
  <si>
    <t>2012-11-21T19:20:45Z</t>
  </si>
  <si>
    <t>2015-09-13T01:01:27Z</t>
  </si>
  <si>
    <t>2020-06-28T15:00:27Z</t>
  </si>
  <si>
    <t>2017-03-24T14:09:15Z</t>
  </si>
  <si>
    <t>2016-10-11T02:02:34Z</t>
  </si>
  <si>
    <t>2011-02-25T19:41:31Z</t>
  </si>
  <si>
    <t>2013-05-31T12:06:27Z</t>
  </si>
  <si>
    <t>2013-09-03T19:50:30Z</t>
  </si>
  <si>
    <t>2012-07-30T23:10:17Z</t>
  </si>
  <si>
    <t>2015-06-01T19:49:03Z</t>
  </si>
  <si>
    <t>2015-12-03T15:58:34Z</t>
  </si>
  <si>
    <t>2013-01-02T19:22:43Z</t>
  </si>
  <si>
    <t>2010-09-27T13:18:02Z</t>
  </si>
  <si>
    <t>2012-11-13T09:41:26Z</t>
  </si>
  <si>
    <t>2015-02-11T07:34:43Z</t>
  </si>
  <si>
    <t>2011-09-10T19:30:47Z</t>
  </si>
  <si>
    <t>2012-09-23T16:52:27Z</t>
  </si>
  <si>
    <t>2017-05-12T21:39:29Z</t>
  </si>
  <si>
    <t>2013-07-04T21:18:46Z</t>
  </si>
  <si>
    <t>2013-07-27T19:56:48Z</t>
  </si>
  <si>
    <t>2013-07-22T14:11:13Z</t>
  </si>
  <si>
    <t>2015-04-20T15:00:04Z</t>
  </si>
  <si>
    <t>2012-05-18T19:55:30Z</t>
  </si>
  <si>
    <t>2013-07-14T23:00:59Z</t>
  </si>
  <si>
    <t>2017-12-12T21:02:50Z</t>
  </si>
  <si>
    <t>2020-06-28T19:02:04Z</t>
  </si>
  <si>
    <t>2020-06-28T18:00:04Z</t>
  </si>
  <si>
    <t>2020-06-28T21:00:02Z</t>
  </si>
  <si>
    <t>2020-06-28T17:07:57Z</t>
  </si>
  <si>
    <t>2013-04-25T16:35:26Z</t>
  </si>
  <si>
    <t>2014-02-03T16:57:42Z</t>
  </si>
  <si>
    <t>2020-06-28T23:15:01Z</t>
  </si>
  <si>
    <t>2014-07-14T08:06:49Z</t>
  </si>
  <si>
    <t>2012-08-12T00:56:50Z</t>
  </si>
  <si>
    <t>2020-06-28T19:15:01Z</t>
  </si>
  <si>
    <t>2014-03-16T19:00:02Z</t>
  </si>
  <si>
    <t>2010-12-10T20:01:11Z</t>
  </si>
  <si>
    <t>2013-12-09T19:35:16Z</t>
  </si>
  <si>
    <t>2016-10-10T23:39:47Z</t>
  </si>
  <si>
    <t>2012-06-21T13:12:24Z</t>
  </si>
  <si>
    <t>2014-03-11T01:07:11Z</t>
  </si>
  <si>
    <t>2015-07-14T17:48:08Z</t>
  </si>
  <si>
    <t>2013-10-01T16:44:44Z</t>
  </si>
  <si>
    <t>2009-08-31T08:17:16Z</t>
  </si>
  <si>
    <t>2013-01-19T15:20:49Z</t>
  </si>
  <si>
    <t>2012-09-24T22:55:54Z</t>
  </si>
  <si>
    <t>2011-08-19T18:31:26Z</t>
  </si>
  <si>
    <t>2013-08-26T20:37:13Z</t>
  </si>
  <si>
    <t>2015-06-01T19:49:04Z</t>
  </si>
  <si>
    <t>2015-08-12T16:17:10Z</t>
  </si>
  <si>
    <t>2014-01-29T12:22:37Z</t>
  </si>
  <si>
    <t>2017-09-04T13:37:01Z</t>
  </si>
  <si>
    <t>2018-01-23T14:08:12Z</t>
  </si>
  <si>
    <t>2011-01-20T12:18:54Z</t>
  </si>
  <si>
    <t>2013-07-02T19:46:55Z</t>
  </si>
  <si>
    <t>2015-03-09T20:24:48Z</t>
  </si>
  <si>
    <t>2017-09-11T02:51:29Z</t>
  </si>
  <si>
    <t>2013-01-30T04:52:04Z</t>
  </si>
  <si>
    <t>2018-08-31T16:43:16Z</t>
  </si>
  <si>
    <t>2017-04-11T13:59:56Z</t>
  </si>
  <si>
    <t>2018-03-02T21:42:55Z</t>
  </si>
  <si>
    <t>2010-08-26T22:41:07Z</t>
  </si>
  <si>
    <t>2013-03-29T07:31:04Z</t>
  </si>
  <si>
    <t>2015-11-14T17:10:05Z</t>
  </si>
  <si>
    <t>2010-07-29T21:31:23Z</t>
  </si>
  <si>
    <t>2011-09-10T19:24:07Z</t>
  </si>
  <si>
    <t>2015-09-03T04:34:16Z</t>
  </si>
  <si>
    <t>2017-07-09T16:06:26Z</t>
  </si>
  <si>
    <t>2017-01-02T19:02:26Z</t>
  </si>
  <si>
    <t>2016-05-23T12:49:20Z</t>
  </si>
  <si>
    <t>2017-09-11T02:53:04Z</t>
  </si>
  <si>
    <t>2018-08-31T17:33:30Z</t>
  </si>
  <si>
    <t>2019-03-16T03:44:52Z</t>
  </si>
  <si>
    <t>2011-05-24T16:56:12Z</t>
  </si>
  <si>
    <t>2017-04-24T13:28:00Z</t>
  </si>
  <si>
    <t>2016-05-25T02:29:50Z</t>
  </si>
  <si>
    <t>Play Video in Browser</t>
  </si>
  <si>
    <t xml:space="preserve">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name="TimeSeriesUserSettings" serializeAs="String"&gt;
        &lt;value&gt;TimeColumnName░Publishet At▓TimeSlice░Days▓UniqueEdges░False&lt;/value&gt;
      &lt;/setting&gt;
      &lt;setting name="NetworkTopItemsListUserSettings" serializeAs="Xml"&gt;
        &lt;value&gt;
          &lt;NetworkTopItemsListUserSettings xmlns:xsd="http://www.w3.org/2001/XMLSchema"
            xmlns:xsi="http://www.w3.org/2001/XMLSchema-instance"&gt;
            &lt;IsEdgeColumn&gt;false&lt;/IsEdgeColumn&gt;
            &lt;StatusColumnName&gt;Tags&lt;/StatusColumnName&gt;
            &lt;TopTweetersMentionedRepliedTo&gt;false&lt;/TopTweetersMentionedRepliedTo&gt;
            &lt;NetworkTopItemsUserSettingsToCalculate /&gt;
          &lt;/NetworkTopItemsListUserSettings&gt;
        &lt;/value&gt;
      &lt;/setting&gt;
      &lt;setting name="OverallMetricsUserSettings" serializeAs="String"&gt;
        &lt;value&gt;ColumnNameForEdgeType░Comment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&lt;value&gt;Out-Degree&lt;/value&gt;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Disk&lt;/value&gt;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0 Lime Fuchsia False False True&lt;/value&gt;
      &lt;/setting&gt;
      &lt;setting name="EdgeAlphaDetails" serializeAs="String"&gt;
        &lt;value&gt;False False 0 0 20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</si>
  <si>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</si>
  <si>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</si>
  <si>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</si>
  <si>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</si>
  <si>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</si>
  <si>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</si>
  <si>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</si>
  <si>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</si>
  <si>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</si>
  <si>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</si>
  <si>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</si>
  <si>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</si>
  <si>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</si>
  <si>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</si>
  <si>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</si>
  <si>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</si>
  <si>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</si>
  <si>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</si>
  <si>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</si>
  <si>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</si>
  <si>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</si>
  <si>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excel</t>
  </si>
  <si>
    <t>network</t>
  </si>
  <si>
    <t>social</t>
  </si>
  <si>
    <t>data</t>
  </si>
  <si>
    <t>analysis</t>
  </si>
  <si>
    <t>tutorial</t>
  </si>
  <si>
    <t>visualization</t>
  </si>
  <si>
    <t>software</t>
  </si>
  <si>
    <t>science</t>
  </si>
  <si>
    <t>media</t>
  </si>
  <si>
    <t>graph</t>
  </si>
  <si>
    <t>facebook</t>
  </si>
  <si>
    <t>nodexl</t>
  </si>
  <si>
    <t>networks</t>
  </si>
  <si>
    <t>analytics</t>
  </si>
  <si>
    <t>university</t>
  </si>
  <si>
    <t>python</t>
  </si>
  <si>
    <t>programming</t>
  </si>
  <si>
    <t>minecraft</t>
  </si>
  <si>
    <t>sna</t>
  </si>
  <si>
    <t>google</t>
  </si>
  <si>
    <t>mining</t>
  </si>
  <si>
    <t>industry</t>
  </si>
  <si>
    <t>field</t>
  </si>
  <si>
    <t>learning</t>
  </si>
  <si>
    <t>word</t>
  </si>
  <si>
    <t>redes</t>
  </si>
  <si>
    <t>business</t>
  </si>
  <si>
    <t>study</t>
  </si>
  <si>
    <t>tableau</t>
  </si>
  <si>
    <t>centrality</t>
  </si>
  <si>
    <t>language</t>
  </si>
  <si>
    <t>api</t>
  </si>
  <si>
    <t>maine</t>
  </si>
  <si>
    <t>education</t>
  </si>
  <si>
    <t>marketing</t>
  </si>
  <si>
    <t>tweets</t>
  </si>
  <si>
    <t>chart</t>
  </si>
  <si>
    <t>theory</t>
  </si>
  <si>
    <t>ucinet</t>
  </si>
  <si>
    <t>online</t>
  </si>
  <si>
    <t>cloud</t>
  </si>
  <si>
    <t>import</t>
  </si>
  <si>
    <t>category</t>
  </si>
  <si>
    <t>sociology</t>
  </si>
  <si>
    <t>map</t>
  </si>
  <si>
    <t>augusta</t>
  </si>
  <si>
    <t>learn</t>
  </si>
  <si>
    <t>link</t>
  </si>
  <si>
    <t>matrix</t>
  </si>
  <si>
    <t>news</t>
  </si>
  <si>
    <t>digital</t>
  </si>
  <si>
    <t>grafo</t>
  </si>
  <si>
    <t>technology</t>
  </si>
  <si>
    <t>edge</t>
  </si>
  <si>
    <t>degree</t>
  </si>
  <si>
    <t>análisis</t>
  </si>
  <si>
    <t>genre</t>
  </si>
  <si>
    <t>statistics</t>
  </si>
  <si>
    <t>analizi</t>
  </si>
  <si>
    <t>machine</t>
  </si>
  <si>
    <t>college</t>
  </si>
  <si>
    <t>node</t>
  </si>
  <si>
    <t>java</t>
  </si>
  <si>
    <t>2016</t>
  </si>
  <si>
    <t>funny</t>
  </si>
  <si>
    <t>coronavirus</t>
  </si>
  <si>
    <t>análise</t>
  </si>
  <si>
    <t>project</t>
  </si>
  <si>
    <t>algorithm</t>
  </si>
  <si>
    <t>linkedin</t>
  </si>
  <si>
    <t>betweenness</t>
  </si>
  <si>
    <t>sosyal</t>
  </si>
  <si>
    <t>management</t>
  </si>
  <si>
    <t>list</t>
  </si>
  <si>
    <t>visual</t>
  </si>
  <si>
    <t>meet</t>
  </si>
  <si>
    <t>press</t>
  </si>
  <si>
    <t>sociales</t>
  </si>
  <si>
    <t>organization</t>
  </si>
  <si>
    <t>lecture</t>
  </si>
  <si>
    <t>adjacency</t>
  </si>
  <si>
    <t>introduction</t>
  </si>
  <si>
    <t>systems</t>
  </si>
  <si>
    <t>walkthrough</t>
  </si>
  <si>
    <t>sociais</t>
  </si>
  <si>
    <t>literature</t>
  </si>
  <si>
    <t>gráficos</t>
  </si>
  <si>
    <t>drawing</t>
  </si>
  <si>
    <t>nbc</t>
  </si>
  <si>
    <t>export</t>
  </si>
  <si>
    <t>stream</t>
  </si>
  <si>
    <t>tweepy</t>
  </si>
  <si>
    <t>methods</t>
  </si>
  <si>
    <t>diagram</t>
  </si>
  <si>
    <t>soc</t>
  </si>
  <si>
    <t>sociogram</t>
  </si>
  <si>
    <t>ssri</t>
  </si>
  <si>
    <t>duke</t>
  </si>
  <si>
    <t>basics</t>
  </si>
  <si>
    <t>wordcloud</t>
  </si>
  <si>
    <t>semantic</t>
  </si>
  <si>
    <t>complexity</t>
  </si>
  <si>
    <t>house</t>
  </si>
  <si>
    <t>complex</t>
  </si>
  <si>
    <t>search</t>
  </si>
  <si>
    <t>ars</t>
  </si>
  <si>
    <t>grafos</t>
  </si>
  <si>
    <t>dynamic</t>
  </si>
  <si>
    <t>ağ</t>
  </si>
  <si>
    <t>eigenvector</t>
  </si>
  <si>
    <t>教學</t>
  </si>
  <si>
    <t>model</t>
  </si>
  <si>
    <t>layout</t>
  </si>
  <si>
    <t>itl</t>
  </si>
  <si>
    <t>207</t>
  </si>
  <si>
    <t>pajek</t>
  </si>
  <si>
    <t>subject</t>
  </si>
  <si>
    <t>screencast</t>
  </si>
  <si>
    <t>graphs</t>
  </si>
  <si>
    <t>politics</t>
  </si>
  <si>
    <t>structure</t>
  </si>
  <si>
    <t>file</t>
  </si>
  <si>
    <t>mapping</t>
  </si>
  <si>
    <t>installation</t>
  </si>
  <si>
    <t>humanities</t>
  </si>
  <si>
    <t>design</t>
  </si>
  <si>
    <t>clustering</t>
  </si>
  <si>
    <t>stats</t>
  </si>
  <si>
    <t>375</t>
  </si>
  <si>
    <t>uma</t>
  </si>
  <si>
    <t>networking</t>
  </si>
  <si>
    <t>module</t>
  </si>
  <si>
    <t>datacamp</t>
  </si>
  <si>
    <t>dynamics</t>
  </si>
  <si>
    <t>quantitative</t>
  </si>
  <si>
    <t>award</t>
  </si>
  <si>
    <t>winning</t>
  </si>
  <si>
    <t>數位人文</t>
  </si>
  <si>
    <t>2012</t>
  </si>
  <si>
    <t>stanford</t>
  </si>
  <si>
    <t>analyze</t>
  </si>
  <si>
    <t>read</t>
  </si>
  <si>
    <t>undergraduate</t>
  </si>
  <si>
    <t>connections</t>
  </si>
  <si>
    <t>rede</t>
  </si>
  <si>
    <t>mathematics</t>
  </si>
  <si>
    <t>error</t>
  </si>
  <si>
    <t>barnes</t>
  </si>
  <si>
    <t>cuomo</t>
  </si>
  <si>
    <t>10</t>
  </si>
  <si>
    <t>matic</t>
  </si>
  <si>
    <t>xl</t>
  </si>
  <si>
    <t>public</t>
  </si>
  <si>
    <t>mathematical</t>
  </si>
  <si>
    <t>visualisation</t>
  </si>
  <si>
    <t>content</t>
  </si>
  <si>
    <t>extraction</t>
  </si>
  <si>
    <t>crime</t>
  </si>
  <si>
    <t>troubleshooting</t>
  </si>
  <si>
    <t>hashtag</t>
  </si>
  <si>
    <t>engineering</t>
  </si>
  <si>
    <t>geo</t>
  </si>
  <si>
    <t>plot</t>
  </si>
  <si>
    <t>netdraw</t>
  </si>
  <si>
    <t>cytoscape</t>
  </si>
  <si>
    <t>enron</t>
  </si>
  <si>
    <t>hadoop</t>
  </si>
  <si>
    <t>blackpink</t>
  </si>
  <si>
    <t>블랙핑크</t>
  </si>
  <si>
    <t>david</t>
  </si>
  <si>
    <t>trump</t>
  </si>
  <si>
    <t>white</t>
  </si>
  <si>
    <t>roblox</t>
  </si>
  <si>
    <t>venezuela</t>
  </si>
  <si>
    <t>sugiyama</t>
  </si>
  <si>
    <t>lists</t>
  </si>
  <si>
    <t>collection</t>
  </si>
  <si>
    <t>squared</t>
  </si>
  <si>
    <t>borgatti</t>
  </si>
  <si>
    <t>mode</t>
  </si>
  <si>
    <t>vgsom</t>
  </si>
  <si>
    <t>friendly</t>
  </si>
  <si>
    <t>method</t>
  </si>
  <si>
    <t>infectious</t>
  </si>
  <si>
    <t>transmission</t>
  </si>
  <si>
    <t>sidemen</t>
  </si>
  <si>
    <t>ties</t>
  </si>
  <si>
    <t>connectivity</t>
  </si>
  <si>
    <t>블핑</t>
  </si>
  <si>
    <t>hylt</t>
  </si>
  <si>
    <t>stories</t>
  </si>
  <si>
    <t>kozo</t>
  </si>
  <si>
    <t>#mepolitics</t>
  </si>
  <si>
    <t>criminalidade</t>
  </si>
  <si>
    <t>midias</t>
  </si>
  <si>
    <t>authentication</t>
  </si>
  <si>
    <t>101</t>
  </si>
  <si>
    <t>political</t>
  </si>
  <si>
    <t>guia</t>
  </si>
  <si>
    <t>itb</t>
  </si>
  <si>
    <t>kgp</t>
  </si>
  <si>
    <t>homework</t>
  </si>
  <si>
    <t>graph#</t>
  </si>
  <si>
    <t>eric</t>
  </si>
  <si>
    <t>conversion</t>
  </si>
  <si>
    <t>troll</t>
  </si>
  <si>
    <t>lada</t>
  </si>
  <si>
    <t>cross</t>
  </si>
  <si>
    <t>national</t>
  </si>
  <si>
    <t>powermap</t>
  </si>
  <si>
    <t>royal</t>
  </si>
  <si>
    <t>wedding</t>
  </si>
  <si>
    <t>verkostoanalyysi</t>
  </si>
  <si>
    <t>evolution</t>
  </si>
  <si>
    <t>kurulum</t>
  </si>
  <si>
    <t>coding</t>
  </si>
  <si>
    <t>desvio</t>
  </si>
  <si>
    <t>victimization</t>
  </si>
  <si>
    <t>functionalism</t>
  </si>
  <si>
    <t>structural</t>
  </si>
  <si>
    <t>death</t>
  </si>
  <si>
    <t>cdc</t>
  </si>
  <si>
    <t>garbage</t>
  </si>
  <si>
    <t>corpus</t>
  </si>
  <si>
    <t>yg</t>
  </si>
  <si>
    <t>인기가요</t>
  </si>
  <si>
    <t>flamingo</t>
  </si>
  <si>
    <t>christian</t>
  </si>
  <si>
    <t>mehler</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</si>
  <si>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</si>
  <si>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</si>
  <si>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</si>
  <si>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</si>
  <si>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</si>
  <si>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</si>
  <si>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</si>
  <si>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</si>
  <si>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</si>
  <si>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</si>
  <si>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</si>
  <si>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</si>
  <si>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</si>
  <si>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</si>
  <si>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</si>
  <si>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</si>
  <si>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</si>
  <si>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</si>
  <si>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</si>
  <si>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</si>
  <si>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</si>
  <si>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</si>
  <si>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</si>
  <si>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</si>
  <si>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</si>
  <si>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</si>
  <si>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</si>
  <si>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</si>
  <si>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</si>
  <si>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</si>
  <si>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</si>
  <si>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</si>
  <si>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</si>
  <si>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</si>
  <si>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</si>
  <si>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</si>
  <si>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</si>
  <si>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</si>
  <si>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</si>
  <si>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</si>
  <si>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</si>
  <si>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</si>
  <si>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</si>
  <si>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</si>
  <si>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</si>
  <si>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</si>
  <si>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</si>
  <si>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</si>
  <si>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</si>
  <si>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</si>
  <si>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</si>
  <si>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</si>
  <si>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</si>
  <si>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</si>
  <si>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</si>
  <si>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</si>
  <si>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</si>
  <si>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</si>
  <si>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</si>
  <si>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</si>
  <si>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</si>
  <si>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</si>
  <si>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Words in Tags in Entire Graph</t>
  </si>
  <si>
    <t>Entire Graph Count</t>
  </si>
  <si>
    <t>Top Words in Tags in G1</t>
  </si>
  <si>
    <t>Top Words in Tags in G2</t>
  </si>
  <si>
    <t>G1 Count</t>
  </si>
  <si>
    <t>Top Words in Tags in G3</t>
  </si>
  <si>
    <t>G2 Count</t>
  </si>
  <si>
    <t>Top Words in Tags in G4</t>
  </si>
  <si>
    <t>G3 Count</t>
  </si>
  <si>
    <t>G4 Count</t>
  </si>
  <si>
    <t>Top Words in Tags</t>
  </si>
  <si>
    <t>Top Word Pairs in Tags in Entire Graph</t>
  </si>
  <si>
    <t>network,analysis</t>
  </si>
  <si>
    <t>social,network</t>
  </si>
  <si>
    <t>social,media</t>
  </si>
  <si>
    <t>social,networks</t>
  </si>
  <si>
    <t>data,visualization</t>
  </si>
  <si>
    <t>data,science</t>
  </si>
  <si>
    <t>field,study</t>
  </si>
  <si>
    <t>network,visualization</t>
  </si>
  <si>
    <t>Top Word Pairs in Tags in G1</t>
  </si>
  <si>
    <t>maine,augusta</t>
  </si>
  <si>
    <t>university,maine</t>
  </si>
  <si>
    <t>sna,social</t>
  </si>
  <si>
    <t>soc,375</t>
  </si>
  <si>
    <t>Top Word Pairs in Tags in G2</t>
  </si>
  <si>
    <t>itl,207</t>
  </si>
  <si>
    <t>analysis,visualization</t>
  </si>
  <si>
    <t>Top Word Pairs in Tags in G3</t>
  </si>
  <si>
    <t>Top Word Pairs in Tags in G4</t>
  </si>
  <si>
    <t>media,social</t>
  </si>
  <si>
    <t>word,cloud</t>
  </si>
  <si>
    <t>analysis,social</t>
  </si>
  <si>
    <t>network,science</t>
  </si>
  <si>
    <t>twitter,api</t>
  </si>
  <si>
    <t>Top Word Pairs in Tags</t>
  </si>
  <si>
    <t>Top Words in Tags by Count</t>
  </si>
  <si>
    <t/>
  </si>
  <si>
    <t>Top Words in Tags by Salience</t>
  </si>
  <si>
    <t>Top Word Pairs in Tags by Count</t>
  </si>
  <si>
    <t>Top Word Pairs in Tags by Salience</t>
  </si>
  <si>
    <t>Cyan</t>
  </si>
  <si>
    <t>Fuchsia</t>
  </si>
  <si>
    <t>Lime</t>
  </si>
  <si>
    <t>248, 7, 248</t>
  </si>
  <si>
    <t>196, 59, 196</t>
  </si>
  <si>
    <t>GraphSource░YouTubeVideo▓GraphTerm░NodeXL▓ImportDescription░The graph represents the network of YouTube videos whose title, keywords, description, categories, or author's username contain "NodeXL".  The network was obtained from YouTube on Monday, 29 June 2020 at 15:06 UTC.
The network was limited to 50 videos.
There is an edge for each pair of videos that have the same category.▓ImportSuggestedTitle░YouTube Video NodeXL▓ImportSuggestedFileNameNoExtension░2020-06-29 15-06-17 NodeXL YouTube Video NodeXL▓GroupingDescription░The graph's vertices were grouped by cluster using the Clauset-Newman-Moore cluster algorithm.▓LayoutAlgorithm░The graph was laid out using the Harel-Koren Fast Multiscale layout algorithm.▓GraphDirectedness░The graph is directed.</t>
  </si>
  <si>
    <t>Red</t>
  </si>
  <si>
    <t>Green</t>
  </si>
  <si>
    <t>YouTubeVideo</t>
  </si>
  <si>
    <t>The graph represents the network of YouTube videos whose title, keywords, description, categories, or author's username contain "NodeXL".  The network was obtained from YouTube on Monday, 29 June 2020 at 15:06 UTC.
The network was limited to 50 videos.
There is an edge for each pair of videos that have the same category.</t>
  </si>
  <si>
    <t>The graph was laid out using the Harel-Koren Fast Multiscale layout algorithm.</t>
  </si>
  <si>
    <t>The graph's vertices were grouped by cluster using the Clauset-Newman-Moore cluster algorithm.</t>
  </si>
  <si>
    <t>network analysis data tutorial gephi social facebook nodexl visualization software</t>
  </si>
  <si>
    <t>network social twitter nodexl data visualization analysis media api graph</t>
  </si>
  <si>
    <t>social networks network university data nodexl visualization maine media graph</t>
  </si>
  <si>
    <t>network social analysis tableau visualization science data word cloud university</t>
  </si>
  <si>
    <t>network,network</t>
  </si>
  <si>
    <t>analysis,tutorial</t>
  </si>
  <si>
    <t>tutorial,network</t>
  </si>
  <si>
    <t>david,barnes</t>
  </si>
  <si>
    <t>facebook,data</t>
  </si>
  <si>
    <t>nodexl,sna</t>
  </si>
  <si>
    <t>edge,list</t>
  </si>
  <si>
    <t>university,social</t>
  </si>
  <si>
    <t>networks,edge</t>
  </si>
  <si>
    <t>cloud,tableau</t>
  </si>
  <si>
    <t>tableau,word</t>
  </si>
  <si>
    <t>network,analysis  social,network  field,study  analysis,tutorial  tutorial,network  analysis,visualization  itl,207  david,barnes  data,science  facebook,data</t>
  </si>
  <si>
    <t>social,media  social,network  network,analysis  network,visualization  nodexl,sna  sna,social  network,network  twitter,api  data,visualization  media,social</t>
  </si>
  <si>
    <t>social,networks  maine,augusta  network,analysis  social,media  university,maine  social,network  edge,list  soc,375  university,social  networks,edge</t>
  </si>
  <si>
    <t>social,network  network,analysis  word,cloud  analysis,social  cloud,tableau  tableau,word  social,networks  data,visualization  social,media  network,science</t>
  </si>
  <si>
    <t>G1: network analysis data tutorial gephi social facebook nodexl visualization software</t>
  </si>
  <si>
    <t>G2: network social twitter nodexl data visualization analysis media api graph</t>
  </si>
  <si>
    <t>G3: social networks network university data nodexl visualization maine media graph</t>
  </si>
  <si>
    <t>G4: network social analysis tableau visualization science data word cloud university</t>
  </si>
  <si>
    <t>216, 39, 216</t>
  </si>
  <si>
    <t>209, 46, 209</t>
  </si>
  <si>
    <t>202, 53, 202</t>
  </si>
  <si>
    <t>189, 66, 189</t>
  </si>
  <si>
    <t>235, 20, 235</t>
  </si>
  <si>
    <t>242, 13, 242</t>
  </si>
  <si>
    <t>222, 33, 222</t>
  </si>
  <si>
    <t>229, 26, 229</t>
  </si>
  <si>
    <t>143, 112, 143</t>
  </si>
  <si>
    <t>150, 105, 150</t>
  </si>
  <si>
    <t>112, 143, 112</t>
  </si>
  <si>
    <t>163, 92, 163</t>
  </si>
  <si>
    <t>157, 99, 157</t>
  </si>
  <si>
    <t>98, 157, 98</t>
  </si>
  <si>
    <t>131, 125, 131</t>
  </si>
  <si>
    <t>183, 72, 183</t>
  </si>
  <si>
    <t>176, 79, 176</t>
  </si>
  <si>
    <t>59, 196, 59</t>
  </si>
  <si>
    <t>105, 150, 105</t>
  </si>
  <si>
    <t>Edge Weight▓1▓1▓0▓True▓Aqua▓White▓▓Edge Weight▓1▓1▓0▓5▓10▓False▓Edge Weight▓1▓1▓0▓20▓10▓False▓Out-Degree▓0▓49▓0▓True▓Lime▓Fuchsia▓▓In-Degree▓0▓45▓0▓10▓1000▓False▓▓0▓0▓0▓0▓0▓False▓▓0▓0▓0▓0▓0▓False▓▓0▓0▓0▓0▓0▓False</t>
  </si>
  <si>
    <t xml:space="preserve">     &lt;setting name="VertexAlphaDetails" serializeAs="String"&gt;
        &lt;value&gt;False False 0 0 50 100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 1000 False False&lt;/value&gt;
      &lt;/setting&gt;
      &lt;setting name="VertexXDetails" serializeAs="String"&gt;
        &lt;value&gt;False False 0 0 0 9999 False False&lt;/value&gt;
      &lt;/setting&gt;
      &lt;setting name="EdgeColorDetails" serializeAs="String"&gt;
        &lt;value&gt;False False 0 0 Aqua White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Tags&lt;/value&gt;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&lt;value&gt;2&lt;/value&gt;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&lt;value&gt;0, 0, 64&lt;/value&gt;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&lt;value&gt;10&lt;/value&gt;
      &lt;/setting&gt;
      &lt;setting name="AutoSelect" serializeAs="String"&gt;
        &lt;value&gt;True&lt;/value&gt;
      &lt;/setting&gt;
      &lt;setting name="LabelUserSettings" serializeAs="String"&gt;
        &lt;value&gt;Microsoft Sans Serif, 36pt White BottomCenter 30 2147483647 Black True 419 White 90 TopLeft Microsoft Sans Serif, 48pt Microsoft Sans Serif, 8.25pt&lt;/value&gt;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t>
  </si>
  <si>
    <t>https://nodexlgraphgallery.org/Pages/Graph.aspx?graphID=230001</t>
  </si>
  <si>
    <t>ze" serializeAs="String"&gt;
        &lt;value&gt;3&lt;/value&gt;
      &lt;/setting&gt;
      &lt;setting name="VertexEffect" serializeAs="String"&gt;
        &lt;value&gt;OuterGlow&lt;/value&gt;
      &lt;/setting&gt;
      &lt;setting name="EdgeBundlerStraightening"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</si>
</sst>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0" borderId="0" xfId="28"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0"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0" fontId="0" fillId="2" borderId="1" xfId="20" applyNumberFormat="1" applyFont="1" applyBorder="1" applyAlignment="1">
      <alignment/>
    </xf>
    <xf numFmtId="49" fontId="0" fillId="0" borderId="7" xfId="22" applyNumberFormat="1" applyFont="1" applyBorder="1" applyAlignment="1">
      <alignment/>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0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06"/>
      <tableStyleElement type="headerRow" dxfId="205"/>
    </tableStyle>
    <tableStyle name="NodeXL Table" pivot="0" count="1">
      <tableStyleElement type="headerRow" dxfId="20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9531289"/>
        <c:axId val="66019554"/>
      </c:barChart>
      <c:catAx>
        <c:axId val="595312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019554"/>
        <c:crosses val="autoZero"/>
        <c:auto val="1"/>
        <c:lblOffset val="100"/>
        <c:noMultiLvlLbl val="0"/>
      </c:catAx>
      <c:valAx>
        <c:axId val="66019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31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7305075"/>
        <c:axId val="45983628"/>
      </c:barChart>
      <c:catAx>
        <c:axId val="573050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983628"/>
        <c:crosses val="autoZero"/>
        <c:auto val="1"/>
        <c:lblOffset val="100"/>
        <c:noMultiLvlLbl val="0"/>
      </c:catAx>
      <c:valAx>
        <c:axId val="459836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05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1199469"/>
        <c:axId val="33686358"/>
      </c:barChart>
      <c:catAx>
        <c:axId val="111994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686358"/>
        <c:crosses val="autoZero"/>
        <c:auto val="1"/>
        <c:lblOffset val="100"/>
        <c:noMultiLvlLbl val="0"/>
      </c:catAx>
      <c:valAx>
        <c:axId val="33686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99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4741767"/>
        <c:axId val="44240448"/>
      </c:barChart>
      <c:catAx>
        <c:axId val="347417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240448"/>
        <c:crosses val="autoZero"/>
        <c:auto val="1"/>
        <c:lblOffset val="100"/>
        <c:noMultiLvlLbl val="0"/>
      </c:catAx>
      <c:valAx>
        <c:axId val="44240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41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2619713"/>
        <c:axId val="26706506"/>
      </c:barChart>
      <c:catAx>
        <c:axId val="626197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706506"/>
        <c:crosses val="autoZero"/>
        <c:auto val="1"/>
        <c:lblOffset val="100"/>
        <c:noMultiLvlLbl val="0"/>
      </c:catAx>
      <c:valAx>
        <c:axId val="26706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19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9031963"/>
        <c:axId val="15743348"/>
      </c:barChart>
      <c:catAx>
        <c:axId val="390319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743348"/>
        <c:crosses val="autoZero"/>
        <c:auto val="1"/>
        <c:lblOffset val="100"/>
        <c:noMultiLvlLbl val="0"/>
      </c:catAx>
      <c:valAx>
        <c:axId val="157433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31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7472405"/>
        <c:axId val="142782"/>
      </c:barChart>
      <c:catAx>
        <c:axId val="74724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2782"/>
        <c:crosses val="autoZero"/>
        <c:auto val="1"/>
        <c:lblOffset val="100"/>
        <c:noMultiLvlLbl val="0"/>
      </c:catAx>
      <c:valAx>
        <c:axId val="142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724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285039"/>
        <c:axId val="11565352"/>
      </c:barChart>
      <c:catAx>
        <c:axId val="12850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565352"/>
        <c:crosses val="autoZero"/>
        <c:auto val="1"/>
        <c:lblOffset val="100"/>
        <c:noMultiLvlLbl val="0"/>
      </c:catAx>
      <c:valAx>
        <c:axId val="11565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50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6979305"/>
        <c:axId val="64378290"/>
      </c:barChart>
      <c:catAx>
        <c:axId val="36979305"/>
        <c:scaling>
          <c:orientation val="minMax"/>
        </c:scaling>
        <c:axPos val="b"/>
        <c:delete val="1"/>
        <c:majorTickMark val="out"/>
        <c:minorTickMark val="none"/>
        <c:tickLblPos val="none"/>
        <c:crossAx val="64378290"/>
        <c:crosses val="autoZero"/>
        <c:auto val="1"/>
        <c:lblOffset val="100"/>
        <c:noMultiLvlLbl val="0"/>
      </c:catAx>
      <c:valAx>
        <c:axId val="64378290"/>
        <c:scaling>
          <c:orientation val="minMax"/>
        </c:scaling>
        <c:axPos val="l"/>
        <c:delete val="1"/>
        <c:majorTickMark val="out"/>
        <c:minorTickMark val="none"/>
        <c:tickLblPos val="none"/>
        <c:crossAx val="369793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A2444" totalsRowShown="0" headerRowDxfId="203" dataDxfId="167">
  <autoFilter ref="A2:AA2444"/>
  <tableColumns count="27">
    <tableColumn id="1" name="Vertex 1" dataDxfId="152"/>
    <tableColumn id="2" name="Vertex 2" dataDxfId="150"/>
    <tableColumn id="3" name="Color" dataDxfId="151"/>
    <tableColumn id="4" name="Width" dataDxfId="176"/>
    <tableColumn id="11" name="Style" dataDxfId="175"/>
    <tableColumn id="5" name="Opacity" dataDxfId="174"/>
    <tableColumn id="6" name="Visibility" dataDxfId="173"/>
    <tableColumn id="10" name="Label" dataDxfId="172"/>
    <tableColumn id="12" name="Label Text Color" dataDxfId="171"/>
    <tableColumn id="13" name="Label Font Size" dataDxfId="170"/>
    <tableColumn id="14" name="Reciprocated?" dataDxfId="99"/>
    <tableColumn id="7" name="ID" dataDxfId="169"/>
    <tableColumn id="9" name="Dynamic Filter" dataDxfId="168"/>
    <tableColumn id="8" name="Add Your Own Columns Here" dataDxfId="149"/>
    <tableColumn id="15" name="Relationship" dataDxfId="148"/>
    <tableColumn id="16" name="Edge Weight"/>
    <tableColumn id="17" name="Vertex 1 Group" dataDxfId="114">
      <calculatedColumnFormula>REPLACE(INDEX(GroupVertices[Group], MATCH(Edges[[#This Row],[Vertex 1]],GroupVertices[Vertex],0)),1,1,"")</calculatedColumnFormula>
    </tableColumn>
    <tableColumn id="18" name="Vertex 2 Group" dataDxfId="79">
      <calculatedColumnFormula>REPLACE(INDEX(GroupVertices[Group], MATCH(Edges[[#This Row],[Vertex 2]],GroupVertices[Vertex],0)),1,1,"")</calculatedColumnFormula>
    </tableColumn>
    <tableColumn id="19" name="Sentiment List #1: List1 Word Count" dataDxfId="78"/>
    <tableColumn id="20" name="Sentiment List #1: List1 Word Percentage (%)" dataDxfId="77"/>
    <tableColumn id="21" name="Sentiment List #2: List2 Word Count" dataDxfId="76"/>
    <tableColumn id="22" name="Sentiment List #2: List2 Word Percentage (%)" dataDxfId="75"/>
    <tableColumn id="23" name="Sentiment List #3: List3 Word Count" dataDxfId="74"/>
    <tableColumn id="24" name="Sentiment List #3: List3 Word Percentage (%)" dataDxfId="73"/>
    <tableColumn id="25" name="Non-categorized Word Count" dataDxfId="72"/>
    <tableColumn id="26" name="Non-categorized Word Percentage (%)" dataDxfId="71"/>
    <tableColumn id="27" name="Edge Content Word Count" dataDxfId="7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7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28" totalsRowShown="0" headerRowDxfId="130" dataDxfId="129">
  <autoFilter ref="A1:G528"/>
  <tableColumns count="7">
    <tableColumn id="1" name="Word" dataDxfId="98"/>
    <tableColumn id="2" name="Count" dataDxfId="97"/>
    <tableColumn id="3" name="Salience" dataDxfId="96"/>
    <tableColumn id="4" name="Group" dataDxfId="95"/>
    <tableColumn id="5" name="Word on Sentiment List #1: List1" dataDxfId="94"/>
    <tableColumn id="6" name="Word on Sentiment List #2: List2" dataDxfId="93"/>
    <tableColumn id="7" name="Word on Sentiment List #3: List3" dataDxfId="9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8" totalsRowShown="0" headerRowDxfId="128" dataDxfId="127">
  <autoFilter ref="A1:L438"/>
  <tableColumns count="12">
    <tableColumn id="1" name="Word 1" dataDxfId="91"/>
    <tableColumn id="2" name="Word 2" dataDxfId="90"/>
    <tableColumn id="3" name="Count" dataDxfId="89"/>
    <tableColumn id="4" name="Salience" dataDxfId="88"/>
    <tableColumn id="5" name="Mutual Information" dataDxfId="87"/>
    <tableColumn id="6" name="Group" dataDxfId="86"/>
    <tableColumn id="7" name="Word1 on Sentiment List #1: List1" dataDxfId="85"/>
    <tableColumn id="8" name="Word1 on Sentiment List #2: List2" dataDxfId="84"/>
    <tableColumn id="9" name="Word1 on Sentiment List #3: List3" dataDxfId="83"/>
    <tableColumn id="10" name="Word2 on Sentiment List #1: List1" dataDxfId="82"/>
    <tableColumn id="11" name="Word2 on Sentiment List #2: List2" dataDxfId="81"/>
    <tableColumn id="12" name="Word2 on Sentiment List #3: List3" dataDxfId="80"/>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8" totalsRowShown="0" headerRowDxfId="126" dataDxfId="125">
  <autoFilter ref="A2:C18"/>
  <tableColumns count="3">
    <tableColumn id="1" name="Group 1" dataDxfId="51"/>
    <tableColumn id="2" name="Group 2" dataDxfId="50"/>
    <tableColumn id="3" name="Edges" dataDxfId="49"/>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124" dataDxfId="123">
  <autoFilter ref="A1:B7"/>
  <tableColumns count="2">
    <tableColumn id="1" name="Key" dataDxfId="33"/>
    <tableColumn id="2" name="Value" dataDxfId="32"/>
  </tableColumns>
  <tableStyleInfo name="NodeXL Table" showFirstColumn="0" showLastColumn="0" showRowStripes="1" showColumnStripes="0"/>
</table>
</file>

<file path=xl/tables/table15.xml><?xml version="1.0" encoding="utf-8"?>
<table xmlns="http://schemas.openxmlformats.org/spreadsheetml/2006/main" id="18" name="TopItems_1" displayName="TopItems_1" ref="A1:B11" totalsRowShown="0" headerRowDxfId="37" dataDxfId="36">
  <autoFilter ref="A1:B11"/>
  <tableColumns count="2">
    <tableColumn id="1" name="Top 10 Vertices, Ranked by Betweenness Centrality" dataDxfId="35"/>
    <tableColumn id="2" name="Betweenness Centrality" dataDxfId="34"/>
  </tableColumns>
  <tableStyleInfo name="NodeXL Table" showFirstColumn="0" showLastColumn="0" showRowStripes="1" showColumnStripes="0"/>
</table>
</file>

<file path=xl/tables/table16.xml><?xml version="1.0" encoding="utf-8"?>
<table xmlns="http://schemas.openxmlformats.org/spreadsheetml/2006/main" id="19" name="NetworkTopItems_1" displayName="NetworkTopItems_1" ref="A1:J11" totalsRowShown="0" headerRowDxfId="31" dataDxfId="30">
  <autoFilter ref="A1:J11"/>
  <tableColumns count="10">
    <tableColumn id="1" name="Top Words in Tags in Entire Graph" dataDxfId="29"/>
    <tableColumn id="2" name="Entire Graph Count" dataDxfId="28"/>
    <tableColumn id="3" name="Top Words in Tags in G1" dataDxfId="27"/>
    <tableColumn id="4" name="G1 Count" dataDxfId="26"/>
    <tableColumn id="5" name="Top Words in Tags in G2" dataDxfId="25"/>
    <tableColumn id="6" name="G2 Count" dataDxfId="24"/>
    <tableColumn id="7" name="Top Words in Tags in G3" dataDxfId="23"/>
    <tableColumn id="8" name="G3 Count" dataDxfId="22"/>
    <tableColumn id="9" name="Top Words in Tags in G4" dataDxfId="21"/>
    <tableColumn id="10" name="G4 Count" dataDxfId="20"/>
  </tableColumns>
  <tableStyleInfo name="NodeXL Table" showFirstColumn="0" showLastColumn="0" showRowStripes="1" showColumnStripes="0"/>
</table>
</file>

<file path=xl/tables/table17.xml><?xml version="1.0" encoding="utf-8"?>
<table xmlns="http://schemas.openxmlformats.org/spreadsheetml/2006/main" id="20" name="NetworkTopItems_2" displayName="NetworkTopItems_2" ref="A14:J24" totalsRowShown="0" headerRowDxfId="18" dataDxfId="17">
  <autoFilter ref="A14:J24"/>
  <tableColumns count="10">
    <tableColumn id="1" name="Top Word Pairs in Tags in Entire Graph" dataDxfId="16"/>
    <tableColumn id="2" name="Entire Graph Count" dataDxfId="15"/>
    <tableColumn id="3" name="Top Word Pairs in Tags in G1" dataDxfId="14"/>
    <tableColumn id="4" name="G1 Count" dataDxfId="13"/>
    <tableColumn id="5" name="Top Word Pairs in Tags in G2" dataDxfId="12"/>
    <tableColumn id="6" name="G2 Count" dataDxfId="11"/>
    <tableColumn id="7" name="Top Word Pairs in Tags in G3" dataDxfId="10"/>
    <tableColumn id="8" name="G3 Count" dataDxfId="9"/>
    <tableColumn id="9" name="Top Word Pairs in Tags in G4" dataDxfId="8"/>
    <tableColumn id="10" name="G4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B734" totalsRowShown="0" headerRowDxfId="202" dataDxfId="153">
  <autoFilter ref="A2:BB734"/>
  <sortState ref="A3:BB734">
    <sortCondition descending="1" sortBy="value" ref="U3:U734"/>
  </sortState>
  <tableColumns count="54">
    <tableColumn id="1" name="Vertex" dataDxfId="166"/>
    <tableColumn id="2" name="Color" dataDxfId="165"/>
    <tableColumn id="5" name="Shape" dataDxfId="164"/>
    <tableColumn id="6" name="Size" dataDxfId="163"/>
    <tableColumn id="4" name="Opacity" dataDxfId="135"/>
    <tableColumn id="7" name="Image File" dataDxfId="133"/>
    <tableColumn id="3" name="Visibility" dataDxfId="134"/>
    <tableColumn id="10" name="Label" dataDxfId="162"/>
    <tableColumn id="16" name="Label Fill Color" dataDxfId="161"/>
    <tableColumn id="9" name="Label Position" dataDxfId="147"/>
    <tableColumn id="8" name="Tooltip" dataDxfId="145"/>
    <tableColumn id="18" name="Layout Order" dataDxfId="146"/>
    <tableColumn id="13" name="X" dataDxfId="160"/>
    <tableColumn id="14" name="Y" dataDxfId="159"/>
    <tableColumn id="12" name="Locked?" dataDxfId="158"/>
    <tableColumn id="19" name="Polar R" dataDxfId="157"/>
    <tableColumn id="20" name="Polar Angle" dataDxfId="156"/>
    <tableColumn id="21" name="Degree" dataDxfId="44"/>
    <tableColumn id="22" name="In-Degree" dataDxfId="43"/>
    <tableColumn id="23" name="Out-Degree" dataDxfId="41"/>
    <tableColumn id="24" name="Betweenness Centrality" dataDxfId="42"/>
    <tableColumn id="25" name="Closeness Centrality" dataDxfId="46"/>
    <tableColumn id="26" name="Eigenvector Centrality" dataDxfId="45"/>
    <tableColumn id="15" name="PageRank" dataDxfId="40"/>
    <tableColumn id="27" name="Clustering Coefficient" dataDxfId="38"/>
    <tableColumn id="29" name="Reciprocated Vertex Pair Ratio" dataDxfId="39"/>
    <tableColumn id="11" name="ID" dataDxfId="155"/>
    <tableColumn id="28" name="Dynamic Filter" dataDxfId="154"/>
    <tableColumn id="17" name="Add Your Own Columns Here" dataDxfId="144"/>
    <tableColumn id="30" name="Title" dataDxfId="143"/>
    <tableColumn id="31" name="Description" dataDxfId="142"/>
    <tableColumn id="32" name="Tags" dataDxfId="141"/>
    <tableColumn id="33" name="Author" dataDxfId="140"/>
    <tableColumn id="34" name="Created Date (UTC)" dataDxfId="139"/>
    <tableColumn id="35" name="Views" dataDxfId="138"/>
    <tableColumn id="36" name="Comments" dataDxfId="137"/>
    <tableColumn id="37" name="Likes Count" dataDxfId="136"/>
    <tableColumn id="38" name="Dislikes Count" dataDxfId="132"/>
    <tableColumn id="39" name="Custom Menu Item Text" dataDxfId="131"/>
    <tableColumn id="40" name="Custom Menu Item Action" dataDxfId="115"/>
    <tableColumn id="41" name="Vertex Group" dataDxfId="69">
      <calculatedColumnFormula>REPLACE(INDEX(GroupVertices[Group], MATCH(Vertices[[#This Row],[Vertex]],GroupVertices[Vertex],0)),1,1,"")</calculatedColumnFormula>
    </tableColumn>
    <tableColumn id="42" name="Sentiment List #1: List1 Word Count" dataDxfId="68"/>
    <tableColumn id="43" name="Sentiment List #1: List1 Word Percentage (%)" dataDxfId="67"/>
    <tableColumn id="44" name="Sentiment List #2: List2 Word Count" dataDxfId="66"/>
    <tableColumn id="45" name="Sentiment List #2: List2 Word Percentage (%)" dataDxfId="65"/>
    <tableColumn id="46" name="Sentiment List #3: List3 Word Count" dataDxfId="64"/>
    <tableColumn id="47" name="Sentiment List #3: List3 Word Percentage (%)" dataDxfId="63"/>
    <tableColumn id="48" name="Non-categorized Word Count" dataDxfId="62"/>
    <tableColumn id="49" name="Non-categorized Word Percentage (%)" dataDxfId="61"/>
    <tableColumn id="50" name="Vertex Content Word Count" dataDxfId="4"/>
    <tableColumn id="51" name="Top Words in Tags by Count" dataDxfId="3"/>
    <tableColumn id="52" name="Top Words in Tags by Salience" dataDxfId="2"/>
    <tableColumn id="53" name="Top Word Pairs in Tags by Count" dataDxfId="1"/>
    <tableColumn id="54" name="Top Word Pairs in Tags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6" totalsRowShown="0" headerRowDxfId="201">
  <autoFilter ref="A2:AI6"/>
  <tableColumns count="35">
    <tableColumn id="1" name="Group" dataDxfId="122"/>
    <tableColumn id="2" name="Vertex Color" dataDxfId="121"/>
    <tableColumn id="3" name="Vertex Shape" dataDxfId="119"/>
    <tableColumn id="22" name="Visibility" dataDxfId="120"/>
    <tableColumn id="4" name="Collapsed?"/>
    <tableColumn id="18" name="Label" dataDxfId="200"/>
    <tableColumn id="20" name="Collapsed X"/>
    <tableColumn id="21" name="Collapsed Y"/>
    <tableColumn id="6" name="ID" dataDxfId="199"/>
    <tableColumn id="19" name="Collapsed Properties" dataDxfId="113"/>
    <tableColumn id="5" name="Vertices" dataDxfId="112"/>
    <tableColumn id="7" name="Unique Edges" dataDxfId="111"/>
    <tableColumn id="8" name="Edges With Duplicates" dataDxfId="110"/>
    <tableColumn id="9" name="Total Edges" dataDxfId="109"/>
    <tableColumn id="10" name="Self-Loops" dataDxfId="108"/>
    <tableColumn id="24" name="Reciprocated Vertex Pair Ratio" dataDxfId="107"/>
    <tableColumn id="25" name="Reciprocated Edge Ratio" dataDxfId="106"/>
    <tableColumn id="11" name="Connected Components" dataDxfId="105"/>
    <tableColumn id="12" name="Single-Vertex Connected Components" dataDxfId="104"/>
    <tableColumn id="13" name="Maximum Vertices in a Connected Component" dataDxfId="103"/>
    <tableColumn id="14" name="Maximum Edges in a Connected Component" dataDxfId="102"/>
    <tableColumn id="15" name="Maximum Geodesic Distance (Diameter)" dataDxfId="101"/>
    <tableColumn id="16" name="Average Geodesic Distance" dataDxfId="100"/>
    <tableColumn id="17" name="Graph Density" dataDxfId="60"/>
    <tableColumn id="23" name="Sentiment List #1: List1 Word Count" dataDxfId="59"/>
    <tableColumn id="26" name="Sentiment List #1: List1 Word Percentage (%)" dataDxfId="58"/>
    <tableColumn id="27" name="Sentiment List #2: List2 Word Count" dataDxfId="57"/>
    <tableColumn id="28" name="Sentiment List #2: List2 Word Percentage (%)" dataDxfId="56"/>
    <tableColumn id="29" name="Sentiment List #3: List3 Word Count" dataDxfId="55"/>
    <tableColumn id="30" name="Sentiment List #3: List3 Word Percentage (%)" dataDxfId="54"/>
    <tableColumn id="31" name="Non-categorized Word Count" dataDxfId="53"/>
    <tableColumn id="32" name="Non-categorized Word Percentage (%)" dataDxfId="52"/>
    <tableColumn id="33" name="Group Content Word Count" dataDxfId="19"/>
    <tableColumn id="34" name="Top Words in Tags" dataDxfId="6"/>
    <tableColumn id="35" name="Top Word Pairs in Tags"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1" totalsRowShown="0" headerRowDxfId="198" dataDxfId="197">
  <autoFilter ref="A1:C261"/>
  <tableColumns count="3">
    <tableColumn id="1" name="Group" dataDxfId="118"/>
    <tableColumn id="2" name="Vertex" dataDxfId="117"/>
    <tableColumn id="3" name="Vertex ID" dataDxfId="1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48"/>
    <tableColumn id="2" name="Value" dataDxfId="4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196"/>
    <tableColumn id="2" name="Degree Frequency" dataDxfId="195">
      <calculatedColumnFormula>COUNTIF(Vertices[Degree], "&gt;= " &amp; D2) - COUNTIF(Vertices[Degree], "&gt;=" &amp; D3)</calculatedColumnFormula>
    </tableColumn>
    <tableColumn id="3" name="In-Degree Bin" dataDxfId="194"/>
    <tableColumn id="4" name="In-Degree Frequency" dataDxfId="193">
      <calculatedColumnFormula>COUNTIF(Vertices[In-Degree], "&gt;= " &amp; F2) - COUNTIF(Vertices[In-Degree], "&gt;=" &amp; F3)</calculatedColumnFormula>
    </tableColumn>
    <tableColumn id="5" name="Out-Degree Bin" dataDxfId="192"/>
    <tableColumn id="6" name="Out-Degree Frequency" dataDxfId="191">
      <calculatedColumnFormula>COUNTIF(Vertices[Out-Degree], "&gt;= " &amp; H2) - COUNTIF(Vertices[Out-Degree], "&gt;=" &amp; H3)</calculatedColumnFormula>
    </tableColumn>
    <tableColumn id="7" name="Betweenness Centrality Bin" dataDxfId="190"/>
    <tableColumn id="8" name="Betweenness Centrality Frequency" dataDxfId="189">
      <calculatedColumnFormula>COUNTIF(Vertices[Betweenness Centrality], "&gt;= " &amp; J2) - COUNTIF(Vertices[Betweenness Centrality], "&gt;=" &amp; J3)</calculatedColumnFormula>
    </tableColumn>
    <tableColumn id="9" name="Closeness Centrality Bin" dataDxfId="188"/>
    <tableColumn id="10" name="Closeness Centrality Frequency" dataDxfId="187">
      <calculatedColumnFormula>COUNTIF(Vertices[Closeness Centrality], "&gt;= " &amp; L2) - COUNTIF(Vertices[Closeness Centrality], "&gt;=" &amp; L3)</calculatedColumnFormula>
    </tableColumn>
    <tableColumn id="11" name="Eigenvector Centrality Bin" dataDxfId="186"/>
    <tableColumn id="12" name="Eigenvector Centrality Frequency" dataDxfId="185">
      <calculatedColumnFormula>COUNTIF(Vertices[Eigenvector Centrality], "&gt;= " &amp; N2) - COUNTIF(Vertices[Eigenvector Centrality], "&gt;=" &amp; N3)</calculatedColumnFormula>
    </tableColumn>
    <tableColumn id="18" name="PageRank Bin" dataDxfId="184"/>
    <tableColumn id="17" name="PageRank Frequency" dataDxfId="183">
      <calculatedColumnFormula>COUNTIF(Vertices[Eigenvector Centrality], "&gt;= " &amp; P2) - COUNTIF(Vertices[Eigenvector Centrality], "&gt;=" &amp; P3)</calculatedColumnFormula>
    </tableColumn>
    <tableColumn id="13" name="Clustering Coefficient Bin" dataDxfId="182"/>
    <tableColumn id="14" name="Clustering Coefficient Frequency" dataDxfId="181">
      <calculatedColumnFormula>COUNTIF(Vertices[Clustering Coefficient], "&gt;= " &amp; R2) - COUNTIF(Vertices[Clustering Coefficient], "&gt;=" &amp; R3)</calculatedColumnFormula>
    </tableColumn>
    <tableColumn id="15" name="Dynamic Filter Bin" dataDxfId="180"/>
    <tableColumn id="16" name="Dynamic Filter Frequency" dataDxfId="17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7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444"/>
  <sheetViews>
    <sheetView workbookViewId="0" topLeftCell="A1">
      <pane xSplit="2" ySplit="2" topLeftCell="C249" activePane="bottomRight" state="frozen"/>
      <selection pane="topRight" activeCell="C1" sqref="C1"/>
      <selection pane="bottomLeft" activeCell="A3" sqref="A3"/>
      <selection pane="bottomRight" activeCell="A2" sqref="A2:AA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customWidth="1"/>
    <col min="17" max="18" width="11.140625" style="0" bestFit="1" customWidth="1"/>
    <col min="19" max="19" width="19.7109375" style="0" bestFit="1" customWidth="1"/>
    <col min="20" max="20" width="24.28125" style="0" bestFit="1" customWidth="1"/>
    <col min="21" max="21" width="19.7109375" style="0" bestFit="1" customWidth="1"/>
    <col min="22" max="22" width="24.28125" style="0" bestFit="1" customWidth="1"/>
    <col min="23" max="23" width="19.7109375" style="0" bestFit="1" customWidth="1"/>
    <col min="24" max="24" width="24.28125" style="0" bestFit="1" customWidth="1"/>
    <col min="25" max="25" width="18.57421875" style="0" bestFit="1" customWidth="1"/>
    <col min="26" max="26" width="22.28125" style="0" bestFit="1" customWidth="1"/>
    <col min="27" max="27" width="15.7109375" style="0" bestFit="1" customWidth="1"/>
  </cols>
  <sheetData>
    <row r="1" spans="3:14" ht="15">
      <c r="C1" s="16" t="s">
        <v>39</v>
      </c>
      <c r="D1" s="17"/>
      <c r="E1" s="17"/>
      <c r="F1" s="17"/>
      <c r="G1" s="16"/>
      <c r="H1" s="14" t="s">
        <v>43</v>
      </c>
      <c r="I1" s="50"/>
      <c r="J1" s="50"/>
      <c r="K1" s="33" t="s">
        <v>42</v>
      </c>
      <c r="L1" s="18" t="s">
        <v>40</v>
      </c>
      <c r="M1" s="18"/>
      <c r="N1" s="15" t="s">
        <v>41</v>
      </c>
    </row>
    <row r="2" spans="1:2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t="s">
        <v>4100</v>
      </c>
      <c r="Q2" s="13" t="s">
        <v>4110</v>
      </c>
      <c r="R2" s="13" t="s">
        <v>4111</v>
      </c>
      <c r="S2" s="52" t="s">
        <v>4369</v>
      </c>
      <c r="T2" s="52" t="s">
        <v>4370</v>
      </c>
      <c r="U2" s="52" t="s">
        <v>4371</v>
      </c>
      <c r="V2" s="52" t="s">
        <v>4372</v>
      </c>
      <c r="W2" s="52" t="s">
        <v>4373</v>
      </c>
      <c r="X2" s="52" t="s">
        <v>4374</v>
      </c>
      <c r="Y2" s="52" t="s">
        <v>4375</v>
      </c>
      <c r="Z2" s="52" t="s">
        <v>4376</v>
      </c>
      <c r="AA2" s="52" t="s">
        <v>4377</v>
      </c>
    </row>
    <row r="3" spans="1:27" ht="15" customHeight="1">
      <c r="A3" s="66" t="s">
        <v>212</v>
      </c>
      <c r="B3" s="66" t="s">
        <v>943</v>
      </c>
      <c r="C3" s="67" t="s">
        <v>4454</v>
      </c>
      <c r="D3" s="68">
        <v>5</v>
      </c>
      <c r="E3" s="69"/>
      <c r="F3" s="70">
        <v>20</v>
      </c>
      <c r="G3" s="67"/>
      <c r="H3" s="71"/>
      <c r="I3" s="72"/>
      <c r="J3" s="72"/>
      <c r="K3" s="34"/>
      <c r="L3" s="73">
        <v>3</v>
      </c>
      <c r="M3" s="73"/>
      <c r="N3" s="74"/>
      <c r="O3" s="80" t="s">
        <v>944</v>
      </c>
      <c r="P3">
        <v>1</v>
      </c>
      <c r="Q3" s="80" t="e">
        <f>REPLACE(INDEX(GroupVertices[Group],MATCH(Edges[[#This Row],[Vertex 1]],GroupVertices[Vertex],0)),1,1,"")</f>
        <v>#N/A</v>
      </c>
      <c r="R3" s="80" t="e">
        <f>REPLACE(INDEX(GroupVertices[Group],MATCH(Edges[[#This Row],[Vertex 2]],GroupVertices[Vertex],0)),1,1,"")</f>
        <v>#N/A</v>
      </c>
      <c r="S3" s="34"/>
      <c r="T3" s="34"/>
      <c r="U3" s="34"/>
      <c r="V3" s="34"/>
      <c r="W3" s="34"/>
      <c r="X3" s="34"/>
      <c r="Y3" s="34"/>
      <c r="Z3" s="34"/>
      <c r="AA3" s="34"/>
    </row>
    <row r="4" spans="1:27" ht="15" customHeight="1">
      <c r="A4" s="66" t="s">
        <v>212</v>
      </c>
      <c r="B4" s="66" t="s">
        <v>262</v>
      </c>
      <c r="C4" s="67" t="s">
        <v>4454</v>
      </c>
      <c r="D4" s="68">
        <v>5</v>
      </c>
      <c r="E4" s="69"/>
      <c r="F4" s="70">
        <v>20</v>
      </c>
      <c r="G4" s="67"/>
      <c r="H4" s="71"/>
      <c r="I4" s="72"/>
      <c r="J4" s="72"/>
      <c r="K4" s="34"/>
      <c r="L4" s="79">
        <v>4</v>
      </c>
      <c r="M4" s="79"/>
      <c r="N4" s="74"/>
      <c r="O4" s="81" t="s">
        <v>944</v>
      </c>
      <c r="P4">
        <v>1</v>
      </c>
      <c r="Q4" s="80" t="e">
        <f>REPLACE(INDEX(GroupVertices[Group],MATCH(Edges[[#This Row],[Vertex 1]],GroupVertices[Vertex],0)),1,1,"")</f>
        <v>#N/A</v>
      </c>
      <c r="R4" s="80" t="e">
        <f>REPLACE(INDEX(GroupVertices[Group],MATCH(Edges[[#This Row],[Vertex 2]],GroupVertices[Vertex],0)),1,1,"")</f>
        <v>#N/A</v>
      </c>
      <c r="S4" s="34"/>
      <c r="T4" s="34"/>
      <c r="U4" s="34"/>
      <c r="V4" s="34"/>
      <c r="W4" s="34"/>
      <c r="X4" s="34"/>
      <c r="Y4" s="34"/>
      <c r="Z4" s="34"/>
      <c r="AA4" s="34"/>
    </row>
    <row r="5" spans="1:27" ht="15">
      <c r="A5" s="66" t="s">
        <v>212</v>
      </c>
      <c r="B5" s="66" t="s">
        <v>263</v>
      </c>
      <c r="C5" s="67" t="s">
        <v>4454</v>
      </c>
      <c r="D5" s="68">
        <v>5</v>
      </c>
      <c r="E5" s="69"/>
      <c r="F5" s="70">
        <v>20</v>
      </c>
      <c r="G5" s="67"/>
      <c r="H5" s="71"/>
      <c r="I5" s="72"/>
      <c r="J5" s="72"/>
      <c r="K5" s="34"/>
      <c r="L5" s="79">
        <v>5</v>
      </c>
      <c r="M5" s="79"/>
      <c r="N5" s="74"/>
      <c r="O5" s="81" t="s">
        <v>944</v>
      </c>
      <c r="P5">
        <v>1</v>
      </c>
      <c r="Q5" s="80" t="e">
        <f>REPLACE(INDEX(GroupVertices[Group],MATCH(Edges[[#This Row],[Vertex 1]],GroupVertices[Vertex],0)),1,1,"")</f>
        <v>#N/A</v>
      </c>
      <c r="R5" s="80" t="e">
        <f>REPLACE(INDEX(GroupVertices[Group],MATCH(Edges[[#This Row],[Vertex 2]],GroupVertices[Vertex],0)),1,1,"")</f>
        <v>#N/A</v>
      </c>
      <c r="S5" s="34"/>
      <c r="T5" s="34"/>
      <c r="U5" s="34"/>
      <c r="V5" s="34"/>
      <c r="W5" s="34"/>
      <c r="X5" s="34"/>
      <c r="Y5" s="34"/>
      <c r="Z5" s="34"/>
      <c r="AA5" s="34"/>
    </row>
    <row r="6" spans="1:27" ht="15">
      <c r="A6" s="66" t="s">
        <v>212</v>
      </c>
      <c r="B6" s="66" t="s">
        <v>264</v>
      </c>
      <c r="C6" s="67" t="s">
        <v>4454</v>
      </c>
      <c r="D6" s="68">
        <v>5</v>
      </c>
      <c r="E6" s="69"/>
      <c r="F6" s="70">
        <v>20</v>
      </c>
      <c r="G6" s="67"/>
      <c r="H6" s="71"/>
      <c r="I6" s="72"/>
      <c r="J6" s="72"/>
      <c r="K6" s="34"/>
      <c r="L6" s="79">
        <v>6</v>
      </c>
      <c r="M6" s="79"/>
      <c r="N6" s="74"/>
      <c r="O6" s="81" t="s">
        <v>944</v>
      </c>
      <c r="P6">
        <v>1</v>
      </c>
      <c r="Q6" s="80" t="e">
        <f>REPLACE(INDEX(GroupVertices[Group],MATCH(Edges[[#This Row],[Vertex 1]],GroupVertices[Vertex],0)),1,1,"")</f>
        <v>#N/A</v>
      </c>
      <c r="R6" s="80" t="e">
        <f>REPLACE(INDEX(GroupVertices[Group],MATCH(Edges[[#This Row],[Vertex 2]],GroupVertices[Vertex],0)),1,1,"")</f>
        <v>#N/A</v>
      </c>
      <c r="S6" s="34"/>
      <c r="T6" s="34"/>
      <c r="U6" s="34"/>
      <c r="V6" s="34"/>
      <c r="W6" s="34"/>
      <c r="X6" s="34"/>
      <c r="Y6" s="34"/>
      <c r="Z6" s="34"/>
      <c r="AA6" s="34"/>
    </row>
    <row r="7" spans="1:27" ht="15">
      <c r="A7" s="66" t="s">
        <v>212</v>
      </c>
      <c r="B7" s="66" t="s">
        <v>265</v>
      </c>
      <c r="C7" s="67" t="s">
        <v>4454</v>
      </c>
      <c r="D7" s="68">
        <v>5</v>
      </c>
      <c r="E7" s="69"/>
      <c r="F7" s="70">
        <v>20</v>
      </c>
      <c r="G7" s="67"/>
      <c r="H7" s="71"/>
      <c r="I7" s="72"/>
      <c r="J7" s="72"/>
      <c r="K7" s="34"/>
      <c r="L7" s="79">
        <v>7</v>
      </c>
      <c r="M7" s="79"/>
      <c r="N7" s="74"/>
      <c r="O7" s="81" t="s">
        <v>944</v>
      </c>
      <c r="P7">
        <v>1</v>
      </c>
      <c r="Q7" s="80" t="e">
        <f>REPLACE(INDEX(GroupVertices[Group],MATCH(Edges[[#This Row],[Vertex 1]],GroupVertices[Vertex],0)),1,1,"")</f>
        <v>#N/A</v>
      </c>
      <c r="R7" s="80" t="e">
        <f>REPLACE(INDEX(GroupVertices[Group],MATCH(Edges[[#This Row],[Vertex 2]],GroupVertices[Vertex],0)),1,1,"")</f>
        <v>#N/A</v>
      </c>
      <c r="S7" s="34"/>
      <c r="T7" s="34"/>
      <c r="U7" s="34"/>
      <c r="V7" s="34"/>
      <c r="W7" s="34"/>
      <c r="X7" s="34"/>
      <c r="Y7" s="34"/>
      <c r="Z7" s="34"/>
      <c r="AA7" s="34"/>
    </row>
    <row r="8" spans="1:27" ht="15">
      <c r="A8" s="66" t="s">
        <v>212</v>
      </c>
      <c r="B8" s="66" t="s">
        <v>266</v>
      </c>
      <c r="C8" s="67" t="s">
        <v>4454</v>
      </c>
      <c r="D8" s="68">
        <v>5</v>
      </c>
      <c r="E8" s="69"/>
      <c r="F8" s="70">
        <v>20</v>
      </c>
      <c r="G8" s="67"/>
      <c r="H8" s="71"/>
      <c r="I8" s="72"/>
      <c r="J8" s="72"/>
      <c r="K8" s="34"/>
      <c r="L8" s="79">
        <v>8</v>
      </c>
      <c r="M8" s="79"/>
      <c r="N8" s="74"/>
      <c r="O8" s="81" t="s">
        <v>944</v>
      </c>
      <c r="P8">
        <v>1</v>
      </c>
      <c r="Q8" s="80" t="e">
        <f>REPLACE(INDEX(GroupVertices[Group],MATCH(Edges[[#This Row],[Vertex 1]],GroupVertices[Vertex],0)),1,1,"")</f>
        <v>#N/A</v>
      </c>
      <c r="R8" s="80" t="e">
        <f>REPLACE(INDEX(GroupVertices[Group],MATCH(Edges[[#This Row],[Vertex 2]],GroupVertices[Vertex],0)),1,1,"")</f>
        <v>#N/A</v>
      </c>
      <c r="S8" s="34"/>
      <c r="T8" s="34"/>
      <c r="U8" s="34"/>
      <c r="V8" s="34"/>
      <c r="W8" s="34"/>
      <c r="X8" s="34"/>
      <c r="Y8" s="34"/>
      <c r="Z8" s="34"/>
      <c r="AA8" s="34"/>
    </row>
    <row r="9" spans="1:27" ht="15">
      <c r="A9" s="66" t="s">
        <v>212</v>
      </c>
      <c r="B9" s="66" t="s">
        <v>267</v>
      </c>
      <c r="C9" s="67" t="s">
        <v>4454</v>
      </c>
      <c r="D9" s="68">
        <v>5</v>
      </c>
      <c r="E9" s="69"/>
      <c r="F9" s="70">
        <v>20</v>
      </c>
      <c r="G9" s="67"/>
      <c r="H9" s="71"/>
      <c r="I9" s="72"/>
      <c r="J9" s="72"/>
      <c r="K9" s="34"/>
      <c r="L9" s="79">
        <v>9</v>
      </c>
      <c r="M9" s="79"/>
      <c r="N9" s="74"/>
      <c r="O9" s="81" t="s">
        <v>944</v>
      </c>
      <c r="P9">
        <v>1</v>
      </c>
      <c r="Q9" s="80" t="e">
        <f>REPLACE(INDEX(GroupVertices[Group],MATCH(Edges[[#This Row],[Vertex 1]],GroupVertices[Vertex],0)),1,1,"")</f>
        <v>#N/A</v>
      </c>
      <c r="R9" s="80" t="e">
        <f>REPLACE(INDEX(GroupVertices[Group],MATCH(Edges[[#This Row],[Vertex 2]],GroupVertices[Vertex],0)),1,1,"")</f>
        <v>#N/A</v>
      </c>
      <c r="S9" s="34"/>
      <c r="T9" s="34"/>
      <c r="U9" s="34"/>
      <c r="V9" s="34"/>
      <c r="W9" s="34"/>
      <c r="X9" s="34"/>
      <c r="Y9" s="34"/>
      <c r="Z9" s="34"/>
      <c r="AA9" s="34"/>
    </row>
    <row r="10" spans="1:27" ht="15">
      <c r="A10" s="66" t="s">
        <v>212</v>
      </c>
      <c r="B10" s="66" t="s">
        <v>268</v>
      </c>
      <c r="C10" s="67" t="s">
        <v>4454</v>
      </c>
      <c r="D10" s="68">
        <v>5</v>
      </c>
      <c r="E10" s="69"/>
      <c r="F10" s="70">
        <v>20</v>
      </c>
      <c r="G10" s="67"/>
      <c r="H10" s="71"/>
      <c r="I10" s="72"/>
      <c r="J10" s="72"/>
      <c r="K10" s="34"/>
      <c r="L10" s="79">
        <v>10</v>
      </c>
      <c r="M10" s="79"/>
      <c r="N10" s="74"/>
      <c r="O10" s="81" t="s">
        <v>944</v>
      </c>
      <c r="P10">
        <v>1</v>
      </c>
      <c r="Q10" s="80" t="e">
        <f>REPLACE(INDEX(GroupVertices[Group],MATCH(Edges[[#This Row],[Vertex 1]],GroupVertices[Vertex],0)),1,1,"")</f>
        <v>#N/A</v>
      </c>
      <c r="R10" s="80" t="e">
        <f>REPLACE(INDEX(GroupVertices[Group],MATCH(Edges[[#This Row],[Vertex 2]],GroupVertices[Vertex],0)),1,1,"")</f>
        <v>#N/A</v>
      </c>
      <c r="S10" s="34"/>
      <c r="T10" s="34"/>
      <c r="U10" s="34"/>
      <c r="V10" s="34"/>
      <c r="W10" s="34"/>
      <c r="X10" s="34"/>
      <c r="Y10" s="34"/>
      <c r="Z10" s="34"/>
      <c r="AA10" s="34"/>
    </row>
    <row r="11" spans="1:27" ht="15">
      <c r="A11" s="66" t="s">
        <v>212</v>
      </c>
      <c r="B11" s="66" t="s">
        <v>269</v>
      </c>
      <c r="C11" s="67" t="s">
        <v>4454</v>
      </c>
      <c r="D11" s="68">
        <v>5</v>
      </c>
      <c r="E11" s="69"/>
      <c r="F11" s="70">
        <v>20</v>
      </c>
      <c r="G11" s="67"/>
      <c r="H11" s="71"/>
      <c r="I11" s="72"/>
      <c r="J11" s="72"/>
      <c r="K11" s="34"/>
      <c r="L11" s="79">
        <v>11</v>
      </c>
      <c r="M11" s="79"/>
      <c r="N11" s="74"/>
      <c r="O11" s="81" t="s">
        <v>944</v>
      </c>
      <c r="P11">
        <v>1</v>
      </c>
      <c r="Q11" s="80" t="e">
        <f>REPLACE(INDEX(GroupVertices[Group],MATCH(Edges[[#This Row],[Vertex 1]],GroupVertices[Vertex],0)),1,1,"")</f>
        <v>#N/A</v>
      </c>
      <c r="R11" s="80" t="e">
        <f>REPLACE(INDEX(GroupVertices[Group],MATCH(Edges[[#This Row],[Vertex 2]],GroupVertices[Vertex],0)),1,1,"")</f>
        <v>#N/A</v>
      </c>
      <c r="S11" s="34"/>
      <c r="T11" s="34"/>
      <c r="U11" s="34"/>
      <c r="V11" s="34"/>
      <c r="W11" s="34"/>
      <c r="X11" s="34"/>
      <c r="Y11" s="34"/>
      <c r="Z11" s="34"/>
      <c r="AA11" s="34"/>
    </row>
    <row r="12" spans="1:27" ht="15">
      <c r="A12" s="66" t="s">
        <v>212</v>
      </c>
      <c r="B12" s="66" t="s">
        <v>270</v>
      </c>
      <c r="C12" s="67" t="s">
        <v>4454</v>
      </c>
      <c r="D12" s="68">
        <v>5</v>
      </c>
      <c r="E12" s="69"/>
      <c r="F12" s="70">
        <v>20</v>
      </c>
      <c r="G12" s="67"/>
      <c r="H12" s="71"/>
      <c r="I12" s="72"/>
      <c r="J12" s="72"/>
      <c r="K12" s="34"/>
      <c r="L12" s="79">
        <v>12</v>
      </c>
      <c r="M12" s="79"/>
      <c r="N12" s="74"/>
      <c r="O12" s="81" t="s">
        <v>944</v>
      </c>
      <c r="P12">
        <v>1</v>
      </c>
      <c r="Q12" s="80" t="e">
        <f>REPLACE(INDEX(GroupVertices[Group],MATCH(Edges[[#This Row],[Vertex 1]],GroupVertices[Vertex],0)),1,1,"")</f>
        <v>#N/A</v>
      </c>
      <c r="R12" s="80" t="e">
        <f>REPLACE(INDEX(GroupVertices[Group],MATCH(Edges[[#This Row],[Vertex 2]],GroupVertices[Vertex],0)),1,1,"")</f>
        <v>#N/A</v>
      </c>
      <c r="S12" s="34"/>
      <c r="T12" s="34"/>
      <c r="U12" s="34"/>
      <c r="V12" s="34"/>
      <c r="W12" s="34"/>
      <c r="X12" s="34"/>
      <c r="Y12" s="34"/>
      <c r="Z12" s="34"/>
      <c r="AA12" s="34"/>
    </row>
    <row r="13" spans="1:27" ht="15">
      <c r="A13" s="66" t="s">
        <v>212</v>
      </c>
      <c r="B13" s="66" t="s">
        <v>271</v>
      </c>
      <c r="C13" s="67" t="s">
        <v>4454</v>
      </c>
      <c r="D13" s="68">
        <v>5</v>
      </c>
      <c r="E13" s="69"/>
      <c r="F13" s="70">
        <v>20</v>
      </c>
      <c r="G13" s="67"/>
      <c r="H13" s="71"/>
      <c r="I13" s="72"/>
      <c r="J13" s="72"/>
      <c r="K13" s="34"/>
      <c r="L13" s="79">
        <v>13</v>
      </c>
      <c r="M13" s="79"/>
      <c r="N13" s="74"/>
      <c r="O13" s="81" t="s">
        <v>944</v>
      </c>
      <c r="P13">
        <v>1</v>
      </c>
      <c r="Q13" s="80" t="e">
        <f>REPLACE(INDEX(GroupVertices[Group],MATCH(Edges[[#This Row],[Vertex 1]],GroupVertices[Vertex],0)),1,1,"")</f>
        <v>#N/A</v>
      </c>
      <c r="R13" s="80" t="e">
        <f>REPLACE(INDEX(GroupVertices[Group],MATCH(Edges[[#This Row],[Vertex 2]],GroupVertices[Vertex],0)),1,1,"")</f>
        <v>#N/A</v>
      </c>
      <c r="S13" s="34"/>
      <c r="T13" s="34"/>
      <c r="U13" s="34"/>
      <c r="V13" s="34"/>
      <c r="W13" s="34"/>
      <c r="X13" s="34"/>
      <c r="Y13" s="34"/>
      <c r="Z13" s="34"/>
      <c r="AA13" s="34"/>
    </row>
    <row r="14" spans="1:27" ht="15">
      <c r="A14" s="66" t="s">
        <v>212</v>
      </c>
      <c r="B14" s="66" t="s">
        <v>272</v>
      </c>
      <c r="C14" s="67" t="s">
        <v>4454</v>
      </c>
      <c r="D14" s="68">
        <v>5</v>
      </c>
      <c r="E14" s="69"/>
      <c r="F14" s="70">
        <v>20</v>
      </c>
      <c r="G14" s="67"/>
      <c r="H14" s="71"/>
      <c r="I14" s="72"/>
      <c r="J14" s="72"/>
      <c r="K14" s="34"/>
      <c r="L14" s="79">
        <v>14</v>
      </c>
      <c r="M14" s="79"/>
      <c r="N14" s="74"/>
      <c r="O14" s="81" t="s">
        <v>944</v>
      </c>
      <c r="P14">
        <v>1</v>
      </c>
      <c r="Q14" s="80" t="e">
        <f>REPLACE(INDEX(GroupVertices[Group],MATCH(Edges[[#This Row],[Vertex 1]],GroupVertices[Vertex],0)),1,1,"")</f>
        <v>#N/A</v>
      </c>
      <c r="R14" s="80" t="e">
        <f>REPLACE(INDEX(GroupVertices[Group],MATCH(Edges[[#This Row],[Vertex 2]],GroupVertices[Vertex],0)),1,1,"")</f>
        <v>#N/A</v>
      </c>
      <c r="S14" s="34"/>
      <c r="T14" s="34"/>
      <c r="U14" s="34"/>
      <c r="V14" s="34"/>
      <c r="W14" s="34"/>
      <c r="X14" s="34"/>
      <c r="Y14" s="34"/>
      <c r="Z14" s="34"/>
      <c r="AA14" s="34"/>
    </row>
    <row r="15" spans="1:27" ht="15">
      <c r="A15" s="66" t="s">
        <v>212</v>
      </c>
      <c r="B15" s="66" t="s">
        <v>273</v>
      </c>
      <c r="C15" s="67" t="s">
        <v>4454</v>
      </c>
      <c r="D15" s="68">
        <v>5</v>
      </c>
      <c r="E15" s="69"/>
      <c r="F15" s="70">
        <v>20</v>
      </c>
      <c r="G15" s="67"/>
      <c r="H15" s="71"/>
      <c r="I15" s="72"/>
      <c r="J15" s="72"/>
      <c r="K15" s="34"/>
      <c r="L15" s="79">
        <v>15</v>
      </c>
      <c r="M15" s="79"/>
      <c r="N15" s="74"/>
      <c r="O15" s="81" t="s">
        <v>944</v>
      </c>
      <c r="P15">
        <v>1</v>
      </c>
      <c r="Q15" s="80" t="e">
        <f>REPLACE(INDEX(GroupVertices[Group],MATCH(Edges[[#This Row],[Vertex 1]],GroupVertices[Vertex],0)),1,1,"")</f>
        <v>#N/A</v>
      </c>
      <c r="R15" s="80" t="e">
        <f>REPLACE(INDEX(GroupVertices[Group],MATCH(Edges[[#This Row],[Vertex 2]],GroupVertices[Vertex],0)),1,1,"")</f>
        <v>#N/A</v>
      </c>
      <c r="S15" s="34"/>
      <c r="T15" s="34"/>
      <c r="U15" s="34"/>
      <c r="V15" s="34"/>
      <c r="W15" s="34"/>
      <c r="X15" s="34"/>
      <c r="Y15" s="34"/>
      <c r="Z15" s="34"/>
      <c r="AA15" s="34"/>
    </row>
    <row r="16" spans="1:27" ht="15">
      <c r="A16" s="66" t="s">
        <v>212</v>
      </c>
      <c r="B16" s="66" t="s">
        <v>274</v>
      </c>
      <c r="C16" s="67" t="s">
        <v>4454</v>
      </c>
      <c r="D16" s="68">
        <v>5</v>
      </c>
      <c r="E16" s="69"/>
      <c r="F16" s="70">
        <v>20</v>
      </c>
      <c r="G16" s="67"/>
      <c r="H16" s="71"/>
      <c r="I16" s="72"/>
      <c r="J16" s="72"/>
      <c r="K16" s="34"/>
      <c r="L16" s="79">
        <v>16</v>
      </c>
      <c r="M16" s="79"/>
      <c r="N16" s="74"/>
      <c r="O16" s="81" t="s">
        <v>944</v>
      </c>
      <c r="P16">
        <v>1</v>
      </c>
      <c r="Q16" s="80" t="e">
        <f>REPLACE(INDEX(GroupVertices[Group],MATCH(Edges[[#This Row],[Vertex 1]],GroupVertices[Vertex],0)),1,1,"")</f>
        <v>#N/A</v>
      </c>
      <c r="R16" s="80" t="e">
        <f>REPLACE(INDEX(GroupVertices[Group],MATCH(Edges[[#This Row],[Vertex 2]],GroupVertices[Vertex],0)),1,1,"")</f>
        <v>#N/A</v>
      </c>
      <c r="S16" s="34"/>
      <c r="T16" s="34"/>
      <c r="U16" s="34"/>
      <c r="V16" s="34"/>
      <c r="W16" s="34"/>
      <c r="X16" s="34"/>
      <c r="Y16" s="34"/>
      <c r="Z16" s="34"/>
      <c r="AA16" s="34"/>
    </row>
    <row r="17" spans="1:27" ht="15">
      <c r="A17" s="66" t="s">
        <v>213</v>
      </c>
      <c r="B17" s="66" t="s">
        <v>275</v>
      </c>
      <c r="C17" s="67" t="s">
        <v>4454</v>
      </c>
      <c r="D17" s="68">
        <v>5</v>
      </c>
      <c r="E17" s="69"/>
      <c r="F17" s="70">
        <v>20</v>
      </c>
      <c r="G17" s="67"/>
      <c r="H17" s="71"/>
      <c r="I17" s="72"/>
      <c r="J17" s="72"/>
      <c r="K17" s="34"/>
      <c r="L17" s="79">
        <v>17</v>
      </c>
      <c r="M17" s="79"/>
      <c r="N17" s="74"/>
      <c r="O17" s="81" t="s">
        <v>944</v>
      </c>
      <c r="P17">
        <v>1</v>
      </c>
      <c r="Q17" s="80" t="str">
        <f>REPLACE(INDEX(GroupVertices[Group],MATCH(Edges[[#This Row],[Vertex 1]],GroupVertices[Vertex],0)),1,1,"")</f>
        <v>2</v>
      </c>
      <c r="R17" s="80" t="e">
        <f>REPLACE(INDEX(GroupVertices[Group],MATCH(Edges[[#This Row],[Vertex 2]],GroupVertices[Vertex],0)),1,1,"")</f>
        <v>#N/A</v>
      </c>
      <c r="S17" s="34"/>
      <c r="T17" s="34"/>
      <c r="U17" s="34"/>
      <c r="V17" s="34"/>
      <c r="W17" s="34"/>
      <c r="X17" s="34"/>
      <c r="Y17" s="34"/>
      <c r="Z17" s="34"/>
      <c r="AA17" s="34"/>
    </row>
    <row r="18" spans="1:27" ht="15">
      <c r="A18" s="66" t="s">
        <v>213</v>
      </c>
      <c r="B18" s="66" t="s">
        <v>276</v>
      </c>
      <c r="C18" s="67" t="s">
        <v>4454</v>
      </c>
      <c r="D18" s="68">
        <v>5</v>
      </c>
      <c r="E18" s="69"/>
      <c r="F18" s="70">
        <v>20</v>
      </c>
      <c r="G18" s="67"/>
      <c r="H18" s="71"/>
      <c r="I18" s="72"/>
      <c r="J18" s="72"/>
      <c r="K18" s="34"/>
      <c r="L18" s="79">
        <v>18</v>
      </c>
      <c r="M18" s="79"/>
      <c r="N18" s="74"/>
      <c r="O18" s="81" t="s">
        <v>944</v>
      </c>
      <c r="P18">
        <v>1</v>
      </c>
      <c r="Q18" s="80" t="str">
        <f>REPLACE(INDEX(GroupVertices[Group],MATCH(Edges[[#This Row],[Vertex 1]],GroupVertices[Vertex],0)),1,1,"")</f>
        <v>2</v>
      </c>
      <c r="R18" s="80" t="e">
        <f>REPLACE(INDEX(GroupVertices[Group],MATCH(Edges[[#This Row],[Vertex 2]],GroupVertices[Vertex],0)),1,1,"")</f>
        <v>#N/A</v>
      </c>
      <c r="S18" s="34"/>
      <c r="T18" s="34"/>
      <c r="U18" s="34"/>
      <c r="V18" s="34"/>
      <c r="W18" s="34"/>
      <c r="X18" s="34"/>
      <c r="Y18" s="34"/>
      <c r="Z18" s="34"/>
      <c r="AA18" s="34"/>
    </row>
    <row r="19" spans="1:27" ht="15">
      <c r="A19" s="66" t="s">
        <v>213</v>
      </c>
      <c r="B19" s="66" t="s">
        <v>277</v>
      </c>
      <c r="C19" s="67" t="s">
        <v>4454</v>
      </c>
      <c r="D19" s="68">
        <v>5</v>
      </c>
      <c r="E19" s="69"/>
      <c r="F19" s="70">
        <v>20</v>
      </c>
      <c r="G19" s="67"/>
      <c r="H19" s="71"/>
      <c r="I19" s="72"/>
      <c r="J19" s="72"/>
      <c r="K19" s="34"/>
      <c r="L19" s="79">
        <v>19</v>
      </c>
      <c r="M19" s="79"/>
      <c r="N19" s="74"/>
      <c r="O19" s="81" t="s">
        <v>944</v>
      </c>
      <c r="P19">
        <v>1</v>
      </c>
      <c r="Q19" s="80" t="str">
        <f>REPLACE(INDEX(GroupVertices[Group],MATCH(Edges[[#This Row],[Vertex 1]],GroupVertices[Vertex],0)),1,1,"")</f>
        <v>2</v>
      </c>
      <c r="R19" s="80" t="e">
        <f>REPLACE(INDEX(GroupVertices[Group],MATCH(Edges[[#This Row],[Vertex 2]],GroupVertices[Vertex],0)),1,1,"")</f>
        <v>#N/A</v>
      </c>
      <c r="S19" s="34"/>
      <c r="T19" s="34"/>
      <c r="U19" s="34"/>
      <c r="V19" s="34"/>
      <c r="W19" s="34"/>
      <c r="X19" s="34"/>
      <c r="Y19" s="34"/>
      <c r="Z19" s="34"/>
      <c r="AA19" s="34"/>
    </row>
    <row r="20" spans="1:27" ht="15">
      <c r="A20" s="66" t="s">
        <v>213</v>
      </c>
      <c r="B20" s="66" t="s">
        <v>278</v>
      </c>
      <c r="C20" s="67" t="s">
        <v>4454</v>
      </c>
      <c r="D20" s="68">
        <v>5</v>
      </c>
      <c r="E20" s="69"/>
      <c r="F20" s="70">
        <v>20</v>
      </c>
      <c r="G20" s="67"/>
      <c r="H20" s="71"/>
      <c r="I20" s="72"/>
      <c r="J20" s="72"/>
      <c r="K20" s="34"/>
      <c r="L20" s="79">
        <v>20</v>
      </c>
      <c r="M20" s="79"/>
      <c r="N20" s="74"/>
      <c r="O20" s="81" t="s">
        <v>944</v>
      </c>
      <c r="P20">
        <v>1</v>
      </c>
      <c r="Q20" s="80" t="str">
        <f>REPLACE(INDEX(GroupVertices[Group],MATCH(Edges[[#This Row],[Vertex 1]],GroupVertices[Vertex],0)),1,1,"")</f>
        <v>2</v>
      </c>
      <c r="R20" s="80" t="e">
        <f>REPLACE(INDEX(GroupVertices[Group],MATCH(Edges[[#This Row],[Vertex 2]],GroupVertices[Vertex],0)),1,1,"")</f>
        <v>#N/A</v>
      </c>
      <c r="S20" s="34"/>
      <c r="T20" s="34"/>
      <c r="U20" s="34"/>
      <c r="V20" s="34"/>
      <c r="W20" s="34"/>
      <c r="X20" s="34"/>
      <c r="Y20" s="34"/>
      <c r="Z20" s="34"/>
      <c r="AA20" s="34"/>
    </row>
    <row r="21" spans="1:27" ht="15">
      <c r="A21" s="66" t="s">
        <v>213</v>
      </c>
      <c r="B21" s="66" t="s">
        <v>279</v>
      </c>
      <c r="C21" s="67" t="s">
        <v>4454</v>
      </c>
      <c r="D21" s="68">
        <v>5</v>
      </c>
      <c r="E21" s="69"/>
      <c r="F21" s="70">
        <v>20</v>
      </c>
      <c r="G21" s="67"/>
      <c r="H21" s="71"/>
      <c r="I21" s="72"/>
      <c r="J21" s="72"/>
      <c r="K21" s="34"/>
      <c r="L21" s="79">
        <v>21</v>
      </c>
      <c r="M21" s="79"/>
      <c r="N21" s="74"/>
      <c r="O21" s="81" t="s">
        <v>944</v>
      </c>
      <c r="P21">
        <v>1</v>
      </c>
      <c r="Q21" s="80" t="str">
        <f>REPLACE(INDEX(GroupVertices[Group],MATCH(Edges[[#This Row],[Vertex 1]],GroupVertices[Vertex],0)),1,1,"")</f>
        <v>2</v>
      </c>
      <c r="R21" s="80" t="e">
        <f>REPLACE(INDEX(GroupVertices[Group],MATCH(Edges[[#This Row],[Vertex 2]],GroupVertices[Vertex],0)),1,1,"")</f>
        <v>#N/A</v>
      </c>
      <c r="S21" s="34"/>
      <c r="T21" s="34"/>
      <c r="U21" s="34"/>
      <c r="V21" s="34"/>
      <c r="W21" s="34"/>
      <c r="X21" s="34"/>
      <c r="Y21" s="34"/>
      <c r="Z21" s="34"/>
      <c r="AA21" s="34"/>
    </row>
    <row r="22" spans="1:27" ht="15">
      <c r="A22" s="66" t="s">
        <v>213</v>
      </c>
      <c r="B22" s="66" t="s">
        <v>280</v>
      </c>
      <c r="C22" s="67" t="s">
        <v>4454</v>
      </c>
      <c r="D22" s="68">
        <v>5</v>
      </c>
      <c r="E22" s="69"/>
      <c r="F22" s="70">
        <v>20</v>
      </c>
      <c r="G22" s="67"/>
      <c r="H22" s="71"/>
      <c r="I22" s="72"/>
      <c r="J22" s="72"/>
      <c r="K22" s="34"/>
      <c r="L22" s="79">
        <v>22</v>
      </c>
      <c r="M22" s="79"/>
      <c r="N22" s="74"/>
      <c r="O22" s="81" t="s">
        <v>944</v>
      </c>
      <c r="P22">
        <v>1</v>
      </c>
      <c r="Q22" s="80" t="str">
        <f>REPLACE(INDEX(GroupVertices[Group],MATCH(Edges[[#This Row],[Vertex 1]],GroupVertices[Vertex],0)),1,1,"")</f>
        <v>2</v>
      </c>
      <c r="R22" s="80" t="e">
        <f>REPLACE(INDEX(GroupVertices[Group],MATCH(Edges[[#This Row],[Vertex 2]],GroupVertices[Vertex],0)),1,1,"")</f>
        <v>#N/A</v>
      </c>
      <c r="S22" s="34"/>
      <c r="T22" s="34"/>
      <c r="U22" s="34"/>
      <c r="V22" s="34"/>
      <c r="W22" s="34"/>
      <c r="X22" s="34"/>
      <c r="Y22" s="34"/>
      <c r="Z22" s="34"/>
      <c r="AA22" s="34"/>
    </row>
    <row r="23" spans="1:27" ht="15">
      <c r="A23" s="66" t="s">
        <v>213</v>
      </c>
      <c r="B23" s="66" t="s">
        <v>281</v>
      </c>
      <c r="C23" s="67" t="s">
        <v>4454</v>
      </c>
      <c r="D23" s="68">
        <v>5</v>
      </c>
      <c r="E23" s="69"/>
      <c r="F23" s="70">
        <v>20</v>
      </c>
      <c r="G23" s="67"/>
      <c r="H23" s="71"/>
      <c r="I23" s="72"/>
      <c r="J23" s="72"/>
      <c r="K23" s="34"/>
      <c r="L23" s="79">
        <v>23</v>
      </c>
      <c r="M23" s="79"/>
      <c r="N23" s="74"/>
      <c r="O23" s="81" t="s">
        <v>944</v>
      </c>
      <c r="P23">
        <v>1</v>
      </c>
      <c r="Q23" s="80" t="str">
        <f>REPLACE(INDEX(GroupVertices[Group],MATCH(Edges[[#This Row],[Vertex 1]],GroupVertices[Vertex],0)),1,1,"")</f>
        <v>2</v>
      </c>
      <c r="R23" s="80" t="e">
        <f>REPLACE(INDEX(GroupVertices[Group],MATCH(Edges[[#This Row],[Vertex 2]],GroupVertices[Vertex],0)),1,1,"")</f>
        <v>#N/A</v>
      </c>
      <c r="S23" s="34"/>
      <c r="T23" s="34"/>
      <c r="U23" s="34"/>
      <c r="V23" s="34"/>
      <c r="W23" s="34"/>
      <c r="X23" s="34"/>
      <c r="Y23" s="34"/>
      <c r="Z23" s="34"/>
      <c r="AA23" s="34"/>
    </row>
    <row r="24" spans="1:27" ht="15">
      <c r="A24" s="66" t="s">
        <v>213</v>
      </c>
      <c r="B24" s="66" t="s">
        <v>282</v>
      </c>
      <c r="C24" s="67" t="s">
        <v>4454</v>
      </c>
      <c r="D24" s="68">
        <v>5</v>
      </c>
      <c r="E24" s="69"/>
      <c r="F24" s="70">
        <v>20</v>
      </c>
      <c r="G24" s="67"/>
      <c r="H24" s="71"/>
      <c r="I24" s="72"/>
      <c r="J24" s="72"/>
      <c r="K24" s="34"/>
      <c r="L24" s="79">
        <v>24</v>
      </c>
      <c r="M24" s="79"/>
      <c r="N24" s="74"/>
      <c r="O24" s="81" t="s">
        <v>944</v>
      </c>
      <c r="P24">
        <v>1</v>
      </c>
      <c r="Q24" s="80" t="str">
        <f>REPLACE(INDEX(GroupVertices[Group],MATCH(Edges[[#This Row],[Vertex 1]],GroupVertices[Vertex],0)),1,1,"")</f>
        <v>2</v>
      </c>
      <c r="R24" s="80" t="e">
        <f>REPLACE(INDEX(GroupVertices[Group],MATCH(Edges[[#This Row],[Vertex 2]],GroupVertices[Vertex],0)),1,1,"")</f>
        <v>#N/A</v>
      </c>
      <c r="S24" s="34"/>
      <c r="T24" s="34"/>
      <c r="U24" s="34"/>
      <c r="V24" s="34"/>
      <c r="W24" s="34"/>
      <c r="X24" s="34"/>
      <c r="Y24" s="34"/>
      <c r="Z24" s="34"/>
      <c r="AA24" s="34"/>
    </row>
    <row r="25" spans="1:27" ht="15">
      <c r="A25" s="66" t="s">
        <v>214</v>
      </c>
      <c r="B25" s="66" t="s">
        <v>283</v>
      </c>
      <c r="C25" s="67" t="s">
        <v>4454</v>
      </c>
      <c r="D25" s="68">
        <v>5</v>
      </c>
      <c r="E25" s="69"/>
      <c r="F25" s="70">
        <v>20</v>
      </c>
      <c r="G25" s="67"/>
      <c r="H25" s="71"/>
      <c r="I25" s="72"/>
      <c r="J25" s="72"/>
      <c r="K25" s="34"/>
      <c r="L25" s="79">
        <v>25</v>
      </c>
      <c r="M25" s="79"/>
      <c r="N25" s="74"/>
      <c r="O25" s="81" t="s">
        <v>944</v>
      </c>
      <c r="P25">
        <v>1</v>
      </c>
      <c r="Q25" s="80" t="str">
        <f>REPLACE(INDEX(GroupVertices[Group],MATCH(Edges[[#This Row],[Vertex 1]],GroupVertices[Vertex],0)),1,1,"")</f>
        <v>1</v>
      </c>
      <c r="R25" s="80" t="e">
        <f>REPLACE(INDEX(GroupVertices[Group],MATCH(Edges[[#This Row],[Vertex 2]],GroupVertices[Vertex],0)),1,1,"")</f>
        <v>#N/A</v>
      </c>
      <c r="S25" s="34"/>
      <c r="T25" s="34"/>
      <c r="U25" s="34"/>
      <c r="V25" s="34"/>
      <c r="W25" s="34"/>
      <c r="X25" s="34"/>
      <c r="Y25" s="34"/>
      <c r="Z25" s="34"/>
      <c r="AA25" s="34"/>
    </row>
    <row r="26" spans="1:27" ht="15">
      <c r="A26" s="66" t="s">
        <v>214</v>
      </c>
      <c r="B26" s="66" t="s">
        <v>284</v>
      </c>
      <c r="C26" s="67" t="s">
        <v>4454</v>
      </c>
      <c r="D26" s="68">
        <v>5</v>
      </c>
      <c r="E26" s="69"/>
      <c r="F26" s="70">
        <v>20</v>
      </c>
      <c r="G26" s="67"/>
      <c r="H26" s="71"/>
      <c r="I26" s="72"/>
      <c r="J26" s="72"/>
      <c r="K26" s="34"/>
      <c r="L26" s="79">
        <v>26</v>
      </c>
      <c r="M26" s="79"/>
      <c r="N26" s="74"/>
      <c r="O26" s="81" t="s">
        <v>944</v>
      </c>
      <c r="P26">
        <v>1</v>
      </c>
      <c r="Q26" s="80" t="str">
        <f>REPLACE(INDEX(GroupVertices[Group],MATCH(Edges[[#This Row],[Vertex 1]],GroupVertices[Vertex],0)),1,1,"")</f>
        <v>1</v>
      </c>
      <c r="R26" s="80" t="e">
        <f>REPLACE(INDEX(GroupVertices[Group],MATCH(Edges[[#This Row],[Vertex 2]],GroupVertices[Vertex],0)),1,1,"")</f>
        <v>#N/A</v>
      </c>
      <c r="S26" s="34"/>
      <c r="T26" s="34"/>
      <c r="U26" s="34"/>
      <c r="V26" s="34"/>
      <c r="W26" s="34"/>
      <c r="X26" s="34"/>
      <c r="Y26" s="34"/>
      <c r="Z26" s="34"/>
      <c r="AA26" s="34"/>
    </row>
    <row r="27" spans="1:27" ht="15">
      <c r="A27" s="66" t="s">
        <v>214</v>
      </c>
      <c r="B27" s="66" t="s">
        <v>285</v>
      </c>
      <c r="C27" s="67" t="s">
        <v>4454</v>
      </c>
      <c r="D27" s="68">
        <v>5</v>
      </c>
      <c r="E27" s="69"/>
      <c r="F27" s="70">
        <v>20</v>
      </c>
      <c r="G27" s="67"/>
      <c r="H27" s="71"/>
      <c r="I27" s="72"/>
      <c r="J27" s="72"/>
      <c r="K27" s="34"/>
      <c r="L27" s="79">
        <v>27</v>
      </c>
      <c r="M27" s="79"/>
      <c r="N27" s="74"/>
      <c r="O27" s="81" t="s">
        <v>944</v>
      </c>
      <c r="P27">
        <v>1</v>
      </c>
      <c r="Q27" s="80" t="str">
        <f>REPLACE(INDEX(GroupVertices[Group],MATCH(Edges[[#This Row],[Vertex 1]],GroupVertices[Vertex],0)),1,1,"")</f>
        <v>1</v>
      </c>
      <c r="R27" s="80" t="e">
        <f>REPLACE(INDEX(GroupVertices[Group],MATCH(Edges[[#This Row],[Vertex 2]],GroupVertices[Vertex],0)),1,1,"")</f>
        <v>#N/A</v>
      </c>
      <c r="S27" s="34"/>
      <c r="T27" s="34"/>
      <c r="U27" s="34"/>
      <c r="V27" s="34"/>
      <c r="W27" s="34"/>
      <c r="X27" s="34"/>
      <c r="Y27" s="34"/>
      <c r="Z27" s="34"/>
      <c r="AA27" s="34"/>
    </row>
    <row r="28" spans="1:27" ht="15">
      <c r="A28" s="66" t="s">
        <v>214</v>
      </c>
      <c r="B28" s="66" t="s">
        <v>286</v>
      </c>
      <c r="C28" s="67" t="s">
        <v>4454</v>
      </c>
      <c r="D28" s="68">
        <v>5</v>
      </c>
      <c r="E28" s="69"/>
      <c r="F28" s="70">
        <v>20</v>
      </c>
      <c r="G28" s="67"/>
      <c r="H28" s="71"/>
      <c r="I28" s="72"/>
      <c r="J28" s="72"/>
      <c r="K28" s="34"/>
      <c r="L28" s="79">
        <v>28</v>
      </c>
      <c r="M28" s="79"/>
      <c r="N28" s="74"/>
      <c r="O28" s="81" t="s">
        <v>944</v>
      </c>
      <c r="P28">
        <v>1</v>
      </c>
      <c r="Q28" s="80" t="str">
        <f>REPLACE(INDEX(GroupVertices[Group],MATCH(Edges[[#This Row],[Vertex 1]],GroupVertices[Vertex],0)),1,1,"")</f>
        <v>1</v>
      </c>
      <c r="R28" s="80" t="e">
        <f>REPLACE(INDEX(GroupVertices[Group],MATCH(Edges[[#This Row],[Vertex 2]],GroupVertices[Vertex],0)),1,1,"")</f>
        <v>#N/A</v>
      </c>
      <c r="S28" s="34"/>
      <c r="T28" s="34"/>
      <c r="U28" s="34"/>
      <c r="V28" s="34"/>
      <c r="W28" s="34"/>
      <c r="X28" s="34"/>
      <c r="Y28" s="34"/>
      <c r="Z28" s="34"/>
      <c r="AA28" s="34"/>
    </row>
    <row r="29" spans="1:27" ht="15">
      <c r="A29" s="66" t="s">
        <v>214</v>
      </c>
      <c r="B29" s="66" t="s">
        <v>287</v>
      </c>
      <c r="C29" s="67" t="s">
        <v>4454</v>
      </c>
      <c r="D29" s="68">
        <v>5</v>
      </c>
      <c r="E29" s="69"/>
      <c r="F29" s="70">
        <v>20</v>
      </c>
      <c r="G29" s="67"/>
      <c r="H29" s="71"/>
      <c r="I29" s="72"/>
      <c r="J29" s="72"/>
      <c r="K29" s="34"/>
      <c r="L29" s="79">
        <v>29</v>
      </c>
      <c r="M29" s="79"/>
      <c r="N29" s="74"/>
      <c r="O29" s="81" t="s">
        <v>944</v>
      </c>
      <c r="P29">
        <v>1</v>
      </c>
      <c r="Q29" s="80" t="str">
        <f>REPLACE(INDEX(GroupVertices[Group],MATCH(Edges[[#This Row],[Vertex 1]],GroupVertices[Vertex],0)),1,1,"")</f>
        <v>1</v>
      </c>
      <c r="R29" s="80" t="e">
        <f>REPLACE(INDEX(GroupVertices[Group],MATCH(Edges[[#This Row],[Vertex 2]],GroupVertices[Vertex],0)),1,1,"")</f>
        <v>#N/A</v>
      </c>
      <c r="S29" s="34"/>
      <c r="T29" s="34"/>
      <c r="U29" s="34"/>
      <c r="V29" s="34"/>
      <c r="W29" s="34"/>
      <c r="X29" s="34"/>
      <c r="Y29" s="34"/>
      <c r="Z29" s="34"/>
      <c r="AA29" s="34"/>
    </row>
    <row r="30" spans="1:27" ht="15">
      <c r="A30" s="66" t="s">
        <v>214</v>
      </c>
      <c r="B30" s="66" t="s">
        <v>288</v>
      </c>
      <c r="C30" s="67" t="s">
        <v>4454</v>
      </c>
      <c r="D30" s="68">
        <v>5</v>
      </c>
      <c r="E30" s="69"/>
      <c r="F30" s="70">
        <v>20</v>
      </c>
      <c r="G30" s="67"/>
      <c r="H30" s="71"/>
      <c r="I30" s="72"/>
      <c r="J30" s="72"/>
      <c r="K30" s="34"/>
      <c r="L30" s="79">
        <v>30</v>
      </c>
      <c r="M30" s="79"/>
      <c r="N30" s="74"/>
      <c r="O30" s="81" t="s">
        <v>944</v>
      </c>
      <c r="P30">
        <v>1</v>
      </c>
      <c r="Q30" s="80" t="str">
        <f>REPLACE(INDEX(GroupVertices[Group],MATCH(Edges[[#This Row],[Vertex 1]],GroupVertices[Vertex],0)),1,1,"")</f>
        <v>1</v>
      </c>
      <c r="R30" s="80" t="e">
        <f>REPLACE(INDEX(GroupVertices[Group],MATCH(Edges[[#This Row],[Vertex 2]],GroupVertices[Vertex],0)),1,1,"")</f>
        <v>#N/A</v>
      </c>
      <c r="S30" s="34"/>
      <c r="T30" s="34"/>
      <c r="U30" s="34"/>
      <c r="V30" s="34"/>
      <c r="W30" s="34"/>
      <c r="X30" s="34"/>
      <c r="Y30" s="34"/>
      <c r="Z30" s="34"/>
      <c r="AA30" s="34"/>
    </row>
    <row r="31" spans="1:27" ht="15">
      <c r="A31" s="66" t="s">
        <v>214</v>
      </c>
      <c r="B31" s="66" t="s">
        <v>289</v>
      </c>
      <c r="C31" s="67" t="s">
        <v>4454</v>
      </c>
      <c r="D31" s="68">
        <v>5</v>
      </c>
      <c r="E31" s="69"/>
      <c r="F31" s="70">
        <v>20</v>
      </c>
      <c r="G31" s="67"/>
      <c r="H31" s="71"/>
      <c r="I31" s="72"/>
      <c r="J31" s="72"/>
      <c r="K31" s="34"/>
      <c r="L31" s="79">
        <v>31</v>
      </c>
      <c r="M31" s="79"/>
      <c r="N31" s="74"/>
      <c r="O31" s="81" t="s">
        <v>944</v>
      </c>
      <c r="P31">
        <v>1</v>
      </c>
      <c r="Q31" s="80" t="str">
        <f>REPLACE(INDEX(GroupVertices[Group],MATCH(Edges[[#This Row],[Vertex 1]],GroupVertices[Vertex],0)),1,1,"")</f>
        <v>1</v>
      </c>
      <c r="R31" s="80" t="e">
        <f>REPLACE(INDEX(GroupVertices[Group],MATCH(Edges[[#This Row],[Vertex 2]],GroupVertices[Vertex],0)),1,1,"")</f>
        <v>#N/A</v>
      </c>
      <c r="S31" s="34"/>
      <c r="T31" s="34"/>
      <c r="U31" s="34"/>
      <c r="V31" s="34"/>
      <c r="W31" s="34"/>
      <c r="X31" s="34"/>
      <c r="Y31" s="34"/>
      <c r="Z31" s="34"/>
      <c r="AA31" s="34"/>
    </row>
    <row r="32" spans="1:27" ht="15">
      <c r="A32" s="66" t="s">
        <v>214</v>
      </c>
      <c r="B32" s="66" t="s">
        <v>290</v>
      </c>
      <c r="C32" s="67" t="s">
        <v>4454</v>
      </c>
      <c r="D32" s="68">
        <v>5</v>
      </c>
      <c r="E32" s="69"/>
      <c r="F32" s="70">
        <v>20</v>
      </c>
      <c r="G32" s="67"/>
      <c r="H32" s="71"/>
      <c r="I32" s="72"/>
      <c r="J32" s="72"/>
      <c r="K32" s="34"/>
      <c r="L32" s="79">
        <v>32</v>
      </c>
      <c r="M32" s="79"/>
      <c r="N32" s="74"/>
      <c r="O32" s="81" t="s">
        <v>944</v>
      </c>
      <c r="P32">
        <v>1</v>
      </c>
      <c r="Q32" s="80" t="str">
        <f>REPLACE(INDEX(GroupVertices[Group],MATCH(Edges[[#This Row],[Vertex 1]],GroupVertices[Vertex],0)),1,1,"")</f>
        <v>1</v>
      </c>
      <c r="R32" s="80" t="e">
        <f>REPLACE(INDEX(GroupVertices[Group],MATCH(Edges[[#This Row],[Vertex 2]],GroupVertices[Vertex],0)),1,1,"")</f>
        <v>#N/A</v>
      </c>
      <c r="S32" s="34"/>
      <c r="T32" s="34"/>
      <c r="U32" s="34"/>
      <c r="V32" s="34"/>
      <c r="W32" s="34"/>
      <c r="X32" s="34"/>
      <c r="Y32" s="34"/>
      <c r="Z32" s="34"/>
      <c r="AA32" s="34"/>
    </row>
    <row r="33" spans="1:27" ht="15">
      <c r="A33" s="66" t="s">
        <v>214</v>
      </c>
      <c r="B33" s="66" t="s">
        <v>291</v>
      </c>
      <c r="C33" s="67" t="s">
        <v>4454</v>
      </c>
      <c r="D33" s="68">
        <v>5</v>
      </c>
      <c r="E33" s="69"/>
      <c r="F33" s="70">
        <v>20</v>
      </c>
      <c r="G33" s="67"/>
      <c r="H33" s="71"/>
      <c r="I33" s="72"/>
      <c r="J33" s="72"/>
      <c r="K33" s="34"/>
      <c r="L33" s="79">
        <v>33</v>
      </c>
      <c r="M33" s="79"/>
      <c r="N33" s="74"/>
      <c r="O33" s="81" t="s">
        <v>944</v>
      </c>
      <c r="P33">
        <v>1</v>
      </c>
      <c r="Q33" s="80" t="str">
        <f>REPLACE(INDEX(GroupVertices[Group],MATCH(Edges[[#This Row],[Vertex 1]],GroupVertices[Vertex],0)),1,1,"")</f>
        <v>1</v>
      </c>
      <c r="R33" s="80" t="e">
        <f>REPLACE(INDEX(GroupVertices[Group],MATCH(Edges[[#This Row],[Vertex 2]],GroupVertices[Vertex],0)),1,1,"")</f>
        <v>#N/A</v>
      </c>
      <c r="S33" s="34"/>
      <c r="T33" s="34"/>
      <c r="U33" s="34"/>
      <c r="V33" s="34"/>
      <c r="W33" s="34"/>
      <c r="X33" s="34"/>
      <c r="Y33" s="34"/>
      <c r="Z33" s="34"/>
      <c r="AA33" s="34"/>
    </row>
    <row r="34" spans="1:27" ht="15">
      <c r="A34" s="66" t="s">
        <v>214</v>
      </c>
      <c r="B34" s="66" t="s">
        <v>292</v>
      </c>
      <c r="C34" s="67" t="s">
        <v>4454</v>
      </c>
      <c r="D34" s="68">
        <v>5</v>
      </c>
      <c r="E34" s="69"/>
      <c r="F34" s="70">
        <v>20</v>
      </c>
      <c r="G34" s="67"/>
      <c r="H34" s="71"/>
      <c r="I34" s="72"/>
      <c r="J34" s="72"/>
      <c r="K34" s="34"/>
      <c r="L34" s="79">
        <v>34</v>
      </c>
      <c r="M34" s="79"/>
      <c r="N34" s="74"/>
      <c r="O34" s="81" t="s">
        <v>944</v>
      </c>
      <c r="P34">
        <v>1</v>
      </c>
      <c r="Q34" s="80" t="str">
        <f>REPLACE(INDEX(GroupVertices[Group],MATCH(Edges[[#This Row],[Vertex 1]],GroupVertices[Vertex],0)),1,1,"")</f>
        <v>1</v>
      </c>
      <c r="R34" s="80" t="e">
        <f>REPLACE(INDEX(GroupVertices[Group],MATCH(Edges[[#This Row],[Vertex 2]],GroupVertices[Vertex],0)),1,1,"")</f>
        <v>#N/A</v>
      </c>
      <c r="S34" s="34"/>
      <c r="T34" s="34"/>
      <c r="U34" s="34"/>
      <c r="V34" s="34"/>
      <c r="W34" s="34"/>
      <c r="X34" s="34"/>
      <c r="Y34" s="34"/>
      <c r="Z34" s="34"/>
      <c r="AA34" s="34"/>
    </row>
    <row r="35" spans="1:27" ht="15">
      <c r="A35" s="66" t="s">
        <v>214</v>
      </c>
      <c r="B35" s="66" t="s">
        <v>293</v>
      </c>
      <c r="C35" s="67" t="s">
        <v>4454</v>
      </c>
      <c r="D35" s="68">
        <v>5</v>
      </c>
      <c r="E35" s="69"/>
      <c r="F35" s="70">
        <v>20</v>
      </c>
      <c r="G35" s="67"/>
      <c r="H35" s="71"/>
      <c r="I35" s="72"/>
      <c r="J35" s="72"/>
      <c r="K35" s="34"/>
      <c r="L35" s="79">
        <v>35</v>
      </c>
      <c r="M35" s="79"/>
      <c r="N35" s="74"/>
      <c r="O35" s="81" t="s">
        <v>944</v>
      </c>
      <c r="P35">
        <v>1</v>
      </c>
      <c r="Q35" s="80" t="str">
        <f>REPLACE(INDEX(GroupVertices[Group],MATCH(Edges[[#This Row],[Vertex 1]],GroupVertices[Vertex],0)),1,1,"")</f>
        <v>1</v>
      </c>
      <c r="R35" s="80" t="e">
        <f>REPLACE(INDEX(GroupVertices[Group],MATCH(Edges[[#This Row],[Vertex 2]],GroupVertices[Vertex],0)),1,1,"")</f>
        <v>#N/A</v>
      </c>
      <c r="S35" s="34"/>
      <c r="T35" s="34"/>
      <c r="U35" s="34"/>
      <c r="V35" s="34"/>
      <c r="W35" s="34"/>
      <c r="X35" s="34"/>
      <c r="Y35" s="34"/>
      <c r="Z35" s="34"/>
      <c r="AA35" s="34"/>
    </row>
    <row r="36" spans="1:27" ht="15">
      <c r="A36" s="66" t="s">
        <v>215</v>
      </c>
      <c r="B36" s="66" t="s">
        <v>294</v>
      </c>
      <c r="C36" s="67" t="s">
        <v>4454</v>
      </c>
      <c r="D36" s="68">
        <v>5</v>
      </c>
      <c r="E36" s="69"/>
      <c r="F36" s="70">
        <v>20</v>
      </c>
      <c r="G36" s="67"/>
      <c r="H36" s="71"/>
      <c r="I36" s="72"/>
      <c r="J36" s="72"/>
      <c r="K36" s="34"/>
      <c r="L36" s="79">
        <v>36</v>
      </c>
      <c r="M36" s="79"/>
      <c r="N36" s="74"/>
      <c r="O36" s="81" t="s">
        <v>944</v>
      </c>
      <c r="P36">
        <v>1</v>
      </c>
      <c r="Q36" s="80" t="str">
        <f>REPLACE(INDEX(GroupVertices[Group],MATCH(Edges[[#This Row],[Vertex 1]],GroupVertices[Vertex],0)),1,1,"")</f>
        <v>3</v>
      </c>
      <c r="R36" s="80" t="e">
        <f>REPLACE(INDEX(GroupVertices[Group],MATCH(Edges[[#This Row],[Vertex 2]],GroupVertices[Vertex],0)),1,1,"")</f>
        <v>#N/A</v>
      </c>
      <c r="S36" s="34"/>
      <c r="T36" s="34"/>
      <c r="U36" s="34"/>
      <c r="V36" s="34"/>
      <c r="W36" s="34"/>
      <c r="X36" s="34"/>
      <c r="Y36" s="34"/>
      <c r="Z36" s="34"/>
      <c r="AA36" s="34"/>
    </row>
    <row r="37" spans="1:27" ht="15">
      <c r="A37" s="66" t="s">
        <v>215</v>
      </c>
      <c r="B37" s="66" t="s">
        <v>295</v>
      </c>
      <c r="C37" s="67" t="s">
        <v>4454</v>
      </c>
      <c r="D37" s="68">
        <v>5</v>
      </c>
      <c r="E37" s="69"/>
      <c r="F37" s="70">
        <v>20</v>
      </c>
      <c r="G37" s="67"/>
      <c r="H37" s="71"/>
      <c r="I37" s="72"/>
      <c r="J37" s="72"/>
      <c r="K37" s="34"/>
      <c r="L37" s="79">
        <v>37</v>
      </c>
      <c r="M37" s="79"/>
      <c r="N37" s="74"/>
      <c r="O37" s="81" t="s">
        <v>944</v>
      </c>
      <c r="P37">
        <v>1</v>
      </c>
      <c r="Q37" s="80" t="str">
        <f>REPLACE(INDEX(GroupVertices[Group],MATCH(Edges[[#This Row],[Vertex 1]],GroupVertices[Vertex],0)),1,1,"")</f>
        <v>3</v>
      </c>
      <c r="R37" s="80" t="e">
        <f>REPLACE(INDEX(GroupVertices[Group],MATCH(Edges[[#This Row],[Vertex 2]],GroupVertices[Vertex],0)),1,1,"")</f>
        <v>#N/A</v>
      </c>
      <c r="S37" s="34"/>
      <c r="T37" s="34"/>
      <c r="U37" s="34"/>
      <c r="V37" s="34"/>
      <c r="W37" s="34"/>
      <c r="X37" s="34"/>
      <c r="Y37" s="34"/>
      <c r="Z37" s="34"/>
      <c r="AA37" s="34"/>
    </row>
    <row r="38" spans="1:27" ht="15">
      <c r="A38" s="66" t="s">
        <v>215</v>
      </c>
      <c r="B38" s="66" t="s">
        <v>296</v>
      </c>
      <c r="C38" s="67" t="s">
        <v>4454</v>
      </c>
      <c r="D38" s="68">
        <v>5</v>
      </c>
      <c r="E38" s="69"/>
      <c r="F38" s="70">
        <v>20</v>
      </c>
      <c r="G38" s="67"/>
      <c r="H38" s="71"/>
      <c r="I38" s="72"/>
      <c r="J38" s="72"/>
      <c r="K38" s="34"/>
      <c r="L38" s="79">
        <v>38</v>
      </c>
      <c r="M38" s="79"/>
      <c r="N38" s="74"/>
      <c r="O38" s="81" t="s">
        <v>944</v>
      </c>
      <c r="P38">
        <v>1</v>
      </c>
      <c r="Q38" s="80" t="str">
        <f>REPLACE(INDEX(GroupVertices[Group],MATCH(Edges[[#This Row],[Vertex 1]],GroupVertices[Vertex],0)),1,1,"")</f>
        <v>3</v>
      </c>
      <c r="R38" s="80" t="e">
        <f>REPLACE(INDEX(GroupVertices[Group],MATCH(Edges[[#This Row],[Vertex 2]],GroupVertices[Vertex],0)),1,1,"")</f>
        <v>#N/A</v>
      </c>
      <c r="S38" s="34"/>
      <c r="T38" s="34"/>
      <c r="U38" s="34"/>
      <c r="V38" s="34"/>
      <c r="W38" s="34"/>
      <c r="X38" s="34"/>
      <c r="Y38" s="34"/>
      <c r="Z38" s="34"/>
      <c r="AA38" s="34"/>
    </row>
    <row r="39" spans="1:27" ht="15">
      <c r="A39" s="66" t="s">
        <v>215</v>
      </c>
      <c r="B39" s="66" t="s">
        <v>297</v>
      </c>
      <c r="C39" s="67" t="s">
        <v>4454</v>
      </c>
      <c r="D39" s="68">
        <v>5</v>
      </c>
      <c r="E39" s="69"/>
      <c r="F39" s="70">
        <v>20</v>
      </c>
      <c r="G39" s="67"/>
      <c r="H39" s="71"/>
      <c r="I39" s="72"/>
      <c r="J39" s="72"/>
      <c r="K39" s="34" t="s">
        <v>65</v>
      </c>
      <c r="L39" s="79">
        <v>39</v>
      </c>
      <c r="M39" s="79"/>
      <c r="N39" s="74"/>
      <c r="O39" s="81" t="s">
        <v>944</v>
      </c>
      <c r="P39">
        <v>1</v>
      </c>
      <c r="Q39" s="80" t="str">
        <f>REPLACE(INDEX(GroupVertices[Group],MATCH(Edges[[#This Row],[Vertex 1]],GroupVertices[Vertex],0)),1,1,"")</f>
        <v>3</v>
      </c>
      <c r="R39" s="80" t="str">
        <f>REPLACE(INDEX(GroupVertices[Group],MATCH(Edges[[#This Row],[Vertex 2]],GroupVertices[Vertex],0)),1,1,"")</f>
        <v>3</v>
      </c>
      <c r="S39" s="34"/>
      <c r="T39" s="34"/>
      <c r="U39" s="34"/>
      <c r="V39" s="34"/>
      <c r="W39" s="34"/>
      <c r="X39" s="34"/>
      <c r="Y39" s="34"/>
      <c r="Z39" s="34"/>
      <c r="AA39" s="34"/>
    </row>
    <row r="40" spans="1:27" ht="15">
      <c r="A40" s="66" t="s">
        <v>216</v>
      </c>
      <c r="B40" s="66" t="s">
        <v>297</v>
      </c>
      <c r="C40" s="67" t="s">
        <v>4454</v>
      </c>
      <c r="D40" s="68">
        <v>5</v>
      </c>
      <c r="E40" s="69"/>
      <c r="F40" s="70">
        <v>20</v>
      </c>
      <c r="G40" s="67"/>
      <c r="H40" s="71"/>
      <c r="I40" s="72"/>
      <c r="J40" s="72"/>
      <c r="K40" s="34" t="s">
        <v>65</v>
      </c>
      <c r="L40" s="79">
        <v>40</v>
      </c>
      <c r="M40" s="79"/>
      <c r="N40" s="74"/>
      <c r="O40" s="81" t="s">
        <v>944</v>
      </c>
      <c r="P40">
        <v>1</v>
      </c>
      <c r="Q40" s="80" t="str">
        <f>REPLACE(INDEX(GroupVertices[Group],MATCH(Edges[[#This Row],[Vertex 1]],GroupVertices[Vertex],0)),1,1,"")</f>
        <v>3</v>
      </c>
      <c r="R40" s="80" t="str">
        <f>REPLACE(INDEX(GroupVertices[Group],MATCH(Edges[[#This Row],[Vertex 2]],GroupVertices[Vertex],0)),1,1,"")</f>
        <v>3</v>
      </c>
      <c r="S40" s="34"/>
      <c r="T40" s="34"/>
      <c r="U40" s="34"/>
      <c r="V40" s="34"/>
      <c r="W40" s="34"/>
      <c r="X40" s="34"/>
      <c r="Y40" s="34"/>
      <c r="Z40" s="34"/>
      <c r="AA40" s="34"/>
    </row>
    <row r="41" spans="1:27" ht="15">
      <c r="A41" s="66" t="s">
        <v>216</v>
      </c>
      <c r="B41" s="66" t="s">
        <v>298</v>
      </c>
      <c r="C41" s="67" t="s">
        <v>4454</v>
      </c>
      <c r="D41" s="68">
        <v>5</v>
      </c>
      <c r="E41" s="69"/>
      <c r="F41" s="70">
        <v>20</v>
      </c>
      <c r="G41" s="67"/>
      <c r="H41" s="71"/>
      <c r="I41" s="72"/>
      <c r="J41" s="72"/>
      <c r="K41" s="34"/>
      <c r="L41" s="79">
        <v>41</v>
      </c>
      <c r="M41" s="79"/>
      <c r="N41" s="74"/>
      <c r="O41" s="81" t="s">
        <v>944</v>
      </c>
      <c r="P41">
        <v>1</v>
      </c>
      <c r="Q41" s="80" t="str">
        <f>REPLACE(INDEX(GroupVertices[Group],MATCH(Edges[[#This Row],[Vertex 1]],GroupVertices[Vertex],0)),1,1,"")</f>
        <v>3</v>
      </c>
      <c r="R41" s="80" t="e">
        <f>REPLACE(INDEX(GroupVertices[Group],MATCH(Edges[[#This Row],[Vertex 2]],GroupVertices[Vertex],0)),1,1,"")</f>
        <v>#N/A</v>
      </c>
      <c r="S41" s="34"/>
      <c r="T41" s="34"/>
      <c r="U41" s="34"/>
      <c r="V41" s="34"/>
      <c r="W41" s="34"/>
      <c r="X41" s="34"/>
      <c r="Y41" s="34"/>
      <c r="Z41" s="34"/>
      <c r="AA41" s="34"/>
    </row>
    <row r="42" spans="1:27" ht="15">
      <c r="A42" s="66" t="s">
        <v>216</v>
      </c>
      <c r="B42" s="66" t="s">
        <v>299</v>
      </c>
      <c r="C42" s="67" t="s">
        <v>4454</v>
      </c>
      <c r="D42" s="68">
        <v>5</v>
      </c>
      <c r="E42" s="69"/>
      <c r="F42" s="70">
        <v>20</v>
      </c>
      <c r="G42" s="67"/>
      <c r="H42" s="71"/>
      <c r="I42" s="72"/>
      <c r="J42" s="72"/>
      <c r="K42" s="34"/>
      <c r="L42" s="79">
        <v>42</v>
      </c>
      <c r="M42" s="79"/>
      <c r="N42" s="74"/>
      <c r="O42" s="81" t="s">
        <v>944</v>
      </c>
      <c r="P42">
        <v>1</v>
      </c>
      <c r="Q42" s="80" t="str">
        <f>REPLACE(INDEX(GroupVertices[Group],MATCH(Edges[[#This Row],[Vertex 1]],GroupVertices[Vertex],0)),1,1,"")</f>
        <v>3</v>
      </c>
      <c r="R42" s="80" t="e">
        <f>REPLACE(INDEX(GroupVertices[Group],MATCH(Edges[[#This Row],[Vertex 2]],GroupVertices[Vertex],0)),1,1,"")</f>
        <v>#N/A</v>
      </c>
      <c r="S42" s="34"/>
      <c r="T42" s="34"/>
      <c r="U42" s="34"/>
      <c r="V42" s="34"/>
      <c r="W42" s="34"/>
      <c r="X42" s="34"/>
      <c r="Y42" s="34"/>
      <c r="Z42" s="34"/>
      <c r="AA42" s="34"/>
    </row>
    <row r="43" spans="1:27" ht="15">
      <c r="A43" s="66" t="s">
        <v>216</v>
      </c>
      <c r="B43" s="66" t="s">
        <v>300</v>
      </c>
      <c r="C43" s="67" t="s">
        <v>4454</v>
      </c>
      <c r="D43" s="68">
        <v>5</v>
      </c>
      <c r="E43" s="69"/>
      <c r="F43" s="70">
        <v>20</v>
      </c>
      <c r="G43" s="67"/>
      <c r="H43" s="71"/>
      <c r="I43" s="72"/>
      <c r="J43" s="72"/>
      <c r="K43" s="34"/>
      <c r="L43" s="79">
        <v>43</v>
      </c>
      <c r="M43" s="79"/>
      <c r="N43" s="74"/>
      <c r="O43" s="81" t="s">
        <v>944</v>
      </c>
      <c r="P43">
        <v>1</v>
      </c>
      <c r="Q43" s="80" t="str">
        <f>REPLACE(INDEX(GroupVertices[Group],MATCH(Edges[[#This Row],[Vertex 1]],GroupVertices[Vertex],0)),1,1,"")</f>
        <v>3</v>
      </c>
      <c r="R43" s="80" t="e">
        <f>REPLACE(INDEX(GroupVertices[Group],MATCH(Edges[[#This Row],[Vertex 2]],GroupVertices[Vertex],0)),1,1,"")</f>
        <v>#N/A</v>
      </c>
      <c r="S43" s="34"/>
      <c r="T43" s="34"/>
      <c r="U43" s="34"/>
      <c r="V43" s="34"/>
      <c r="W43" s="34"/>
      <c r="X43" s="34"/>
      <c r="Y43" s="34"/>
      <c r="Z43" s="34"/>
      <c r="AA43" s="34"/>
    </row>
    <row r="44" spans="1:27" ht="15">
      <c r="A44" s="66" t="s">
        <v>216</v>
      </c>
      <c r="B44" s="66" t="s">
        <v>301</v>
      </c>
      <c r="C44" s="67" t="s">
        <v>4454</v>
      </c>
      <c r="D44" s="68">
        <v>5</v>
      </c>
      <c r="E44" s="69"/>
      <c r="F44" s="70">
        <v>20</v>
      </c>
      <c r="G44" s="67"/>
      <c r="H44" s="71"/>
      <c r="I44" s="72"/>
      <c r="J44" s="72"/>
      <c r="K44" s="34"/>
      <c r="L44" s="79">
        <v>44</v>
      </c>
      <c r="M44" s="79"/>
      <c r="N44" s="74"/>
      <c r="O44" s="81" t="s">
        <v>944</v>
      </c>
      <c r="P44">
        <v>1</v>
      </c>
      <c r="Q44" s="80" t="str">
        <f>REPLACE(INDEX(GroupVertices[Group],MATCH(Edges[[#This Row],[Vertex 1]],GroupVertices[Vertex],0)),1,1,"")</f>
        <v>3</v>
      </c>
      <c r="R44" s="80" t="e">
        <f>REPLACE(INDEX(GroupVertices[Group],MATCH(Edges[[#This Row],[Vertex 2]],GroupVertices[Vertex],0)),1,1,"")</f>
        <v>#N/A</v>
      </c>
      <c r="S44" s="34"/>
      <c r="T44" s="34"/>
      <c r="U44" s="34"/>
      <c r="V44" s="34"/>
      <c r="W44" s="34"/>
      <c r="X44" s="34"/>
      <c r="Y44" s="34"/>
      <c r="Z44" s="34"/>
      <c r="AA44" s="34"/>
    </row>
    <row r="45" spans="1:27" ht="15">
      <c r="A45" s="66" t="s">
        <v>216</v>
      </c>
      <c r="B45" s="66" t="s">
        <v>302</v>
      </c>
      <c r="C45" s="67" t="s">
        <v>4454</v>
      </c>
      <c r="D45" s="68">
        <v>5</v>
      </c>
      <c r="E45" s="69"/>
      <c r="F45" s="70">
        <v>20</v>
      </c>
      <c r="G45" s="67"/>
      <c r="H45" s="71"/>
      <c r="I45" s="72"/>
      <c r="J45" s="72"/>
      <c r="K45" s="34"/>
      <c r="L45" s="79">
        <v>45</v>
      </c>
      <c r="M45" s="79"/>
      <c r="N45" s="74"/>
      <c r="O45" s="81" t="s">
        <v>944</v>
      </c>
      <c r="P45">
        <v>1</v>
      </c>
      <c r="Q45" s="80" t="str">
        <f>REPLACE(INDEX(GroupVertices[Group],MATCH(Edges[[#This Row],[Vertex 1]],GroupVertices[Vertex],0)),1,1,"")</f>
        <v>3</v>
      </c>
      <c r="R45" s="80" t="e">
        <f>REPLACE(INDEX(GroupVertices[Group],MATCH(Edges[[#This Row],[Vertex 2]],GroupVertices[Vertex],0)),1,1,"")</f>
        <v>#N/A</v>
      </c>
      <c r="S45" s="34"/>
      <c r="T45" s="34"/>
      <c r="U45" s="34"/>
      <c r="V45" s="34"/>
      <c r="W45" s="34"/>
      <c r="X45" s="34"/>
      <c r="Y45" s="34"/>
      <c r="Z45" s="34"/>
      <c r="AA45" s="34"/>
    </row>
    <row r="46" spans="1:27" ht="15">
      <c r="A46" s="66" t="s">
        <v>216</v>
      </c>
      <c r="B46" s="66" t="s">
        <v>303</v>
      </c>
      <c r="C46" s="67" t="s">
        <v>4454</v>
      </c>
      <c r="D46" s="68">
        <v>5</v>
      </c>
      <c r="E46" s="69"/>
      <c r="F46" s="70">
        <v>20</v>
      </c>
      <c r="G46" s="67"/>
      <c r="H46" s="71"/>
      <c r="I46" s="72"/>
      <c r="J46" s="72"/>
      <c r="K46" s="34"/>
      <c r="L46" s="79">
        <v>46</v>
      </c>
      <c r="M46" s="79"/>
      <c r="N46" s="74"/>
      <c r="O46" s="81" t="s">
        <v>944</v>
      </c>
      <c r="P46">
        <v>1</v>
      </c>
      <c r="Q46" s="80" t="str">
        <f>REPLACE(INDEX(GroupVertices[Group],MATCH(Edges[[#This Row],[Vertex 1]],GroupVertices[Vertex],0)),1,1,"")</f>
        <v>3</v>
      </c>
      <c r="R46" s="80" t="e">
        <f>REPLACE(INDEX(GroupVertices[Group],MATCH(Edges[[#This Row],[Vertex 2]],GroupVertices[Vertex],0)),1,1,"")</f>
        <v>#N/A</v>
      </c>
      <c r="S46" s="34"/>
      <c r="T46" s="34"/>
      <c r="U46" s="34"/>
      <c r="V46" s="34"/>
      <c r="W46" s="34"/>
      <c r="X46" s="34"/>
      <c r="Y46" s="34"/>
      <c r="Z46" s="34"/>
      <c r="AA46" s="34"/>
    </row>
    <row r="47" spans="1:27" ht="15">
      <c r="A47" s="66" t="s">
        <v>216</v>
      </c>
      <c r="B47" s="66" t="s">
        <v>304</v>
      </c>
      <c r="C47" s="67" t="s">
        <v>4454</v>
      </c>
      <c r="D47" s="68">
        <v>5</v>
      </c>
      <c r="E47" s="69"/>
      <c r="F47" s="70">
        <v>20</v>
      </c>
      <c r="G47" s="67"/>
      <c r="H47" s="71"/>
      <c r="I47" s="72"/>
      <c r="J47" s="72"/>
      <c r="K47" s="34"/>
      <c r="L47" s="79">
        <v>47</v>
      </c>
      <c r="M47" s="79"/>
      <c r="N47" s="74"/>
      <c r="O47" s="81" t="s">
        <v>944</v>
      </c>
      <c r="P47">
        <v>1</v>
      </c>
      <c r="Q47" s="80" t="str">
        <f>REPLACE(INDEX(GroupVertices[Group],MATCH(Edges[[#This Row],[Vertex 1]],GroupVertices[Vertex],0)),1,1,"")</f>
        <v>3</v>
      </c>
      <c r="R47" s="80" t="e">
        <f>REPLACE(INDEX(GroupVertices[Group],MATCH(Edges[[#This Row],[Vertex 2]],GroupVertices[Vertex],0)),1,1,"")</f>
        <v>#N/A</v>
      </c>
      <c r="S47" s="34"/>
      <c r="T47" s="34"/>
      <c r="U47" s="34"/>
      <c r="V47" s="34"/>
      <c r="W47" s="34"/>
      <c r="X47" s="34"/>
      <c r="Y47" s="34"/>
      <c r="Z47" s="34"/>
      <c r="AA47" s="34"/>
    </row>
    <row r="48" spans="1:27" ht="15">
      <c r="A48" s="66" t="s">
        <v>216</v>
      </c>
      <c r="B48" s="66" t="s">
        <v>305</v>
      </c>
      <c r="C48" s="67" t="s">
        <v>4454</v>
      </c>
      <c r="D48" s="68">
        <v>5</v>
      </c>
      <c r="E48" s="69"/>
      <c r="F48" s="70">
        <v>20</v>
      </c>
      <c r="G48" s="67"/>
      <c r="H48" s="71"/>
      <c r="I48" s="72"/>
      <c r="J48" s="72"/>
      <c r="K48" s="34"/>
      <c r="L48" s="79">
        <v>48</v>
      </c>
      <c r="M48" s="79"/>
      <c r="N48" s="74"/>
      <c r="O48" s="81" t="s">
        <v>944</v>
      </c>
      <c r="P48">
        <v>1</v>
      </c>
      <c r="Q48" s="80" t="str">
        <f>REPLACE(INDEX(GroupVertices[Group],MATCH(Edges[[#This Row],[Vertex 1]],GroupVertices[Vertex],0)),1,1,"")</f>
        <v>3</v>
      </c>
      <c r="R48" s="80" t="e">
        <f>REPLACE(INDEX(GroupVertices[Group],MATCH(Edges[[#This Row],[Vertex 2]],GroupVertices[Vertex],0)),1,1,"")</f>
        <v>#N/A</v>
      </c>
      <c r="S48" s="34"/>
      <c r="T48" s="34"/>
      <c r="U48" s="34"/>
      <c r="V48" s="34"/>
      <c r="W48" s="34"/>
      <c r="X48" s="34"/>
      <c r="Y48" s="34"/>
      <c r="Z48" s="34"/>
      <c r="AA48" s="34"/>
    </row>
    <row r="49" spans="1:27" ht="15">
      <c r="A49" s="66" t="s">
        <v>216</v>
      </c>
      <c r="B49" s="66" t="s">
        <v>306</v>
      </c>
      <c r="C49" s="67" t="s">
        <v>4454</v>
      </c>
      <c r="D49" s="68">
        <v>5</v>
      </c>
      <c r="E49" s="69"/>
      <c r="F49" s="70">
        <v>20</v>
      </c>
      <c r="G49" s="67"/>
      <c r="H49" s="71"/>
      <c r="I49" s="72"/>
      <c r="J49" s="72"/>
      <c r="K49" s="34"/>
      <c r="L49" s="79">
        <v>49</v>
      </c>
      <c r="M49" s="79"/>
      <c r="N49" s="74"/>
      <c r="O49" s="81" t="s">
        <v>944</v>
      </c>
      <c r="P49">
        <v>1</v>
      </c>
      <c r="Q49" s="80" t="str">
        <f>REPLACE(INDEX(GroupVertices[Group],MATCH(Edges[[#This Row],[Vertex 1]],GroupVertices[Vertex],0)),1,1,"")</f>
        <v>3</v>
      </c>
      <c r="R49" s="80" t="e">
        <f>REPLACE(INDEX(GroupVertices[Group],MATCH(Edges[[#This Row],[Vertex 2]],GroupVertices[Vertex],0)),1,1,"")</f>
        <v>#N/A</v>
      </c>
      <c r="S49" s="34"/>
      <c r="T49" s="34"/>
      <c r="U49" s="34"/>
      <c r="V49" s="34"/>
      <c r="W49" s="34"/>
      <c r="X49" s="34"/>
      <c r="Y49" s="34"/>
      <c r="Z49" s="34"/>
      <c r="AA49" s="34"/>
    </row>
    <row r="50" spans="1:27" ht="15">
      <c r="A50" s="66" t="s">
        <v>216</v>
      </c>
      <c r="B50" s="66" t="s">
        <v>307</v>
      </c>
      <c r="C50" s="67" t="s">
        <v>4454</v>
      </c>
      <c r="D50" s="68">
        <v>5</v>
      </c>
      <c r="E50" s="69"/>
      <c r="F50" s="70">
        <v>20</v>
      </c>
      <c r="G50" s="67"/>
      <c r="H50" s="71"/>
      <c r="I50" s="72"/>
      <c r="J50" s="72"/>
      <c r="K50" s="34"/>
      <c r="L50" s="79">
        <v>50</v>
      </c>
      <c r="M50" s="79"/>
      <c r="N50" s="74"/>
      <c r="O50" s="81" t="s">
        <v>944</v>
      </c>
      <c r="P50">
        <v>1</v>
      </c>
      <c r="Q50" s="80" t="str">
        <f>REPLACE(INDEX(GroupVertices[Group],MATCH(Edges[[#This Row],[Vertex 1]],GroupVertices[Vertex],0)),1,1,"")</f>
        <v>3</v>
      </c>
      <c r="R50" s="80" t="e">
        <f>REPLACE(INDEX(GroupVertices[Group],MATCH(Edges[[#This Row],[Vertex 2]],GroupVertices[Vertex],0)),1,1,"")</f>
        <v>#N/A</v>
      </c>
      <c r="S50" s="34"/>
      <c r="T50" s="34"/>
      <c r="U50" s="34"/>
      <c r="V50" s="34"/>
      <c r="W50" s="34"/>
      <c r="X50" s="34"/>
      <c r="Y50" s="34"/>
      <c r="Z50" s="34"/>
      <c r="AA50" s="34"/>
    </row>
    <row r="51" spans="1:27" ht="15">
      <c r="A51" s="66" t="s">
        <v>217</v>
      </c>
      <c r="B51" s="66" t="s">
        <v>308</v>
      </c>
      <c r="C51" s="67" t="s">
        <v>4454</v>
      </c>
      <c r="D51" s="68">
        <v>5</v>
      </c>
      <c r="E51" s="69"/>
      <c r="F51" s="70">
        <v>20</v>
      </c>
      <c r="G51" s="67"/>
      <c r="H51" s="71"/>
      <c r="I51" s="72"/>
      <c r="J51" s="72"/>
      <c r="K51" s="34"/>
      <c r="L51" s="79">
        <v>51</v>
      </c>
      <c r="M51" s="79"/>
      <c r="N51" s="74"/>
      <c r="O51" s="81" t="s">
        <v>944</v>
      </c>
      <c r="P51">
        <v>1</v>
      </c>
      <c r="Q51" s="80" t="str">
        <f>REPLACE(INDEX(GroupVertices[Group],MATCH(Edges[[#This Row],[Vertex 1]],GroupVertices[Vertex],0)),1,1,"")</f>
        <v>4</v>
      </c>
      <c r="R51" s="80" t="e">
        <f>REPLACE(INDEX(GroupVertices[Group],MATCH(Edges[[#This Row],[Vertex 2]],GroupVertices[Vertex],0)),1,1,"")</f>
        <v>#N/A</v>
      </c>
      <c r="S51" s="34"/>
      <c r="T51" s="34"/>
      <c r="U51" s="34"/>
      <c r="V51" s="34"/>
      <c r="W51" s="34"/>
      <c r="X51" s="34"/>
      <c r="Y51" s="34"/>
      <c r="Z51" s="34"/>
      <c r="AA51" s="34"/>
    </row>
    <row r="52" spans="1:27" ht="15">
      <c r="A52" s="66" t="s">
        <v>217</v>
      </c>
      <c r="B52" s="66" t="s">
        <v>309</v>
      </c>
      <c r="C52" s="67" t="s">
        <v>4454</v>
      </c>
      <c r="D52" s="68">
        <v>5</v>
      </c>
      <c r="E52" s="69"/>
      <c r="F52" s="70">
        <v>20</v>
      </c>
      <c r="G52" s="67"/>
      <c r="H52" s="71"/>
      <c r="I52" s="72"/>
      <c r="J52" s="72"/>
      <c r="K52" s="34"/>
      <c r="L52" s="79">
        <v>52</v>
      </c>
      <c r="M52" s="79"/>
      <c r="N52" s="74"/>
      <c r="O52" s="81" t="s">
        <v>944</v>
      </c>
      <c r="P52">
        <v>1</v>
      </c>
      <c r="Q52" s="80" t="str">
        <f>REPLACE(INDEX(GroupVertices[Group],MATCH(Edges[[#This Row],[Vertex 1]],GroupVertices[Vertex],0)),1,1,"")</f>
        <v>4</v>
      </c>
      <c r="R52" s="80" t="e">
        <f>REPLACE(INDEX(GroupVertices[Group],MATCH(Edges[[#This Row],[Vertex 2]],GroupVertices[Vertex],0)),1,1,"")</f>
        <v>#N/A</v>
      </c>
      <c r="S52" s="34"/>
      <c r="T52" s="34"/>
      <c r="U52" s="34"/>
      <c r="V52" s="34"/>
      <c r="W52" s="34"/>
      <c r="X52" s="34"/>
      <c r="Y52" s="34"/>
      <c r="Z52" s="34"/>
      <c r="AA52" s="34"/>
    </row>
    <row r="53" spans="1:27" ht="15">
      <c r="A53" s="66" t="s">
        <v>217</v>
      </c>
      <c r="B53" s="66" t="s">
        <v>310</v>
      </c>
      <c r="C53" s="67" t="s">
        <v>4454</v>
      </c>
      <c r="D53" s="68">
        <v>5</v>
      </c>
      <c r="E53" s="69"/>
      <c r="F53" s="70">
        <v>20</v>
      </c>
      <c r="G53" s="67"/>
      <c r="H53" s="71"/>
      <c r="I53" s="72"/>
      <c r="J53" s="72"/>
      <c r="K53" s="34"/>
      <c r="L53" s="79">
        <v>53</v>
      </c>
      <c r="M53" s="79"/>
      <c r="N53" s="74"/>
      <c r="O53" s="81" t="s">
        <v>944</v>
      </c>
      <c r="P53">
        <v>1</v>
      </c>
      <c r="Q53" s="80" t="str">
        <f>REPLACE(INDEX(GroupVertices[Group],MATCH(Edges[[#This Row],[Vertex 1]],GroupVertices[Vertex],0)),1,1,"")</f>
        <v>4</v>
      </c>
      <c r="R53" s="80" t="e">
        <f>REPLACE(INDEX(GroupVertices[Group],MATCH(Edges[[#This Row],[Vertex 2]],GroupVertices[Vertex],0)),1,1,"")</f>
        <v>#N/A</v>
      </c>
      <c r="S53" s="34"/>
      <c r="T53" s="34"/>
      <c r="U53" s="34"/>
      <c r="V53" s="34"/>
      <c r="W53" s="34"/>
      <c r="X53" s="34"/>
      <c r="Y53" s="34"/>
      <c r="Z53" s="34"/>
      <c r="AA53" s="34"/>
    </row>
    <row r="54" spans="1:27" ht="15">
      <c r="A54" s="66" t="s">
        <v>217</v>
      </c>
      <c r="B54" s="66" t="s">
        <v>311</v>
      </c>
      <c r="C54" s="67" t="s">
        <v>4454</v>
      </c>
      <c r="D54" s="68">
        <v>5</v>
      </c>
      <c r="E54" s="69"/>
      <c r="F54" s="70">
        <v>20</v>
      </c>
      <c r="G54" s="67"/>
      <c r="H54" s="71"/>
      <c r="I54" s="72"/>
      <c r="J54" s="72"/>
      <c r="K54" s="34"/>
      <c r="L54" s="79">
        <v>54</v>
      </c>
      <c r="M54" s="79"/>
      <c r="N54" s="74"/>
      <c r="O54" s="81" t="s">
        <v>944</v>
      </c>
      <c r="P54">
        <v>1</v>
      </c>
      <c r="Q54" s="80" t="str">
        <f>REPLACE(INDEX(GroupVertices[Group],MATCH(Edges[[#This Row],[Vertex 1]],GroupVertices[Vertex],0)),1,1,"")</f>
        <v>4</v>
      </c>
      <c r="R54" s="80" t="e">
        <f>REPLACE(INDEX(GroupVertices[Group],MATCH(Edges[[#This Row],[Vertex 2]],GroupVertices[Vertex],0)),1,1,"")</f>
        <v>#N/A</v>
      </c>
      <c r="S54" s="34"/>
      <c r="T54" s="34"/>
      <c r="U54" s="34"/>
      <c r="V54" s="34"/>
      <c r="W54" s="34"/>
      <c r="X54" s="34"/>
      <c r="Y54" s="34"/>
      <c r="Z54" s="34"/>
      <c r="AA54" s="34"/>
    </row>
    <row r="55" spans="1:27" ht="15">
      <c r="A55" s="66" t="s">
        <v>217</v>
      </c>
      <c r="B55" s="66" t="s">
        <v>312</v>
      </c>
      <c r="C55" s="67" t="s">
        <v>4454</v>
      </c>
      <c r="D55" s="68">
        <v>5</v>
      </c>
      <c r="E55" s="69"/>
      <c r="F55" s="70">
        <v>20</v>
      </c>
      <c r="G55" s="67"/>
      <c r="H55" s="71"/>
      <c r="I55" s="72"/>
      <c r="J55" s="72"/>
      <c r="K55" s="34"/>
      <c r="L55" s="79">
        <v>55</v>
      </c>
      <c r="M55" s="79"/>
      <c r="N55" s="74"/>
      <c r="O55" s="81" t="s">
        <v>944</v>
      </c>
      <c r="P55">
        <v>1</v>
      </c>
      <c r="Q55" s="80" t="str">
        <f>REPLACE(INDEX(GroupVertices[Group],MATCH(Edges[[#This Row],[Vertex 1]],GroupVertices[Vertex],0)),1,1,"")</f>
        <v>4</v>
      </c>
      <c r="R55" s="80" t="e">
        <f>REPLACE(INDEX(GroupVertices[Group],MATCH(Edges[[#This Row],[Vertex 2]],GroupVertices[Vertex],0)),1,1,"")</f>
        <v>#N/A</v>
      </c>
      <c r="S55" s="34"/>
      <c r="T55" s="34"/>
      <c r="U55" s="34"/>
      <c r="V55" s="34"/>
      <c r="W55" s="34"/>
      <c r="X55" s="34"/>
      <c r="Y55" s="34"/>
      <c r="Z55" s="34"/>
      <c r="AA55" s="34"/>
    </row>
    <row r="56" spans="1:27" ht="15">
      <c r="A56" s="66" t="s">
        <v>217</v>
      </c>
      <c r="B56" s="66" t="s">
        <v>313</v>
      </c>
      <c r="C56" s="67" t="s">
        <v>4454</v>
      </c>
      <c r="D56" s="68">
        <v>5</v>
      </c>
      <c r="E56" s="69"/>
      <c r="F56" s="70">
        <v>20</v>
      </c>
      <c r="G56" s="67"/>
      <c r="H56" s="71"/>
      <c r="I56" s="72"/>
      <c r="J56" s="72"/>
      <c r="K56" s="34"/>
      <c r="L56" s="79">
        <v>56</v>
      </c>
      <c r="M56" s="79"/>
      <c r="N56" s="74"/>
      <c r="O56" s="81" t="s">
        <v>944</v>
      </c>
      <c r="P56">
        <v>1</v>
      </c>
      <c r="Q56" s="80" t="str">
        <f>REPLACE(INDEX(GroupVertices[Group],MATCH(Edges[[#This Row],[Vertex 1]],GroupVertices[Vertex],0)),1,1,"")</f>
        <v>4</v>
      </c>
      <c r="R56" s="80" t="e">
        <f>REPLACE(INDEX(GroupVertices[Group],MATCH(Edges[[#This Row],[Vertex 2]],GroupVertices[Vertex],0)),1,1,"")</f>
        <v>#N/A</v>
      </c>
      <c r="S56" s="34"/>
      <c r="T56" s="34"/>
      <c r="U56" s="34"/>
      <c r="V56" s="34"/>
      <c r="W56" s="34"/>
      <c r="X56" s="34"/>
      <c r="Y56" s="34"/>
      <c r="Z56" s="34"/>
      <c r="AA56" s="34"/>
    </row>
    <row r="57" spans="1:27" ht="15">
      <c r="A57" s="66" t="s">
        <v>217</v>
      </c>
      <c r="B57" s="66" t="s">
        <v>314</v>
      </c>
      <c r="C57" s="67" t="s">
        <v>4454</v>
      </c>
      <c r="D57" s="68">
        <v>5</v>
      </c>
      <c r="E57" s="69"/>
      <c r="F57" s="70">
        <v>20</v>
      </c>
      <c r="G57" s="67"/>
      <c r="H57" s="71"/>
      <c r="I57" s="72"/>
      <c r="J57" s="72"/>
      <c r="K57" s="34"/>
      <c r="L57" s="79">
        <v>57</v>
      </c>
      <c r="M57" s="79"/>
      <c r="N57" s="74"/>
      <c r="O57" s="81" t="s">
        <v>944</v>
      </c>
      <c r="P57">
        <v>1</v>
      </c>
      <c r="Q57" s="80" t="str">
        <f>REPLACE(INDEX(GroupVertices[Group],MATCH(Edges[[#This Row],[Vertex 1]],GroupVertices[Vertex],0)),1,1,"")</f>
        <v>4</v>
      </c>
      <c r="R57" s="80" t="e">
        <f>REPLACE(INDEX(GroupVertices[Group],MATCH(Edges[[#This Row],[Vertex 2]],GroupVertices[Vertex],0)),1,1,"")</f>
        <v>#N/A</v>
      </c>
      <c r="S57" s="34"/>
      <c r="T57" s="34"/>
      <c r="U57" s="34"/>
      <c r="V57" s="34"/>
      <c r="W57" s="34"/>
      <c r="X57" s="34"/>
      <c r="Y57" s="34"/>
      <c r="Z57" s="34"/>
      <c r="AA57" s="34"/>
    </row>
    <row r="58" spans="1:27" ht="15">
      <c r="A58" s="66" t="s">
        <v>217</v>
      </c>
      <c r="B58" s="66" t="s">
        <v>315</v>
      </c>
      <c r="C58" s="67" t="s">
        <v>4454</v>
      </c>
      <c r="D58" s="68">
        <v>5</v>
      </c>
      <c r="E58" s="69"/>
      <c r="F58" s="70">
        <v>20</v>
      </c>
      <c r="G58" s="67"/>
      <c r="H58" s="71"/>
      <c r="I58" s="72"/>
      <c r="J58" s="72"/>
      <c r="K58" s="34"/>
      <c r="L58" s="79">
        <v>58</v>
      </c>
      <c r="M58" s="79"/>
      <c r="N58" s="74"/>
      <c r="O58" s="81" t="s">
        <v>944</v>
      </c>
      <c r="P58">
        <v>1</v>
      </c>
      <c r="Q58" s="80" t="str">
        <f>REPLACE(INDEX(GroupVertices[Group],MATCH(Edges[[#This Row],[Vertex 1]],GroupVertices[Vertex],0)),1,1,"")</f>
        <v>4</v>
      </c>
      <c r="R58" s="80" t="e">
        <f>REPLACE(INDEX(GroupVertices[Group],MATCH(Edges[[#This Row],[Vertex 2]],GroupVertices[Vertex],0)),1,1,"")</f>
        <v>#N/A</v>
      </c>
      <c r="S58" s="34"/>
      <c r="T58" s="34"/>
      <c r="U58" s="34"/>
      <c r="V58" s="34"/>
      <c r="W58" s="34"/>
      <c r="X58" s="34"/>
      <c r="Y58" s="34"/>
      <c r="Z58" s="34"/>
      <c r="AA58" s="34"/>
    </row>
    <row r="59" spans="1:27" ht="15">
      <c r="A59" s="66" t="s">
        <v>217</v>
      </c>
      <c r="B59" s="66" t="s">
        <v>316</v>
      </c>
      <c r="C59" s="67" t="s">
        <v>4454</v>
      </c>
      <c r="D59" s="68">
        <v>5</v>
      </c>
      <c r="E59" s="69"/>
      <c r="F59" s="70">
        <v>20</v>
      </c>
      <c r="G59" s="67"/>
      <c r="H59" s="71"/>
      <c r="I59" s="72"/>
      <c r="J59" s="72"/>
      <c r="K59" s="34"/>
      <c r="L59" s="79">
        <v>59</v>
      </c>
      <c r="M59" s="79"/>
      <c r="N59" s="74"/>
      <c r="O59" s="81" t="s">
        <v>944</v>
      </c>
      <c r="P59">
        <v>1</v>
      </c>
      <c r="Q59" s="80" t="str">
        <f>REPLACE(INDEX(GroupVertices[Group],MATCH(Edges[[#This Row],[Vertex 1]],GroupVertices[Vertex],0)),1,1,"")</f>
        <v>4</v>
      </c>
      <c r="R59" s="80" t="e">
        <f>REPLACE(INDEX(GroupVertices[Group],MATCH(Edges[[#This Row],[Vertex 2]],GroupVertices[Vertex],0)),1,1,"")</f>
        <v>#N/A</v>
      </c>
      <c r="S59" s="34"/>
      <c r="T59" s="34"/>
      <c r="U59" s="34"/>
      <c r="V59" s="34"/>
      <c r="W59" s="34"/>
      <c r="X59" s="34"/>
      <c r="Y59" s="34"/>
      <c r="Z59" s="34"/>
      <c r="AA59" s="34"/>
    </row>
    <row r="60" spans="1:27" ht="15">
      <c r="A60" s="66" t="s">
        <v>213</v>
      </c>
      <c r="B60" s="66" t="s">
        <v>317</v>
      </c>
      <c r="C60" s="67" t="s">
        <v>4454</v>
      </c>
      <c r="D60" s="68">
        <v>5</v>
      </c>
      <c r="E60" s="69"/>
      <c r="F60" s="70">
        <v>20</v>
      </c>
      <c r="G60" s="67"/>
      <c r="H60" s="71"/>
      <c r="I60" s="72"/>
      <c r="J60" s="72"/>
      <c r="K60" s="34" t="s">
        <v>65</v>
      </c>
      <c r="L60" s="79">
        <v>60</v>
      </c>
      <c r="M60" s="79"/>
      <c r="N60" s="74"/>
      <c r="O60" s="81" t="s">
        <v>944</v>
      </c>
      <c r="P60">
        <v>1</v>
      </c>
      <c r="Q60" s="80" t="str">
        <f>REPLACE(INDEX(GroupVertices[Group],MATCH(Edges[[#This Row],[Vertex 1]],GroupVertices[Vertex],0)),1,1,"")</f>
        <v>2</v>
      </c>
      <c r="R60" s="80" t="str">
        <f>REPLACE(INDEX(GroupVertices[Group],MATCH(Edges[[#This Row],[Vertex 2]],GroupVertices[Vertex],0)),1,1,"")</f>
        <v>4</v>
      </c>
      <c r="S60" s="34"/>
      <c r="T60" s="34"/>
      <c r="U60" s="34"/>
      <c r="V60" s="34"/>
      <c r="W60" s="34"/>
      <c r="X60" s="34"/>
      <c r="Y60" s="34"/>
      <c r="Z60" s="34"/>
      <c r="AA60" s="34"/>
    </row>
    <row r="61" spans="1:27" ht="15">
      <c r="A61" s="66" t="s">
        <v>217</v>
      </c>
      <c r="B61" s="66" t="s">
        <v>317</v>
      </c>
      <c r="C61" s="67" t="s">
        <v>4454</v>
      </c>
      <c r="D61" s="68">
        <v>5</v>
      </c>
      <c r="E61" s="69"/>
      <c r="F61" s="70">
        <v>20</v>
      </c>
      <c r="G61" s="67"/>
      <c r="H61" s="71"/>
      <c r="I61" s="72"/>
      <c r="J61" s="72"/>
      <c r="K61" s="34" t="s">
        <v>65</v>
      </c>
      <c r="L61" s="79">
        <v>61</v>
      </c>
      <c r="M61" s="79"/>
      <c r="N61" s="74"/>
      <c r="O61" s="81" t="s">
        <v>944</v>
      </c>
      <c r="P61">
        <v>1</v>
      </c>
      <c r="Q61" s="80" t="str">
        <f>REPLACE(INDEX(GroupVertices[Group],MATCH(Edges[[#This Row],[Vertex 1]],GroupVertices[Vertex],0)),1,1,"")</f>
        <v>4</v>
      </c>
      <c r="R61" s="80" t="str">
        <f>REPLACE(INDEX(GroupVertices[Group],MATCH(Edges[[#This Row],[Vertex 2]],GroupVertices[Vertex],0)),1,1,"")</f>
        <v>4</v>
      </c>
      <c r="S61" s="34"/>
      <c r="T61" s="34"/>
      <c r="U61" s="34"/>
      <c r="V61" s="34"/>
      <c r="W61" s="34"/>
      <c r="X61" s="34"/>
      <c r="Y61" s="34"/>
      <c r="Z61" s="34"/>
      <c r="AA61" s="34"/>
    </row>
    <row r="62" spans="1:27" ht="15">
      <c r="A62" s="66" t="s">
        <v>217</v>
      </c>
      <c r="B62" s="66" t="s">
        <v>318</v>
      </c>
      <c r="C62" s="67" t="s">
        <v>4454</v>
      </c>
      <c r="D62" s="68">
        <v>5</v>
      </c>
      <c r="E62" s="69"/>
      <c r="F62" s="70">
        <v>20</v>
      </c>
      <c r="G62" s="67"/>
      <c r="H62" s="71"/>
      <c r="I62" s="72"/>
      <c r="J62" s="72"/>
      <c r="K62" s="34"/>
      <c r="L62" s="79">
        <v>62</v>
      </c>
      <c r="M62" s="79"/>
      <c r="N62" s="74"/>
      <c r="O62" s="81" t="s">
        <v>944</v>
      </c>
      <c r="P62">
        <v>1</v>
      </c>
      <c r="Q62" s="80" t="str">
        <f>REPLACE(INDEX(GroupVertices[Group],MATCH(Edges[[#This Row],[Vertex 1]],GroupVertices[Vertex],0)),1,1,"")</f>
        <v>4</v>
      </c>
      <c r="R62" s="80" t="e">
        <f>REPLACE(INDEX(GroupVertices[Group],MATCH(Edges[[#This Row],[Vertex 2]],GroupVertices[Vertex],0)),1,1,"")</f>
        <v>#N/A</v>
      </c>
      <c r="S62" s="34"/>
      <c r="T62" s="34"/>
      <c r="U62" s="34"/>
      <c r="V62" s="34"/>
      <c r="W62" s="34"/>
      <c r="X62" s="34"/>
      <c r="Y62" s="34"/>
      <c r="Z62" s="34"/>
      <c r="AA62" s="34"/>
    </row>
    <row r="63" spans="1:27" ht="15">
      <c r="A63" s="66" t="s">
        <v>217</v>
      </c>
      <c r="B63" s="66" t="s">
        <v>319</v>
      </c>
      <c r="C63" s="67" t="s">
        <v>4454</v>
      </c>
      <c r="D63" s="68">
        <v>5</v>
      </c>
      <c r="E63" s="69"/>
      <c r="F63" s="70">
        <v>20</v>
      </c>
      <c r="G63" s="67"/>
      <c r="H63" s="71"/>
      <c r="I63" s="72"/>
      <c r="J63" s="72"/>
      <c r="K63" s="34"/>
      <c r="L63" s="79">
        <v>63</v>
      </c>
      <c r="M63" s="79"/>
      <c r="N63" s="74"/>
      <c r="O63" s="81" t="s">
        <v>944</v>
      </c>
      <c r="P63">
        <v>1</v>
      </c>
      <c r="Q63" s="80" t="str">
        <f>REPLACE(INDEX(GroupVertices[Group],MATCH(Edges[[#This Row],[Vertex 1]],GroupVertices[Vertex],0)),1,1,"")</f>
        <v>4</v>
      </c>
      <c r="R63" s="80" t="e">
        <f>REPLACE(INDEX(GroupVertices[Group],MATCH(Edges[[#This Row],[Vertex 2]],GroupVertices[Vertex],0)),1,1,"")</f>
        <v>#N/A</v>
      </c>
      <c r="S63" s="34"/>
      <c r="T63" s="34"/>
      <c r="U63" s="34"/>
      <c r="V63" s="34"/>
      <c r="W63" s="34"/>
      <c r="X63" s="34"/>
      <c r="Y63" s="34"/>
      <c r="Z63" s="34"/>
      <c r="AA63" s="34"/>
    </row>
    <row r="64" spans="1:27" ht="15">
      <c r="A64" s="66" t="s">
        <v>217</v>
      </c>
      <c r="B64" s="66" t="s">
        <v>320</v>
      </c>
      <c r="C64" s="67" t="s">
        <v>4454</v>
      </c>
      <c r="D64" s="68">
        <v>5</v>
      </c>
      <c r="E64" s="69"/>
      <c r="F64" s="70">
        <v>20</v>
      </c>
      <c r="G64" s="67"/>
      <c r="H64" s="71"/>
      <c r="I64" s="72"/>
      <c r="J64" s="72"/>
      <c r="K64" s="34"/>
      <c r="L64" s="79">
        <v>64</v>
      </c>
      <c r="M64" s="79"/>
      <c r="N64" s="74"/>
      <c r="O64" s="81" t="s">
        <v>944</v>
      </c>
      <c r="P64">
        <v>1</v>
      </c>
      <c r="Q64" s="80" t="str">
        <f>REPLACE(INDEX(GroupVertices[Group],MATCH(Edges[[#This Row],[Vertex 1]],GroupVertices[Vertex],0)),1,1,"")</f>
        <v>4</v>
      </c>
      <c r="R64" s="80" t="e">
        <f>REPLACE(INDEX(GroupVertices[Group],MATCH(Edges[[#This Row],[Vertex 2]],GroupVertices[Vertex],0)),1,1,"")</f>
        <v>#N/A</v>
      </c>
      <c r="S64" s="34"/>
      <c r="T64" s="34"/>
      <c r="U64" s="34"/>
      <c r="V64" s="34"/>
      <c r="W64" s="34"/>
      <c r="X64" s="34"/>
      <c r="Y64" s="34"/>
      <c r="Z64" s="34"/>
      <c r="AA64" s="34"/>
    </row>
    <row r="65" spans="1:27" ht="15">
      <c r="A65" s="66" t="s">
        <v>217</v>
      </c>
      <c r="B65" s="66" t="s">
        <v>321</v>
      </c>
      <c r="C65" s="67" t="s">
        <v>4454</v>
      </c>
      <c r="D65" s="68">
        <v>5</v>
      </c>
      <c r="E65" s="69"/>
      <c r="F65" s="70">
        <v>20</v>
      </c>
      <c r="G65" s="67"/>
      <c r="H65" s="71"/>
      <c r="I65" s="72"/>
      <c r="J65" s="72"/>
      <c r="K65" s="34"/>
      <c r="L65" s="79">
        <v>65</v>
      </c>
      <c r="M65" s="79"/>
      <c r="N65" s="74"/>
      <c r="O65" s="81" t="s">
        <v>944</v>
      </c>
      <c r="P65">
        <v>1</v>
      </c>
      <c r="Q65" s="80" t="str">
        <f>REPLACE(INDEX(GroupVertices[Group],MATCH(Edges[[#This Row],[Vertex 1]],GroupVertices[Vertex],0)),1,1,"")</f>
        <v>4</v>
      </c>
      <c r="R65" s="80" t="e">
        <f>REPLACE(INDEX(GroupVertices[Group],MATCH(Edges[[#This Row],[Vertex 2]],GroupVertices[Vertex],0)),1,1,"")</f>
        <v>#N/A</v>
      </c>
      <c r="S65" s="34"/>
      <c r="T65" s="34"/>
      <c r="U65" s="34"/>
      <c r="V65" s="34"/>
      <c r="W65" s="34"/>
      <c r="X65" s="34"/>
      <c r="Y65" s="34"/>
      <c r="Z65" s="34"/>
      <c r="AA65" s="34"/>
    </row>
    <row r="66" spans="1:27" ht="15">
      <c r="A66" s="66" t="s">
        <v>218</v>
      </c>
      <c r="B66" s="66" t="s">
        <v>322</v>
      </c>
      <c r="C66" s="67" t="s">
        <v>4454</v>
      </c>
      <c r="D66" s="68">
        <v>5</v>
      </c>
      <c r="E66" s="69"/>
      <c r="F66" s="70">
        <v>20</v>
      </c>
      <c r="G66" s="67"/>
      <c r="H66" s="71"/>
      <c r="I66" s="72"/>
      <c r="J66" s="72"/>
      <c r="K66" s="34"/>
      <c r="L66" s="79">
        <v>66</v>
      </c>
      <c r="M66" s="79"/>
      <c r="N66" s="74"/>
      <c r="O66" s="81" t="s">
        <v>944</v>
      </c>
      <c r="P66">
        <v>1</v>
      </c>
      <c r="Q66" s="80" t="e">
        <f>REPLACE(INDEX(GroupVertices[Group],MATCH(Edges[[#This Row],[Vertex 1]],GroupVertices[Vertex],0)),1,1,"")</f>
        <v>#N/A</v>
      </c>
      <c r="R66" s="80" t="e">
        <f>REPLACE(INDEX(GroupVertices[Group],MATCH(Edges[[#This Row],[Vertex 2]],GroupVertices[Vertex],0)),1,1,"")</f>
        <v>#N/A</v>
      </c>
      <c r="S66" s="34"/>
      <c r="T66" s="34"/>
      <c r="U66" s="34"/>
      <c r="V66" s="34"/>
      <c r="W66" s="34"/>
      <c r="X66" s="34"/>
      <c r="Y66" s="34"/>
      <c r="Z66" s="34"/>
      <c r="AA66" s="34"/>
    </row>
    <row r="67" spans="1:27" ht="15">
      <c r="A67" s="66" t="s">
        <v>218</v>
      </c>
      <c r="B67" s="66" t="s">
        <v>323</v>
      </c>
      <c r="C67" s="67" t="s">
        <v>4454</v>
      </c>
      <c r="D67" s="68">
        <v>5</v>
      </c>
      <c r="E67" s="69"/>
      <c r="F67" s="70">
        <v>20</v>
      </c>
      <c r="G67" s="67"/>
      <c r="H67" s="71"/>
      <c r="I67" s="72"/>
      <c r="J67" s="72"/>
      <c r="K67" s="34"/>
      <c r="L67" s="79">
        <v>67</v>
      </c>
      <c r="M67" s="79"/>
      <c r="N67" s="74"/>
      <c r="O67" s="81" t="s">
        <v>944</v>
      </c>
      <c r="P67">
        <v>1</v>
      </c>
      <c r="Q67" s="80" t="e">
        <f>REPLACE(INDEX(GroupVertices[Group],MATCH(Edges[[#This Row],[Vertex 1]],GroupVertices[Vertex],0)),1,1,"")</f>
        <v>#N/A</v>
      </c>
      <c r="R67" s="80" t="e">
        <f>REPLACE(INDEX(GroupVertices[Group],MATCH(Edges[[#This Row],[Vertex 2]],GroupVertices[Vertex],0)),1,1,"")</f>
        <v>#N/A</v>
      </c>
      <c r="S67" s="34"/>
      <c r="T67" s="34"/>
      <c r="U67" s="34"/>
      <c r="V67" s="34"/>
      <c r="W67" s="34"/>
      <c r="X67" s="34"/>
      <c r="Y67" s="34"/>
      <c r="Z67" s="34"/>
      <c r="AA67" s="34"/>
    </row>
    <row r="68" spans="1:27" ht="15">
      <c r="A68" s="66" t="s">
        <v>218</v>
      </c>
      <c r="B68" s="66" t="s">
        <v>324</v>
      </c>
      <c r="C68" s="67" t="s">
        <v>4454</v>
      </c>
      <c r="D68" s="68">
        <v>5</v>
      </c>
      <c r="E68" s="69"/>
      <c r="F68" s="70">
        <v>20</v>
      </c>
      <c r="G68" s="67"/>
      <c r="H68" s="71"/>
      <c r="I68" s="72"/>
      <c r="J68" s="72"/>
      <c r="K68" s="34"/>
      <c r="L68" s="79">
        <v>68</v>
      </c>
      <c r="M68" s="79"/>
      <c r="N68" s="74"/>
      <c r="O68" s="81" t="s">
        <v>944</v>
      </c>
      <c r="P68">
        <v>1</v>
      </c>
      <c r="Q68" s="80" t="e">
        <f>REPLACE(INDEX(GroupVertices[Group],MATCH(Edges[[#This Row],[Vertex 1]],GroupVertices[Vertex],0)),1,1,"")</f>
        <v>#N/A</v>
      </c>
      <c r="R68" s="80" t="e">
        <f>REPLACE(INDEX(GroupVertices[Group],MATCH(Edges[[#This Row],[Vertex 2]],GroupVertices[Vertex],0)),1,1,"")</f>
        <v>#N/A</v>
      </c>
      <c r="S68" s="34"/>
      <c r="T68" s="34"/>
      <c r="U68" s="34"/>
      <c r="V68" s="34"/>
      <c r="W68" s="34"/>
      <c r="X68" s="34"/>
      <c r="Y68" s="34"/>
      <c r="Z68" s="34"/>
      <c r="AA68" s="34"/>
    </row>
    <row r="69" spans="1:27" ht="15">
      <c r="A69" s="66" t="s">
        <v>218</v>
      </c>
      <c r="B69" s="66" t="s">
        <v>325</v>
      </c>
      <c r="C69" s="67" t="s">
        <v>4454</v>
      </c>
      <c r="D69" s="68">
        <v>5</v>
      </c>
      <c r="E69" s="69"/>
      <c r="F69" s="70">
        <v>20</v>
      </c>
      <c r="G69" s="67"/>
      <c r="H69" s="71"/>
      <c r="I69" s="72"/>
      <c r="J69" s="72"/>
      <c r="K69" s="34"/>
      <c r="L69" s="79">
        <v>69</v>
      </c>
      <c r="M69" s="79"/>
      <c r="N69" s="74"/>
      <c r="O69" s="81" t="s">
        <v>944</v>
      </c>
      <c r="P69">
        <v>1</v>
      </c>
      <c r="Q69" s="80" t="e">
        <f>REPLACE(INDEX(GroupVertices[Group],MATCH(Edges[[#This Row],[Vertex 1]],GroupVertices[Vertex],0)),1,1,"")</f>
        <v>#N/A</v>
      </c>
      <c r="R69" s="80" t="e">
        <f>REPLACE(INDEX(GroupVertices[Group],MATCH(Edges[[#This Row],[Vertex 2]],GroupVertices[Vertex],0)),1,1,"")</f>
        <v>#N/A</v>
      </c>
      <c r="S69" s="34"/>
      <c r="T69" s="34"/>
      <c r="U69" s="34"/>
      <c r="V69" s="34"/>
      <c r="W69" s="34"/>
      <c r="X69" s="34"/>
      <c r="Y69" s="34"/>
      <c r="Z69" s="34"/>
      <c r="AA69" s="34"/>
    </row>
    <row r="70" spans="1:27" ht="15">
      <c r="A70" s="66" t="s">
        <v>218</v>
      </c>
      <c r="B70" s="66" t="s">
        <v>326</v>
      </c>
      <c r="C70" s="67" t="s">
        <v>4454</v>
      </c>
      <c r="D70" s="68">
        <v>5</v>
      </c>
      <c r="E70" s="69"/>
      <c r="F70" s="70">
        <v>20</v>
      </c>
      <c r="G70" s="67"/>
      <c r="H70" s="71"/>
      <c r="I70" s="72"/>
      <c r="J70" s="72"/>
      <c r="K70" s="34"/>
      <c r="L70" s="79">
        <v>70</v>
      </c>
      <c r="M70" s="79"/>
      <c r="N70" s="74"/>
      <c r="O70" s="81" t="s">
        <v>944</v>
      </c>
      <c r="P70">
        <v>1</v>
      </c>
      <c r="Q70" s="80" t="e">
        <f>REPLACE(INDEX(GroupVertices[Group],MATCH(Edges[[#This Row],[Vertex 1]],GroupVertices[Vertex],0)),1,1,"")</f>
        <v>#N/A</v>
      </c>
      <c r="R70" s="80" t="e">
        <f>REPLACE(INDEX(GroupVertices[Group],MATCH(Edges[[#This Row],[Vertex 2]],GroupVertices[Vertex],0)),1,1,"")</f>
        <v>#N/A</v>
      </c>
      <c r="S70" s="34"/>
      <c r="T70" s="34"/>
      <c r="U70" s="34"/>
      <c r="V70" s="34"/>
      <c r="W70" s="34"/>
      <c r="X70" s="34"/>
      <c r="Y70" s="34"/>
      <c r="Z70" s="34"/>
      <c r="AA70" s="34"/>
    </row>
    <row r="71" spans="1:27" ht="15">
      <c r="A71" s="66" t="s">
        <v>218</v>
      </c>
      <c r="B71" s="66" t="s">
        <v>327</v>
      </c>
      <c r="C71" s="67" t="s">
        <v>4454</v>
      </c>
      <c r="D71" s="68">
        <v>5</v>
      </c>
      <c r="E71" s="69"/>
      <c r="F71" s="70">
        <v>20</v>
      </c>
      <c r="G71" s="67"/>
      <c r="H71" s="71"/>
      <c r="I71" s="72"/>
      <c r="J71" s="72"/>
      <c r="K71" s="34"/>
      <c r="L71" s="79">
        <v>71</v>
      </c>
      <c r="M71" s="79"/>
      <c r="N71" s="74"/>
      <c r="O71" s="81" t="s">
        <v>944</v>
      </c>
      <c r="P71">
        <v>1</v>
      </c>
      <c r="Q71" s="80" t="e">
        <f>REPLACE(INDEX(GroupVertices[Group],MATCH(Edges[[#This Row],[Vertex 1]],GroupVertices[Vertex],0)),1,1,"")</f>
        <v>#N/A</v>
      </c>
      <c r="R71" s="80" t="e">
        <f>REPLACE(INDEX(GroupVertices[Group],MATCH(Edges[[#This Row],[Vertex 2]],GroupVertices[Vertex],0)),1,1,"")</f>
        <v>#N/A</v>
      </c>
      <c r="S71" s="34"/>
      <c r="T71" s="34"/>
      <c r="U71" s="34"/>
      <c r="V71" s="34"/>
      <c r="W71" s="34"/>
      <c r="X71" s="34"/>
      <c r="Y71" s="34"/>
      <c r="Z71" s="34"/>
      <c r="AA71" s="34"/>
    </row>
    <row r="72" spans="1:27" ht="15">
      <c r="A72" s="66" t="s">
        <v>218</v>
      </c>
      <c r="B72" s="66" t="s">
        <v>328</v>
      </c>
      <c r="C72" s="67" t="s">
        <v>4454</v>
      </c>
      <c r="D72" s="68">
        <v>5</v>
      </c>
      <c r="E72" s="69"/>
      <c r="F72" s="70">
        <v>20</v>
      </c>
      <c r="G72" s="67"/>
      <c r="H72" s="71"/>
      <c r="I72" s="72"/>
      <c r="J72" s="72"/>
      <c r="K72" s="34"/>
      <c r="L72" s="79">
        <v>72</v>
      </c>
      <c r="M72" s="79"/>
      <c r="N72" s="74"/>
      <c r="O72" s="81" t="s">
        <v>944</v>
      </c>
      <c r="P72">
        <v>1</v>
      </c>
      <c r="Q72" s="80" t="e">
        <f>REPLACE(INDEX(GroupVertices[Group],MATCH(Edges[[#This Row],[Vertex 1]],GroupVertices[Vertex],0)),1,1,"")</f>
        <v>#N/A</v>
      </c>
      <c r="R72" s="80" t="e">
        <f>REPLACE(INDEX(GroupVertices[Group],MATCH(Edges[[#This Row],[Vertex 2]],GroupVertices[Vertex],0)),1,1,"")</f>
        <v>#N/A</v>
      </c>
      <c r="S72" s="34"/>
      <c r="T72" s="34"/>
      <c r="U72" s="34"/>
      <c r="V72" s="34"/>
      <c r="W72" s="34"/>
      <c r="X72" s="34"/>
      <c r="Y72" s="34"/>
      <c r="Z72" s="34"/>
      <c r="AA72" s="34"/>
    </row>
    <row r="73" spans="1:27" ht="15">
      <c r="A73" s="66" t="s">
        <v>218</v>
      </c>
      <c r="B73" s="66" t="s">
        <v>329</v>
      </c>
      <c r="C73" s="67" t="s">
        <v>4454</v>
      </c>
      <c r="D73" s="68">
        <v>5</v>
      </c>
      <c r="E73" s="69"/>
      <c r="F73" s="70">
        <v>20</v>
      </c>
      <c r="G73" s="67"/>
      <c r="H73" s="71"/>
      <c r="I73" s="72"/>
      <c r="J73" s="72"/>
      <c r="K73" s="34"/>
      <c r="L73" s="79">
        <v>73</v>
      </c>
      <c r="M73" s="79"/>
      <c r="N73" s="74"/>
      <c r="O73" s="81" t="s">
        <v>944</v>
      </c>
      <c r="P73">
        <v>1</v>
      </c>
      <c r="Q73" s="80" t="e">
        <f>REPLACE(INDEX(GroupVertices[Group],MATCH(Edges[[#This Row],[Vertex 1]],GroupVertices[Vertex],0)),1,1,"")</f>
        <v>#N/A</v>
      </c>
      <c r="R73" s="80" t="e">
        <f>REPLACE(INDEX(GroupVertices[Group],MATCH(Edges[[#This Row],[Vertex 2]],GroupVertices[Vertex],0)),1,1,"")</f>
        <v>#N/A</v>
      </c>
      <c r="S73" s="34"/>
      <c r="T73" s="34"/>
      <c r="U73" s="34"/>
      <c r="V73" s="34"/>
      <c r="W73" s="34"/>
      <c r="X73" s="34"/>
      <c r="Y73" s="34"/>
      <c r="Z73" s="34"/>
      <c r="AA73" s="34"/>
    </row>
    <row r="74" spans="1:27" ht="15">
      <c r="A74" s="66" t="s">
        <v>219</v>
      </c>
      <c r="B74" s="66" t="s">
        <v>330</v>
      </c>
      <c r="C74" s="67" t="s">
        <v>4454</v>
      </c>
      <c r="D74" s="68">
        <v>5</v>
      </c>
      <c r="E74" s="69"/>
      <c r="F74" s="70">
        <v>20</v>
      </c>
      <c r="G74" s="67"/>
      <c r="H74" s="71"/>
      <c r="I74" s="72"/>
      <c r="J74" s="72"/>
      <c r="K74" s="34"/>
      <c r="L74" s="79">
        <v>74</v>
      </c>
      <c r="M74" s="79"/>
      <c r="N74" s="74"/>
      <c r="O74" s="81" t="s">
        <v>944</v>
      </c>
      <c r="P74">
        <v>1</v>
      </c>
      <c r="Q74" s="80" t="str">
        <f>REPLACE(INDEX(GroupVertices[Group],MATCH(Edges[[#This Row],[Vertex 1]],GroupVertices[Vertex],0)),1,1,"")</f>
        <v>3</v>
      </c>
      <c r="R74" s="80" t="e">
        <f>REPLACE(INDEX(GroupVertices[Group],MATCH(Edges[[#This Row],[Vertex 2]],GroupVertices[Vertex],0)),1,1,"")</f>
        <v>#N/A</v>
      </c>
      <c r="S74" s="34"/>
      <c r="T74" s="34"/>
      <c r="U74" s="34"/>
      <c r="V74" s="34"/>
      <c r="W74" s="34"/>
      <c r="X74" s="34"/>
      <c r="Y74" s="34"/>
      <c r="Z74" s="34"/>
      <c r="AA74" s="34"/>
    </row>
    <row r="75" spans="1:27" ht="15">
      <c r="A75" s="66" t="s">
        <v>219</v>
      </c>
      <c r="B75" s="66" t="s">
        <v>331</v>
      </c>
      <c r="C75" s="67" t="s">
        <v>4454</v>
      </c>
      <c r="D75" s="68">
        <v>5</v>
      </c>
      <c r="E75" s="69"/>
      <c r="F75" s="70">
        <v>20</v>
      </c>
      <c r="G75" s="67"/>
      <c r="H75" s="71"/>
      <c r="I75" s="72"/>
      <c r="J75" s="72"/>
      <c r="K75" s="34"/>
      <c r="L75" s="79">
        <v>75</v>
      </c>
      <c r="M75" s="79"/>
      <c r="N75" s="74"/>
      <c r="O75" s="81" t="s">
        <v>944</v>
      </c>
      <c r="P75">
        <v>1</v>
      </c>
      <c r="Q75" s="80" t="str">
        <f>REPLACE(INDEX(GroupVertices[Group],MATCH(Edges[[#This Row],[Vertex 1]],GroupVertices[Vertex],0)),1,1,"")</f>
        <v>3</v>
      </c>
      <c r="R75" s="80" t="e">
        <f>REPLACE(INDEX(GroupVertices[Group],MATCH(Edges[[#This Row],[Vertex 2]],GroupVertices[Vertex],0)),1,1,"")</f>
        <v>#N/A</v>
      </c>
      <c r="S75" s="34"/>
      <c r="T75" s="34"/>
      <c r="U75" s="34"/>
      <c r="V75" s="34"/>
      <c r="W75" s="34"/>
      <c r="X75" s="34"/>
      <c r="Y75" s="34"/>
      <c r="Z75" s="34"/>
      <c r="AA75" s="34"/>
    </row>
    <row r="76" spans="1:27" ht="15">
      <c r="A76" s="66" t="s">
        <v>219</v>
      </c>
      <c r="B76" s="66" t="s">
        <v>332</v>
      </c>
      <c r="C76" s="67" t="s">
        <v>4454</v>
      </c>
      <c r="D76" s="68">
        <v>5</v>
      </c>
      <c r="E76" s="69"/>
      <c r="F76" s="70">
        <v>20</v>
      </c>
      <c r="G76" s="67"/>
      <c r="H76" s="71"/>
      <c r="I76" s="72"/>
      <c r="J76" s="72"/>
      <c r="K76" s="34"/>
      <c r="L76" s="79">
        <v>76</v>
      </c>
      <c r="M76" s="79"/>
      <c r="N76" s="74"/>
      <c r="O76" s="81" t="s">
        <v>944</v>
      </c>
      <c r="P76">
        <v>1</v>
      </c>
      <c r="Q76" s="80" t="str">
        <f>REPLACE(INDEX(GroupVertices[Group],MATCH(Edges[[#This Row],[Vertex 1]],GroupVertices[Vertex],0)),1,1,"")</f>
        <v>3</v>
      </c>
      <c r="R76" s="80" t="e">
        <f>REPLACE(INDEX(GroupVertices[Group],MATCH(Edges[[#This Row],[Vertex 2]],GroupVertices[Vertex],0)),1,1,"")</f>
        <v>#N/A</v>
      </c>
      <c r="S76" s="34"/>
      <c r="T76" s="34"/>
      <c r="U76" s="34"/>
      <c r="V76" s="34"/>
      <c r="W76" s="34"/>
      <c r="X76" s="34"/>
      <c r="Y76" s="34"/>
      <c r="Z76" s="34"/>
      <c r="AA76" s="34"/>
    </row>
    <row r="77" spans="1:27" ht="15">
      <c r="A77" s="66" t="s">
        <v>219</v>
      </c>
      <c r="B77" s="66" t="s">
        <v>333</v>
      </c>
      <c r="C77" s="67" t="s">
        <v>4454</v>
      </c>
      <c r="D77" s="68">
        <v>5</v>
      </c>
      <c r="E77" s="69"/>
      <c r="F77" s="70">
        <v>20</v>
      </c>
      <c r="G77" s="67"/>
      <c r="H77" s="71"/>
      <c r="I77" s="72"/>
      <c r="J77" s="72"/>
      <c r="K77" s="34"/>
      <c r="L77" s="79">
        <v>77</v>
      </c>
      <c r="M77" s="79"/>
      <c r="N77" s="74"/>
      <c r="O77" s="81" t="s">
        <v>944</v>
      </c>
      <c r="P77">
        <v>1</v>
      </c>
      <c r="Q77" s="80" t="str">
        <f>REPLACE(INDEX(GroupVertices[Group],MATCH(Edges[[#This Row],[Vertex 1]],GroupVertices[Vertex],0)),1,1,"")</f>
        <v>3</v>
      </c>
      <c r="R77" s="80" t="e">
        <f>REPLACE(INDEX(GroupVertices[Group],MATCH(Edges[[#This Row],[Vertex 2]],GroupVertices[Vertex],0)),1,1,"")</f>
        <v>#N/A</v>
      </c>
      <c r="S77" s="34"/>
      <c r="T77" s="34"/>
      <c r="U77" s="34"/>
      <c r="V77" s="34"/>
      <c r="W77" s="34"/>
      <c r="X77" s="34"/>
      <c r="Y77" s="34"/>
      <c r="Z77" s="34"/>
      <c r="AA77" s="34"/>
    </row>
    <row r="78" spans="1:27" ht="15">
      <c r="A78" s="66" t="s">
        <v>219</v>
      </c>
      <c r="B78" s="66" t="s">
        <v>334</v>
      </c>
      <c r="C78" s="67" t="s">
        <v>4454</v>
      </c>
      <c r="D78" s="68">
        <v>5</v>
      </c>
      <c r="E78" s="69"/>
      <c r="F78" s="70">
        <v>20</v>
      </c>
      <c r="G78" s="67"/>
      <c r="H78" s="71"/>
      <c r="I78" s="72"/>
      <c r="J78" s="72"/>
      <c r="K78" s="34"/>
      <c r="L78" s="79">
        <v>78</v>
      </c>
      <c r="M78" s="79"/>
      <c r="N78" s="74"/>
      <c r="O78" s="81" t="s">
        <v>944</v>
      </c>
      <c r="P78">
        <v>1</v>
      </c>
      <c r="Q78" s="80" t="str">
        <f>REPLACE(INDEX(GroupVertices[Group],MATCH(Edges[[#This Row],[Vertex 1]],GroupVertices[Vertex],0)),1,1,"")</f>
        <v>3</v>
      </c>
      <c r="R78" s="80" t="e">
        <f>REPLACE(INDEX(GroupVertices[Group],MATCH(Edges[[#This Row],[Vertex 2]],GroupVertices[Vertex],0)),1,1,"")</f>
        <v>#N/A</v>
      </c>
      <c r="S78" s="34"/>
      <c r="T78" s="34"/>
      <c r="U78" s="34"/>
      <c r="V78" s="34"/>
      <c r="W78" s="34"/>
      <c r="X78" s="34"/>
      <c r="Y78" s="34"/>
      <c r="Z78" s="34"/>
      <c r="AA78" s="34"/>
    </row>
    <row r="79" spans="1:27" ht="15">
      <c r="A79" s="66" t="s">
        <v>219</v>
      </c>
      <c r="B79" s="66" t="s">
        <v>335</v>
      </c>
      <c r="C79" s="67" t="s">
        <v>4454</v>
      </c>
      <c r="D79" s="68">
        <v>5</v>
      </c>
      <c r="E79" s="69"/>
      <c r="F79" s="70">
        <v>20</v>
      </c>
      <c r="G79" s="67"/>
      <c r="H79" s="71"/>
      <c r="I79" s="72"/>
      <c r="J79" s="72"/>
      <c r="K79" s="34"/>
      <c r="L79" s="79">
        <v>79</v>
      </c>
      <c r="M79" s="79"/>
      <c r="N79" s="74"/>
      <c r="O79" s="81" t="s">
        <v>944</v>
      </c>
      <c r="P79">
        <v>1</v>
      </c>
      <c r="Q79" s="80" t="str">
        <f>REPLACE(INDEX(GroupVertices[Group],MATCH(Edges[[#This Row],[Vertex 1]],GroupVertices[Vertex],0)),1,1,"")</f>
        <v>3</v>
      </c>
      <c r="R79" s="80" t="e">
        <f>REPLACE(INDEX(GroupVertices[Group],MATCH(Edges[[#This Row],[Vertex 2]],GroupVertices[Vertex],0)),1,1,"")</f>
        <v>#N/A</v>
      </c>
      <c r="S79" s="34"/>
      <c r="T79" s="34"/>
      <c r="U79" s="34"/>
      <c r="V79" s="34"/>
      <c r="W79" s="34"/>
      <c r="X79" s="34"/>
      <c r="Y79" s="34"/>
      <c r="Z79" s="34"/>
      <c r="AA79" s="34"/>
    </row>
    <row r="80" spans="1:27" ht="15">
      <c r="A80" s="66" t="s">
        <v>219</v>
      </c>
      <c r="B80" s="66" t="s">
        <v>336</v>
      </c>
      <c r="C80" s="67" t="s">
        <v>4454</v>
      </c>
      <c r="D80" s="68">
        <v>5</v>
      </c>
      <c r="E80" s="69"/>
      <c r="F80" s="70">
        <v>20</v>
      </c>
      <c r="G80" s="67"/>
      <c r="H80" s="71"/>
      <c r="I80" s="72"/>
      <c r="J80" s="72"/>
      <c r="K80" s="34"/>
      <c r="L80" s="79">
        <v>80</v>
      </c>
      <c r="M80" s="79"/>
      <c r="N80" s="74"/>
      <c r="O80" s="81" t="s">
        <v>944</v>
      </c>
      <c r="P80">
        <v>1</v>
      </c>
      <c r="Q80" s="80" t="str">
        <f>REPLACE(INDEX(GroupVertices[Group],MATCH(Edges[[#This Row],[Vertex 1]],GroupVertices[Vertex],0)),1,1,"")</f>
        <v>3</v>
      </c>
      <c r="R80" s="80" t="e">
        <f>REPLACE(INDEX(GroupVertices[Group],MATCH(Edges[[#This Row],[Vertex 2]],GroupVertices[Vertex],0)),1,1,"")</f>
        <v>#N/A</v>
      </c>
      <c r="S80" s="34"/>
      <c r="T80" s="34"/>
      <c r="U80" s="34"/>
      <c r="V80" s="34"/>
      <c r="W80" s="34"/>
      <c r="X80" s="34"/>
      <c r="Y80" s="34"/>
      <c r="Z80" s="34"/>
      <c r="AA80" s="34"/>
    </row>
    <row r="81" spans="1:27" ht="15">
      <c r="A81" s="66" t="s">
        <v>219</v>
      </c>
      <c r="B81" s="66" t="s">
        <v>337</v>
      </c>
      <c r="C81" s="67" t="s">
        <v>4454</v>
      </c>
      <c r="D81" s="68">
        <v>5</v>
      </c>
      <c r="E81" s="69"/>
      <c r="F81" s="70">
        <v>20</v>
      </c>
      <c r="G81" s="67"/>
      <c r="H81" s="71"/>
      <c r="I81" s="72"/>
      <c r="J81" s="72"/>
      <c r="K81" s="34"/>
      <c r="L81" s="79">
        <v>81</v>
      </c>
      <c r="M81" s="79"/>
      <c r="N81" s="74"/>
      <c r="O81" s="81" t="s">
        <v>944</v>
      </c>
      <c r="P81">
        <v>1</v>
      </c>
      <c r="Q81" s="80" t="str">
        <f>REPLACE(INDEX(GroupVertices[Group],MATCH(Edges[[#This Row],[Vertex 1]],GroupVertices[Vertex],0)),1,1,"")</f>
        <v>3</v>
      </c>
      <c r="R81" s="80" t="e">
        <f>REPLACE(INDEX(GroupVertices[Group],MATCH(Edges[[#This Row],[Vertex 2]],GroupVertices[Vertex],0)),1,1,"")</f>
        <v>#N/A</v>
      </c>
      <c r="S81" s="34"/>
      <c r="T81" s="34"/>
      <c r="U81" s="34"/>
      <c r="V81" s="34"/>
      <c r="W81" s="34"/>
      <c r="X81" s="34"/>
      <c r="Y81" s="34"/>
      <c r="Z81" s="34"/>
      <c r="AA81" s="34"/>
    </row>
    <row r="82" spans="1:27" ht="15">
      <c r="A82" s="66" t="s">
        <v>219</v>
      </c>
      <c r="B82" s="66" t="s">
        <v>338</v>
      </c>
      <c r="C82" s="67" t="s">
        <v>4454</v>
      </c>
      <c r="D82" s="68">
        <v>5</v>
      </c>
      <c r="E82" s="69"/>
      <c r="F82" s="70">
        <v>20</v>
      </c>
      <c r="G82" s="67"/>
      <c r="H82" s="71"/>
      <c r="I82" s="72"/>
      <c r="J82" s="72"/>
      <c r="K82" s="34"/>
      <c r="L82" s="79">
        <v>82</v>
      </c>
      <c r="M82" s="79"/>
      <c r="N82" s="74"/>
      <c r="O82" s="81" t="s">
        <v>944</v>
      </c>
      <c r="P82">
        <v>1</v>
      </c>
      <c r="Q82" s="80" t="str">
        <f>REPLACE(INDEX(GroupVertices[Group],MATCH(Edges[[#This Row],[Vertex 1]],GroupVertices[Vertex],0)),1,1,"")</f>
        <v>3</v>
      </c>
      <c r="R82" s="80" t="e">
        <f>REPLACE(INDEX(GroupVertices[Group],MATCH(Edges[[#This Row],[Vertex 2]],GroupVertices[Vertex],0)),1,1,"")</f>
        <v>#N/A</v>
      </c>
      <c r="S82" s="34"/>
      <c r="T82" s="34"/>
      <c r="U82" s="34"/>
      <c r="V82" s="34"/>
      <c r="W82" s="34"/>
      <c r="X82" s="34"/>
      <c r="Y82" s="34"/>
      <c r="Z82" s="34"/>
      <c r="AA82" s="34"/>
    </row>
    <row r="83" spans="1:27" ht="15">
      <c r="A83" s="66" t="s">
        <v>220</v>
      </c>
      <c r="B83" s="66" t="s">
        <v>339</v>
      </c>
      <c r="C83" s="67" t="s">
        <v>4454</v>
      </c>
      <c r="D83" s="68">
        <v>5</v>
      </c>
      <c r="E83" s="69"/>
      <c r="F83" s="70">
        <v>20</v>
      </c>
      <c r="G83" s="67"/>
      <c r="H83" s="71"/>
      <c r="I83" s="72"/>
      <c r="J83" s="72"/>
      <c r="K83" s="34"/>
      <c r="L83" s="79">
        <v>83</v>
      </c>
      <c r="M83" s="79"/>
      <c r="N83" s="74"/>
      <c r="O83" s="81" t="s">
        <v>944</v>
      </c>
      <c r="P83">
        <v>1</v>
      </c>
      <c r="Q83" s="80" t="str">
        <f>REPLACE(INDEX(GroupVertices[Group],MATCH(Edges[[#This Row],[Vertex 1]],GroupVertices[Vertex],0)),1,1,"")</f>
        <v>2</v>
      </c>
      <c r="R83" s="80" t="e">
        <f>REPLACE(INDEX(GroupVertices[Group],MATCH(Edges[[#This Row],[Vertex 2]],GroupVertices[Vertex],0)),1,1,"")</f>
        <v>#N/A</v>
      </c>
      <c r="S83" s="34"/>
      <c r="T83" s="34"/>
      <c r="U83" s="34"/>
      <c r="V83" s="34"/>
      <c r="W83" s="34"/>
      <c r="X83" s="34"/>
      <c r="Y83" s="34"/>
      <c r="Z83" s="34"/>
      <c r="AA83" s="34"/>
    </row>
    <row r="84" spans="1:27" ht="15">
      <c r="A84" s="66" t="s">
        <v>220</v>
      </c>
      <c r="B84" s="66" t="s">
        <v>340</v>
      </c>
      <c r="C84" s="67" t="s">
        <v>4454</v>
      </c>
      <c r="D84" s="68">
        <v>5</v>
      </c>
      <c r="E84" s="69"/>
      <c r="F84" s="70">
        <v>20</v>
      </c>
      <c r="G84" s="67"/>
      <c r="H84" s="71"/>
      <c r="I84" s="72"/>
      <c r="J84" s="72"/>
      <c r="K84" s="34"/>
      <c r="L84" s="79">
        <v>84</v>
      </c>
      <c r="M84" s="79"/>
      <c r="N84" s="74"/>
      <c r="O84" s="81" t="s">
        <v>944</v>
      </c>
      <c r="P84">
        <v>1</v>
      </c>
      <c r="Q84" s="80" t="str">
        <f>REPLACE(INDEX(GroupVertices[Group],MATCH(Edges[[#This Row],[Vertex 1]],GroupVertices[Vertex],0)),1,1,"")</f>
        <v>2</v>
      </c>
      <c r="R84" s="80" t="e">
        <f>REPLACE(INDEX(GroupVertices[Group],MATCH(Edges[[#This Row],[Vertex 2]],GroupVertices[Vertex],0)),1,1,"")</f>
        <v>#N/A</v>
      </c>
      <c r="S84" s="34"/>
      <c r="T84" s="34"/>
      <c r="U84" s="34"/>
      <c r="V84" s="34"/>
      <c r="W84" s="34"/>
      <c r="X84" s="34"/>
      <c r="Y84" s="34"/>
      <c r="Z84" s="34"/>
      <c r="AA84" s="34"/>
    </row>
    <row r="85" spans="1:27" ht="15">
      <c r="A85" s="66" t="s">
        <v>220</v>
      </c>
      <c r="B85" s="66" t="s">
        <v>341</v>
      </c>
      <c r="C85" s="67" t="s">
        <v>4454</v>
      </c>
      <c r="D85" s="68">
        <v>5</v>
      </c>
      <c r="E85" s="69"/>
      <c r="F85" s="70">
        <v>20</v>
      </c>
      <c r="G85" s="67"/>
      <c r="H85" s="71"/>
      <c r="I85" s="72"/>
      <c r="J85" s="72"/>
      <c r="K85" s="34"/>
      <c r="L85" s="79">
        <v>85</v>
      </c>
      <c r="M85" s="79"/>
      <c r="N85" s="74"/>
      <c r="O85" s="81" t="s">
        <v>944</v>
      </c>
      <c r="P85">
        <v>1</v>
      </c>
      <c r="Q85" s="80" t="str">
        <f>REPLACE(INDEX(GroupVertices[Group],MATCH(Edges[[#This Row],[Vertex 1]],GroupVertices[Vertex],0)),1,1,"")</f>
        <v>2</v>
      </c>
      <c r="R85" s="80" t="e">
        <f>REPLACE(INDEX(GroupVertices[Group],MATCH(Edges[[#This Row],[Vertex 2]],GroupVertices[Vertex],0)),1,1,"")</f>
        <v>#N/A</v>
      </c>
      <c r="S85" s="34"/>
      <c r="T85" s="34"/>
      <c r="U85" s="34"/>
      <c r="V85" s="34"/>
      <c r="W85" s="34"/>
      <c r="X85" s="34"/>
      <c r="Y85" s="34"/>
      <c r="Z85" s="34"/>
      <c r="AA85" s="34"/>
    </row>
    <row r="86" spans="1:27" ht="15">
      <c r="A86" s="66" t="s">
        <v>220</v>
      </c>
      <c r="B86" s="66" t="s">
        <v>342</v>
      </c>
      <c r="C86" s="67" t="s">
        <v>4454</v>
      </c>
      <c r="D86" s="68">
        <v>5</v>
      </c>
      <c r="E86" s="69"/>
      <c r="F86" s="70">
        <v>20</v>
      </c>
      <c r="G86" s="67"/>
      <c r="H86" s="71"/>
      <c r="I86" s="72"/>
      <c r="J86" s="72"/>
      <c r="K86" s="34"/>
      <c r="L86" s="79">
        <v>86</v>
      </c>
      <c r="M86" s="79"/>
      <c r="N86" s="74"/>
      <c r="O86" s="81" t="s">
        <v>944</v>
      </c>
      <c r="P86">
        <v>1</v>
      </c>
      <c r="Q86" s="80" t="str">
        <f>REPLACE(INDEX(GroupVertices[Group],MATCH(Edges[[#This Row],[Vertex 1]],GroupVertices[Vertex],0)),1,1,"")</f>
        <v>2</v>
      </c>
      <c r="R86" s="80" t="e">
        <f>REPLACE(INDEX(GroupVertices[Group],MATCH(Edges[[#This Row],[Vertex 2]],GroupVertices[Vertex],0)),1,1,"")</f>
        <v>#N/A</v>
      </c>
      <c r="S86" s="34"/>
      <c r="T86" s="34"/>
      <c r="U86" s="34"/>
      <c r="V86" s="34"/>
      <c r="W86" s="34"/>
      <c r="X86" s="34"/>
      <c r="Y86" s="34"/>
      <c r="Z86" s="34"/>
      <c r="AA86" s="34"/>
    </row>
    <row r="87" spans="1:27" ht="15">
      <c r="A87" s="66" t="s">
        <v>220</v>
      </c>
      <c r="B87" s="66" t="s">
        <v>343</v>
      </c>
      <c r="C87" s="67" t="s">
        <v>4454</v>
      </c>
      <c r="D87" s="68">
        <v>5</v>
      </c>
      <c r="E87" s="69"/>
      <c r="F87" s="70">
        <v>20</v>
      </c>
      <c r="G87" s="67"/>
      <c r="H87" s="71"/>
      <c r="I87" s="72"/>
      <c r="J87" s="72"/>
      <c r="K87" s="34"/>
      <c r="L87" s="79">
        <v>87</v>
      </c>
      <c r="M87" s="79"/>
      <c r="N87" s="74"/>
      <c r="O87" s="81" t="s">
        <v>944</v>
      </c>
      <c r="P87">
        <v>1</v>
      </c>
      <c r="Q87" s="80" t="str">
        <f>REPLACE(INDEX(GroupVertices[Group],MATCH(Edges[[#This Row],[Vertex 1]],GroupVertices[Vertex],0)),1,1,"")</f>
        <v>2</v>
      </c>
      <c r="R87" s="80" t="e">
        <f>REPLACE(INDEX(GroupVertices[Group],MATCH(Edges[[#This Row],[Vertex 2]],GroupVertices[Vertex],0)),1,1,"")</f>
        <v>#N/A</v>
      </c>
      <c r="S87" s="34"/>
      <c r="T87" s="34"/>
      <c r="U87" s="34"/>
      <c r="V87" s="34"/>
      <c r="W87" s="34"/>
      <c r="X87" s="34"/>
      <c r="Y87" s="34"/>
      <c r="Z87" s="34"/>
      <c r="AA87" s="34"/>
    </row>
    <row r="88" spans="1:27" ht="15">
      <c r="A88" s="66" t="s">
        <v>220</v>
      </c>
      <c r="B88" s="66" t="s">
        <v>344</v>
      </c>
      <c r="C88" s="67" t="s">
        <v>4454</v>
      </c>
      <c r="D88" s="68">
        <v>5</v>
      </c>
      <c r="E88" s="69"/>
      <c r="F88" s="70">
        <v>20</v>
      </c>
      <c r="G88" s="67"/>
      <c r="H88" s="71"/>
      <c r="I88" s="72"/>
      <c r="J88" s="72"/>
      <c r="K88" s="34"/>
      <c r="L88" s="79">
        <v>88</v>
      </c>
      <c r="M88" s="79"/>
      <c r="N88" s="74"/>
      <c r="O88" s="81" t="s">
        <v>944</v>
      </c>
      <c r="P88">
        <v>1</v>
      </c>
      <c r="Q88" s="80" t="str">
        <f>REPLACE(INDEX(GroupVertices[Group],MATCH(Edges[[#This Row],[Vertex 1]],GroupVertices[Vertex],0)),1,1,"")</f>
        <v>2</v>
      </c>
      <c r="R88" s="80" t="e">
        <f>REPLACE(INDEX(GroupVertices[Group],MATCH(Edges[[#This Row],[Vertex 2]],GroupVertices[Vertex],0)),1,1,"")</f>
        <v>#N/A</v>
      </c>
      <c r="S88" s="34"/>
      <c r="T88" s="34"/>
      <c r="U88" s="34"/>
      <c r="V88" s="34"/>
      <c r="W88" s="34"/>
      <c r="X88" s="34"/>
      <c r="Y88" s="34"/>
      <c r="Z88" s="34"/>
      <c r="AA88" s="34"/>
    </row>
    <row r="89" spans="1:27" ht="15">
      <c r="A89" s="66" t="s">
        <v>220</v>
      </c>
      <c r="B89" s="66" t="s">
        <v>345</v>
      </c>
      <c r="C89" s="67" t="s">
        <v>4454</v>
      </c>
      <c r="D89" s="68">
        <v>5</v>
      </c>
      <c r="E89" s="69"/>
      <c r="F89" s="70">
        <v>20</v>
      </c>
      <c r="G89" s="67"/>
      <c r="H89" s="71"/>
      <c r="I89" s="72"/>
      <c r="J89" s="72"/>
      <c r="K89" s="34"/>
      <c r="L89" s="79">
        <v>89</v>
      </c>
      <c r="M89" s="79"/>
      <c r="N89" s="74"/>
      <c r="O89" s="81" t="s">
        <v>944</v>
      </c>
      <c r="P89">
        <v>1</v>
      </c>
      <c r="Q89" s="80" t="str">
        <f>REPLACE(INDEX(GroupVertices[Group],MATCH(Edges[[#This Row],[Vertex 1]],GroupVertices[Vertex],0)),1,1,"")</f>
        <v>2</v>
      </c>
      <c r="R89" s="80" t="e">
        <f>REPLACE(INDEX(GroupVertices[Group],MATCH(Edges[[#This Row],[Vertex 2]],GroupVertices[Vertex],0)),1,1,"")</f>
        <v>#N/A</v>
      </c>
      <c r="S89" s="34"/>
      <c r="T89" s="34"/>
      <c r="U89" s="34"/>
      <c r="V89" s="34"/>
      <c r="W89" s="34"/>
      <c r="X89" s="34"/>
      <c r="Y89" s="34"/>
      <c r="Z89" s="34"/>
      <c r="AA89" s="34"/>
    </row>
    <row r="90" spans="1:27" ht="15">
      <c r="A90" s="66" t="s">
        <v>220</v>
      </c>
      <c r="B90" s="66" t="s">
        <v>346</v>
      </c>
      <c r="C90" s="67" t="s">
        <v>4454</v>
      </c>
      <c r="D90" s="68">
        <v>5</v>
      </c>
      <c r="E90" s="69"/>
      <c r="F90" s="70">
        <v>20</v>
      </c>
      <c r="G90" s="67"/>
      <c r="H90" s="71"/>
      <c r="I90" s="72"/>
      <c r="J90" s="72"/>
      <c r="K90" s="34"/>
      <c r="L90" s="79">
        <v>90</v>
      </c>
      <c r="M90" s="79"/>
      <c r="N90" s="74"/>
      <c r="O90" s="81" t="s">
        <v>944</v>
      </c>
      <c r="P90">
        <v>1</v>
      </c>
      <c r="Q90" s="80" t="str">
        <f>REPLACE(INDEX(GroupVertices[Group],MATCH(Edges[[#This Row],[Vertex 1]],GroupVertices[Vertex],0)),1,1,"")</f>
        <v>2</v>
      </c>
      <c r="R90" s="80" t="e">
        <f>REPLACE(INDEX(GroupVertices[Group],MATCH(Edges[[#This Row],[Vertex 2]],GroupVertices[Vertex],0)),1,1,"")</f>
        <v>#N/A</v>
      </c>
      <c r="S90" s="34"/>
      <c r="T90" s="34"/>
      <c r="U90" s="34"/>
      <c r="V90" s="34"/>
      <c r="W90" s="34"/>
      <c r="X90" s="34"/>
      <c r="Y90" s="34"/>
      <c r="Z90" s="34"/>
      <c r="AA90" s="34"/>
    </row>
    <row r="91" spans="1:27" ht="15">
      <c r="A91" s="66" t="s">
        <v>220</v>
      </c>
      <c r="B91" s="66" t="s">
        <v>347</v>
      </c>
      <c r="C91" s="67" t="s">
        <v>4454</v>
      </c>
      <c r="D91" s="68">
        <v>5</v>
      </c>
      <c r="E91" s="69"/>
      <c r="F91" s="70">
        <v>20</v>
      </c>
      <c r="G91" s="67"/>
      <c r="H91" s="71"/>
      <c r="I91" s="72"/>
      <c r="J91" s="72"/>
      <c r="K91" s="34"/>
      <c r="L91" s="79">
        <v>91</v>
      </c>
      <c r="M91" s="79"/>
      <c r="N91" s="74"/>
      <c r="O91" s="81" t="s">
        <v>944</v>
      </c>
      <c r="P91">
        <v>1</v>
      </c>
      <c r="Q91" s="80" t="str">
        <f>REPLACE(INDEX(GroupVertices[Group],MATCH(Edges[[#This Row],[Vertex 1]],GroupVertices[Vertex],0)),1,1,"")</f>
        <v>2</v>
      </c>
      <c r="R91" s="80" t="e">
        <f>REPLACE(INDEX(GroupVertices[Group],MATCH(Edges[[#This Row],[Vertex 2]],GroupVertices[Vertex],0)),1,1,"")</f>
        <v>#N/A</v>
      </c>
      <c r="S91" s="34"/>
      <c r="T91" s="34"/>
      <c r="U91" s="34"/>
      <c r="V91" s="34"/>
      <c r="W91" s="34"/>
      <c r="X91" s="34"/>
      <c r="Y91" s="34"/>
      <c r="Z91" s="34"/>
      <c r="AA91" s="34"/>
    </row>
    <row r="92" spans="1:27" ht="15">
      <c r="A92" s="66" t="s">
        <v>220</v>
      </c>
      <c r="B92" s="66" t="s">
        <v>348</v>
      </c>
      <c r="C92" s="67" t="s">
        <v>4454</v>
      </c>
      <c r="D92" s="68">
        <v>5</v>
      </c>
      <c r="E92" s="69"/>
      <c r="F92" s="70">
        <v>20</v>
      </c>
      <c r="G92" s="67"/>
      <c r="H92" s="71"/>
      <c r="I92" s="72"/>
      <c r="J92" s="72"/>
      <c r="K92" s="34"/>
      <c r="L92" s="79">
        <v>92</v>
      </c>
      <c r="M92" s="79"/>
      <c r="N92" s="74"/>
      <c r="O92" s="81" t="s">
        <v>944</v>
      </c>
      <c r="P92">
        <v>1</v>
      </c>
      <c r="Q92" s="80" t="str">
        <f>REPLACE(INDEX(GroupVertices[Group],MATCH(Edges[[#This Row],[Vertex 1]],GroupVertices[Vertex],0)),1,1,"")</f>
        <v>2</v>
      </c>
      <c r="R92" s="80" t="e">
        <f>REPLACE(INDEX(GroupVertices[Group],MATCH(Edges[[#This Row],[Vertex 2]],GroupVertices[Vertex],0)),1,1,"")</f>
        <v>#N/A</v>
      </c>
      <c r="S92" s="34"/>
      <c r="T92" s="34"/>
      <c r="U92" s="34"/>
      <c r="V92" s="34"/>
      <c r="W92" s="34"/>
      <c r="X92" s="34"/>
      <c r="Y92" s="34"/>
      <c r="Z92" s="34"/>
      <c r="AA92" s="34"/>
    </row>
    <row r="93" spans="1:27" ht="15">
      <c r="A93" s="66" t="s">
        <v>221</v>
      </c>
      <c r="B93" s="66" t="s">
        <v>349</v>
      </c>
      <c r="C93" s="67" t="s">
        <v>4454</v>
      </c>
      <c r="D93" s="68">
        <v>5</v>
      </c>
      <c r="E93" s="69"/>
      <c r="F93" s="70">
        <v>20</v>
      </c>
      <c r="G93" s="67"/>
      <c r="H93" s="71"/>
      <c r="I93" s="72"/>
      <c r="J93" s="72"/>
      <c r="K93" s="34"/>
      <c r="L93" s="79">
        <v>93</v>
      </c>
      <c r="M93" s="79"/>
      <c r="N93" s="74"/>
      <c r="O93" s="81" t="s">
        <v>944</v>
      </c>
      <c r="P93">
        <v>1</v>
      </c>
      <c r="Q93" s="80" t="str">
        <f>REPLACE(INDEX(GroupVertices[Group],MATCH(Edges[[#This Row],[Vertex 1]],GroupVertices[Vertex],0)),1,1,"")</f>
        <v>2</v>
      </c>
      <c r="R93" s="80" t="e">
        <f>REPLACE(INDEX(GroupVertices[Group],MATCH(Edges[[#This Row],[Vertex 2]],GroupVertices[Vertex],0)),1,1,"")</f>
        <v>#N/A</v>
      </c>
      <c r="S93" s="34"/>
      <c r="T93" s="34"/>
      <c r="U93" s="34"/>
      <c r="V93" s="34"/>
      <c r="W93" s="34"/>
      <c r="X93" s="34"/>
      <c r="Y93" s="34"/>
      <c r="Z93" s="34"/>
      <c r="AA93" s="34"/>
    </row>
    <row r="94" spans="1:27" ht="15">
      <c r="A94" s="66" t="s">
        <v>221</v>
      </c>
      <c r="B94" s="66" t="s">
        <v>350</v>
      </c>
      <c r="C94" s="67" t="s">
        <v>4454</v>
      </c>
      <c r="D94" s="68">
        <v>5</v>
      </c>
      <c r="E94" s="69"/>
      <c r="F94" s="70">
        <v>20</v>
      </c>
      <c r="G94" s="67"/>
      <c r="H94" s="71"/>
      <c r="I94" s="72"/>
      <c r="J94" s="72"/>
      <c r="K94" s="34"/>
      <c r="L94" s="79">
        <v>94</v>
      </c>
      <c r="M94" s="79"/>
      <c r="N94" s="74"/>
      <c r="O94" s="81" t="s">
        <v>944</v>
      </c>
      <c r="P94">
        <v>1</v>
      </c>
      <c r="Q94" s="80" t="str">
        <f>REPLACE(INDEX(GroupVertices[Group],MATCH(Edges[[#This Row],[Vertex 1]],GroupVertices[Vertex],0)),1,1,"")</f>
        <v>2</v>
      </c>
      <c r="R94" s="80" t="e">
        <f>REPLACE(INDEX(GroupVertices[Group],MATCH(Edges[[#This Row],[Vertex 2]],GroupVertices[Vertex],0)),1,1,"")</f>
        <v>#N/A</v>
      </c>
      <c r="S94" s="34"/>
      <c r="T94" s="34"/>
      <c r="U94" s="34"/>
      <c r="V94" s="34"/>
      <c r="W94" s="34"/>
      <c r="X94" s="34"/>
      <c r="Y94" s="34"/>
      <c r="Z94" s="34"/>
      <c r="AA94" s="34"/>
    </row>
    <row r="95" spans="1:27" ht="15">
      <c r="A95" s="66" t="s">
        <v>221</v>
      </c>
      <c r="B95" s="66" t="s">
        <v>351</v>
      </c>
      <c r="C95" s="67" t="s">
        <v>4454</v>
      </c>
      <c r="D95" s="68">
        <v>5</v>
      </c>
      <c r="E95" s="69"/>
      <c r="F95" s="70">
        <v>20</v>
      </c>
      <c r="G95" s="67"/>
      <c r="H95" s="71"/>
      <c r="I95" s="72"/>
      <c r="J95" s="72"/>
      <c r="K95" s="34"/>
      <c r="L95" s="79">
        <v>95</v>
      </c>
      <c r="M95" s="79"/>
      <c r="N95" s="74"/>
      <c r="O95" s="81" t="s">
        <v>944</v>
      </c>
      <c r="P95">
        <v>1</v>
      </c>
      <c r="Q95" s="80" t="str">
        <f>REPLACE(INDEX(GroupVertices[Group],MATCH(Edges[[#This Row],[Vertex 1]],GroupVertices[Vertex],0)),1,1,"")</f>
        <v>2</v>
      </c>
      <c r="R95" s="80" t="e">
        <f>REPLACE(INDEX(GroupVertices[Group],MATCH(Edges[[#This Row],[Vertex 2]],GroupVertices[Vertex],0)),1,1,"")</f>
        <v>#N/A</v>
      </c>
      <c r="S95" s="34"/>
      <c r="T95" s="34"/>
      <c r="U95" s="34"/>
      <c r="V95" s="34"/>
      <c r="W95" s="34"/>
      <c r="X95" s="34"/>
      <c r="Y95" s="34"/>
      <c r="Z95" s="34"/>
      <c r="AA95" s="34"/>
    </row>
    <row r="96" spans="1:27" ht="15">
      <c r="A96" s="66" t="s">
        <v>221</v>
      </c>
      <c r="B96" s="66" t="s">
        <v>352</v>
      </c>
      <c r="C96" s="67" t="s">
        <v>4454</v>
      </c>
      <c r="D96" s="68">
        <v>5</v>
      </c>
      <c r="E96" s="69"/>
      <c r="F96" s="70">
        <v>20</v>
      </c>
      <c r="G96" s="67"/>
      <c r="H96" s="71"/>
      <c r="I96" s="72"/>
      <c r="J96" s="72"/>
      <c r="K96" s="34"/>
      <c r="L96" s="79">
        <v>96</v>
      </c>
      <c r="M96" s="79"/>
      <c r="N96" s="74"/>
      <c r="O96" s="81" t="s">
        <v>944</v>
      </c>
      <c r="P96">
        <v>1</v>
      </c>
      <c r="Q96" s="80" t="str">
        <f>REPLACE(INDEX(GroupVertices[Group],MATCH(Edges[[#This Row],[Vertex 1]],GroupVertices[Vertex],0)),1,1,"")</f>
        <v>2</v>
      </c>
      <c r="R96" s="80" t="e">
        <f>REPLACE(INDEX(GroupVertices[Group],MATCH(Edges[[#This Row],[Vertex 2]],GroupVertices[Vertex],0)),1,1,"")</f>
        <v>#N/A</v>
      </c>
      <c r="S96" s="34"/>
      <c r="T96" s="34"/>
      <c r="U96" s="34"/>
      <c r="V96" s="34"/>
      <c r="W96" s="34"/>
      <c r="X96" s="34"/>
      <c r="Y96" s="34"/>
      <c r="Z96" s="34"/>
      <c r="AA96" s="34"/>
    </row>
    <row r="97" spans="1:27" ht="15">
      <c r="A97" s="66" t="s">
        <v>221</v>
      </c>
      <c r="B97" s="66" t="s">
        <v>353</v>
      </c>
      <c r="C97" s="67" t="s">
        <v>4454</v>
      </c>
      <c r="D97" s="68">
        <v>5</v>
      </c>
      <c r="E97" s="69"/>
      <c r="F97" s="70">
        <v>20</v>
      </c>
      <c r="G97" s="67"/>
      <c r="H97" s="71"/>
      <c r="I97" s="72"/>
      <c r="J97" s="72"/>
      <c r="K97" s="34"/>
      <c r="L97" s="79">
        <v>97</v>
      </c>
      <c r="M97" s="79"/>
      <c r="N97" s="74"/>
      <c r="O97" s="81" t="s">
        <v>944</v>
      </c>
      <c r="P97">
        <v>1</v>
      </c>
      <c r="Q97" s="80" t="str">
        <f>REPLACE(INDEX(GroupVertices[Group],MATCH(Edges[[#This Row],[Vertex 1]],GroupVertices[Vertex],0)),1,1,"")</f>
        <v>2</v>
      </c>
      <c r="R97" s="80" t="e">
        <f>REPLACE(INDEX(GroupVertices[Group],MATCH(Edges[[#This Row],[Vertex 2]],GroupVertices[Vertex],0)),1,1,"")</f>
        <v>#N/A</v>
      </c>
      <c r="S97" s="34"/>
      <c r="T97" s="34"/>
      <c r="U97" s="34"/>
      <c r="V97" s="34"/>
      <c r="W97" s="34"/>
      <c r="X97" s="34"/>
      <c r="Y97" s="34"/>
      <c r="Z97" s="34"/>
      <c r="AA97" s="34"/>
    </row>
    <row r="98" spans="1:27" ht="15">
      <c r="A98" s="66" t="s">
        <v>221</v>
      </c>
      <c r="B98" s="66" t="s">
        <v>354</v>
      </c>
      <c r="C98" s="67" t="s">
        <v>4454</v>
      </c>
      <c r="D98" s="68">
        <v>5</v>
      </c>
      <c r="E98" s="69"/>
      <c r="F98" s="70">
        <v>20</v>
      </c>
      <c r="G98" s="67"/>
      <c r="H98" s="71"/>
      <c r="I98" s="72"/>
      <c r="J98" s="72"/>
      <c r="K98" s="34"/>
      <c r="L98" s="79">
        <v>98</v>
      </c>
      <c r="M98" s="79"/>
      <c r="N98" s="74"/>
      <c r="O98" s="81" t="s">
        <v>944</v>
      </c>
      <c r="P98">
        <v>1</v>
      </c>
      <c r="Q98" s="80" t="str">
        <f>REPLACE(INDEX(GroupVertices[Group],MATCH(Edges[[#This Row],[Vertex 1]],GroupVertices[Vertex],0)),1,1,"")</f>
        <v>2</v>
      </c>
      <c r="R98" s="80" t="e">
        <f>REPLACE(INDEX(GroupVertices[Group],MATCH(Edges[[#This Row],[Vertex 2]],GroupVertices[Vertex],0)),1,1,"")</f>
        <v>#N/A</v>
      </c>
      <c r="S98" s="34"/>
      <c r="T98" s="34"/>
      <c r="U98" s="34"/>
      <c r="V98" s="34"/>
      <c r="W98" s="34"/>
      <c r="X98" s="34"/>
      <c r="Y98" s="34"/>
      <c r="Z98" s="34"/>
      <c r="AA98" s="34"/>
    </row>
    <row r="99" spans="1:27" ht="15">
      <c r="A99" s="66" t="s">
        <v>221</v>
      </c>
      <c r="B99" s="66" t="s">
        <v>355</v>
      </c>
      <c r="C99" s="67" t="s">
        <v>4454</v>
      </c>
      <c r="D99" s="68">
        <v>5</v>
      </c>
      <c r="E99" s="69"/>
      <c r="F99" s="70">
        <v>20</v>
      </c>
      <c r="G99" s="67"/>
      <c r="H99" s="71"/>
      <c r="I99" s="72"/>
      <c r="J99" s="72"/>
      <c r="K99" s="34"/>
      <c r="L99" s="79">
        <v>99</v>
      </c>
      <c r="M99" s="79"/>
      <c r="N99" s="74"/>
      <c r="O99" s="81" t="s">
        <v>944</v>
      </c>
      <c r="P99">
        <v>1</v>
      </c>
      <c r="Q99" s="80" t="str">
        <f>REPLACE(INDEX(GroupVertices[Group],MATCH(Edges[[#This Row],[Vertex 1]],GroupVertices[Vertex],0)),1,1,"")</f>
        <v>2</v>
      </c>
      <c r="R99" s="80" t="e">
        <f>REPLACE(INDEX(GroupVertices[Group],MATCH(Edges[[#This Row],[Vertex 2]],GroupVertices[Vertex],0)),1,1,"")</f>
        <v>#N/A</v>
      </c>
      <c r="S99" s="34"/>
      <c r="T99" s="34"/>
      <c r="U99" s="34"/>
      <c r="V99" s="34"/>
      <c r="W99" s="34"/>
      <c r="X99" s="34"/>
      <c r="Y99" s="34"/>
      <c r="Z99" s="34"/>
      <c r="AA99" s="34"/>
    </row>
    <row r="100" spans="1:27" ht="15">
      <c r="A100" s="66" t="s">
        <v>221</v>
      </c>
      <c r="B100" s="66" t="s">
        <v>356</v>
      </c>
      <c r="C100" s="67" t="s">
        <v>4454</v>
      </c>
      <c r="D100" s="68">
        <v>5</v>
      </c>
      <c r="E100" s="69"/>
      <c r="F100" s="70">
        <v>20</v>
      </c>
      <c r="G100" s="67"/>
      <c r="H100" s="71"/>
      <c r="I100" s="72"/>
      <c r="J100" s="72"/>
      <c r="K100" s="34"/>
      <c r="L100" s="79">
        <v>100</v>
      </c>
      <c r="M100" s="79"/>
      <c r="N100" s="74"/>
      <c r="O100" s="81" t="s">
        <v>944</v>
      </c>
      <c r="P100">
        <v>1</v>
      </c>
      <c r="Q100" s="80" t="str">
        <f>REPLACE(INDEX(GroupVertices[Group],MATCH(Edges[[#This Row],[Vertex 1]],GroupVertices[Vertex],0)),1,1,"")</f>
        <v>2</v>
      </c>
      <c r="R100" s="80" t="e">
        <f>REPLACE(INDEX(GroupVertices[Group],MATCH(Edges[[#This Row],[Vertex 2]],GroupVertices[Vertex],0)),1,1,"")</f>
        <v>#N/A</v>
      </c>
      <c r="S100" s="34"/>
      <c r="T100" s="34"/>
      <c r="U100" s="34"/>
      <c r="V100" s="34"/>
      <c r="W100" s="34"/>
      <c r="X100" s="34"/>
      <c r="Y100" s="34"/>
      <c r="Z100" s="34"/>
      <c r="AA100" s="34"/>
    </row>
    <row r="101" spans="1:27" ht="15">
      <c r="A101" s="66" t="s">
        <v>221</v>
      </c>
      <c r="B101" s="66" t="s">
        <v>357</v>
      </c>
      <c r="C101" s="67" t="s">
        <v>4454</v>
      </c>
      <c r="D101" s="68">
        <v>5</v>
      </c>
      <c r="E101" s="69"/>
      <c r="F101" s="70">
        <v>20</v>
      </c>
      <c r="G101" s="67"/>
      <c r="H101" s="71"/>
      <c r="I101" s="72"/>
      <c r="J101" s="72"/>
      <c r="K101" s="34"/>
      <c r="L101" s="79">
        <v>101</v>
      </c>
      <c r="M101" s="79"/>
      <c r="N101" s="74"/>
      <c r="O101" s="81" t="s">
        <v>944</v>
      </c>
      <c r="P101">
        <v>1</v>
      </c>
      <c r="Q101" s="80" t="str">
        <f>REPLACE(INDEX(GroupVertices[Group],MATCH(Edges[[#This Row],[Vertex 1]],GroupVertices[Vertex],0)),1,1,"")</f>
        <v>2</v>
      </c>
      <c r="R101" s="80" t="e">
        <f>REPLACE(INDEX(GroupVertices[Group],MATCH(Edges[[#This Row],[Vertex 2]],GroupVertices[Vertex],0)),1,1,"")</f>
        <v>#N/A</v>
      </c>
      <c r="S101" s="34"/>
      <c r="T101" s="34"/>
      <c r="U101" s="34"/>
      <c r="V101" s="34"/>
      <c r="W101" s="34"/>
      <c r="X101" s="34"/>
      <c r="Y101" s="34"/>
      <c r="Z101" s="34"/>
      <c r="AA101" s="34"/>
    </row>
    <row r="102" spans="1:27" ht="15">
      <c r="A102" s="66" t="s">
        <v>221</v>
      </c>
      <c r="B102" s="66" t="s">
        <v>358</v>
      </c>
      <c r="C102" s="67" t="s">
        <v>4454</v>
      </c>
      <c r="D102" s="68">
        <v>5</v>
      </c>
      <c r="E102" s="69"/>
      <c r="F102" s="70">
        <v>20</v>
      </c>
      <c r="G102" s="67"/>
      <c r="H102" s="71"/>
      <c r="I102" s="72"/>
      <c r="J102" s="72"/>
      <c r="K102" s="34"/>
      <c r="L102" s="79">
        <v>102</v>
      </c>
      <c r="M102" s="79"/>
      <c r="N102" s="74"/>
      <c r="O102" s="81" t="s">
        <v>944</v>
      </c>
      <c r="P102">
        <v>1</v>
      </c>
      <c r="Q102" s="80" t="str">
        <f>REPLACE(INDEX(GroupVertices[Group],MATCH(Edges[[#This Row],[Vertex 1]],GroupVertices[Vertex],0)),1,1,"")</f>
        <v>2</v>
      </c>
      <c r="R102" s="80" t="e">
        <f>REPLACE(INDEX(GroupVertices[Group],MATCH(Edges[[#This Row],[Vertex 2]],GroupVertices[Vertex],0)),1,1,"")</f>
        <v>#N/A</v>
      </c>
      <c r="S102" s="34"/>
      <c r="T102" s="34"/>
      <c r="U102" s="34"/>
      <c r="V102" s="34"/>
      <c r="W102" s="34"/>
      <c r="X102" s="34"/>
      <c r="Y102" s="34"/>
      <c r="Z102" s="34"/>
      <c r="AA102" s="34"/>
    </row>
    <row r="103" spans="1:27" ht="15">
      <c r="A103" s="66" t="s">
        <v>221</v>
      </c>
      <c r="B103" s="66" t="s">
        <v>359</v>
      </c>
      <c r="C103" s="67" t="s">
        <v>4454</v>
      </c>
      <c r="D103" s="68">
        <v>5</v>
      </c>
      <c r="E103" s="69"/>
      <c r="F103" s="70">
        <v>20</v>
      </c>
      <c r="G103" s="67"/>
      <c r="H103" s="71"/>
      <c r="I103" s="72"/>
      <c r="J103" s="72"/>
      <c r="K103" s="34"/>
      <c r="L103" s="79">
        <v>103</v>
      </c>
      <c r="M103" s="79"/>
      <c r="N103" s="74"/>
      <c r="O103" s="81" t="s">
        <v>944</v>
      </c>
      <c r="P103">
        <v>1</v>
      </c>
      <c r="Q103" s="80" t="str">
        <f>REPLACE(INDEX(GroupVertices[Group],MATCH(Edges[[#This Row],[Vertex 1]],GroupVertices[Vertex],0)),1,1,"")</f>
        <v>2</v>
      </c>
      <c r="R103" s="80" t="e">
        <f>REPLACE(INDEX(GroupVertices[Group],MATCH(Edges[[#This Row],[Vertex 2]],GroupVertices[Vertex],0)),1,1,"")</f>
        <v>#N/A</v>
      </c>
      <c r="S103" s="34"/>
      <c r="T103" s="34"/>
      <c r="U103" s="34"/>
      <c r="V103" s="34"/>
      <c r="W103" s="34"/>
      <c r="X103" s="34"/>
      <c r="Y103" s="34"/>
      <c r="Z103" s="34"/>
      <c r="AA103" s="34"/>
    </row>
    <row r="104" spans="1:27" ht="15">
      <c r="A104" s="66" t="s">
        <v>222</v>
      </c>
      <c r="B104" s="66" t="s">
        <v>360</v>
      </c>
      <c r="C104" s="67" t="s">
        <v>4454</v>
      </c>
      <c r="D104" s="68">
        <v>5</v>
      </c>
      <c r="E104" s="69"/>
      <c r="F104" s="70">
        <v>20</v>
      </c>
      <c r="G104" s="67"/>
      <c r="H104" s="71"/>
      <c r="I104" s="72"/>
      <c r="J104" s="72"/>
      <c r="K104" s="34"/>
      <c r="L104" s="79">
        <v>104</v>
      </c>
      <c r="M104" s="79"/>
      <c r="N104" s="74"/>
      <c r="O104" s="81" t="s">
        <v>944</v>
      </c>
      <c r="P104">
        <v>1</v>
      </c>
      <c r="Q104" s="80" t="str">
        <f>REPLACE(INDEX(GroupVertices[Group],MATCH(Edges[[#This Row],[Vertex 1]],GroupVertices[Vertex],0)),1,1,"")</f>
        <v>2</v>
      </c>
      <c r="R104" s="80" t="e">
        <f>REPLACE(INDEX(GroupVertices[Group],MATCH(Edges[[#This Row],[Vertex 2]],GroupVertices[Vertex],0)),1,1,"")</f>
        <v>#N/A</v>
      </c>
      <c r="S104" s="34"/>
      <c r="T104" s="34"/>
      <c r="U104" s="34"/>
      <c r="V104" s="34"/>
      <c r="W104" s="34"/>
      <c r="X104" s="34"/>
      <c r="Y104" s="34"/>
      <c r="Z104" s="34"/>
      <c r="AA104" s="34"/>
    </row>
    <row r="105" spans="1:27" ht="15">
      <c r="A105" s="66" t="s">
        <v>222</v>
      </c>
      <c r="B105" s="66" t="s">
        <v>361</v>
      </c>
      <c r="C105" s="67" t="s">
        <v>4454</v>
      </c>
      <c r="D105" s="68">
        <v>5</v>
      </c>
      <c r="E105" s="69"/>
      <c r="F105" s="70">
        <v>20</v>
      </c>
      <c r="G105" s="67"/>
      <c r="H105" s="71"/>
      <c r="I105" s="72"/>
      <c r="J105" s="72"/>
      <c r="K105" s="34"/>
      <c r="L105" s="79">
        <v>105</v>
      </c>
      <c r="M105" s="79"/>
      <c r="N105" s="74"/>
      <c r="O105" s="81" t="s">
        <v>944</v>
      </c>
      <c r="P105">
        <v>1</v>
      </c>
      <c r="Q105" s="80" t="str">
        <f>REPLACE(INDEX(GroupVertices[Group],MATCH(Edges[[#This Row],[Vertex 1]],GroupVertices[Vertex],0)),1,1,"")</f>
        <v>2</v>
      </c>
      <c r="R105" s="80" t="e">
        <f>REPLACE(INDEX(GroupVertices[Group],MATCH(Edges[[#This Row],[Vertex 2]],GroupVertices[Vertex],0)),1,1,"")</f>
        <v>#N/A</v>
      </c>
      <c r="S105" s="34"/>
      <c r="T105" s="34"/>
      <c r="U105" s="34"/>
      <c r="V105" s="34"/>
      <c r="W105" s="34"/>
      <c r="X105" s="34"/>
      <c r="Y105" s="34"/>
      <c r="Z105" s="34"/>
      <c r="AA105" s="34"/>
    </row>
    <row r="106" spans="1:27" ht="15">
      <c r="A106" s="66" t="s">
        <v>222</v>
      </c>
      <c r="B106" s="66" t="s">
        <v>362</v>
      </c>
      <c r="C106" s="67" t="s">
        <v>4454</v>
      </c>
      <c r="D106" s="68">
        <v>5</v>
      </c>
      <c r="E106" s="69"/>
      <c r="F106" s="70">
        <v>20</v>
      </c>
      <c r="G106" s="67"/>
      <c r="H106" s="71"/>
      <c r="I106" s="72"/>
      <c r="J106" s="72"/>
      <c r="K106" s="34"/>
      <c r="L106" s="79">
        <v>106</v>
      </c>
      <c r="M106" s="79"/>
      <c r="N106" s="74"/>
      <c r="O106" s="81" t="s">
        <v>944</v>
      </c>
      <c r="P106">
        <v>1</v>
      </c>
      <c r="Q106" s="80" t="str">
        <f>REPLACE(INDEX(GroupVertices[Group],MATCH(Edges[[#This Row],[Vertex 1]],GroupVertices[Vertex],0)),1,1,"")</f>
        <v>2</v>
      </c>
      <c r="R106" s="80" t="e">
        <f>REPLACE(INDEX(GroupVertices[Group],MATCH(Edges[[#This Row],[Vertex 2]],GroupVertices[Vertex],0)),1,1,"")</f>
        <v>#N/A</v>
      </c>
      <c r="S106" s="34"/>
      <c r="T106" s="34"/>
      <c r="U106" s="34"/>
      <c r="V106" s="34"/>
      <c r="W106" s="34"/>
      <c r="X106" s="34"/>
      <c r="Y106" s="34"/>
      <c r="Z106" s="34"/>
      <c r="AA106" s="34"/>
    </row>
    <row r="107" spans="1:27" ht="15">
      <c r="A107" s="66" t="s">
        <v>221</v>
      </c>
      <c r="B107" s="66" t="s">
        <v>363</v>
      </c>
      <c r="C107" s="67" t="s">
        <v>4454</v>
      </c>
      <c r="D107" s="68">
        <v>5</v>
      </c>
      <c r="E107" s="69"/>
      <c r="F107" s="70">
        <v>20</v>
      </c>
      <c r="G107" s="67"/>
      <c r="H107" s="71"/>
      <c r="I107" s="72"/>
      <c r="J107" s="72"/>
      <c r="K107" s="34" t="s">
        <v>65</v>
      </c>
      <c r="L107" s="79">
        <v>107</v>
      </c>
      <c r="M107" s="79"/>
      <c r="N107" s="74"/>
      <c r="O107" s="81" t="s">
        <v>944</v>
      </c>
      <c r="P107">
        <v>1</v>
      </c>
      <c r="Q107" s="80" t="str">
        <f>REPLACE(INDEX(GroupVertices[Group],MATCH(Edges[[#This Row],[Vertex 1]],GroupVertices[Vertex],0)),1,1,"")</f>
        <v>2</v>
      </c>
      <c r="R107" s="80" t="str">
        <f>REPLACE(INDEX(GroupVertices[Group],MATCH(Edges[[#This Row],[Vertex 2]],GroupVertices[Vertex],0)),1,1,"")</f>
        <v>2</v>
      </c>
      <c r="S107" s="34"/>
      <c r="T107" s="34"/>
      <c r="U107" s="34"/>
      <c r="V107" s="34"/>
      <c r="W107" s="34"/>
      <c r="X107" s="34"/>
      <c r="Y107" s="34"/>
      <c r="Z107" s="34"/>
      <c r="AA107" s="34"/>
    </row>
    <row r="108" spans="1:27" ht="15">
      <c r="A108" s="66" t="s">
        <v>222</v>
      </c>
      <c r="B108" s="66" t="s">
        <v>363</v>
      </c>
      <c r="C108" s="67" t="s">
        <v>4454</v>
      </c>
      <c r="D108" s="68">
        <v>5</v>
      </c>
      <c r="E108" s="69"/>
      <c r="F108" s="70">
        <v>20</v>
      </c>
      <c r="G108" s="67"/>
      <c r="H108" s="71"/>
      <c r="I108" s="72"/>
      <c r="J108" s="72"/>
      <c r="K108" s="34" t="s">
        <v>65</v>
      </c>
      <c r="L108" s="79">
        <v>108</v>
      </c>
      <c r="M108" s="79"/>
      <c r="N108" s="74"/>
      <c r="O108" s="81" t="s">
        <v>944</v>
      </c>
      <c r="P108">
        <v>1</v>
      </c>
      <c r="Q108" s="80" t="str">
        <f>REPLACE(INDEX(GroupVertices[Group],MATCH(Edges[[#This Row],[Vertex 1]],GroupVertices[Vertex],0)),1,1,"")</f>
        <v>2</v>
      </c>
      <c r="R108" s="80" t="str">
        <f>REPLACE(INDEX(GroupVertices[Group],MATCH(Edges[[#This Row],[Vertex 2]],GroupVertices[Vertex],0)),1,1,"")</f>
        <v>2</v>
      </c>
      <c r="S108" s="34"/>
      <c r="T108" s="34"/>
      <c r="U108" s="34"/>
      <c r="V108" s="34"/>
      <c r="W108" s="34"/>
      <c r="X108" s="34"/>
      <c r="Y108" s="34"/>
      <c r="Z108" s="34"/>
      <c r="AA108" s="34"/>
    </row>
    <row r="109" spans="1:27" ht="15">
      <c r="A109" s="66" t="s">
        <v>223</v>
      </c>
      <c r="B109" s="66" t="s">
        <v>364</v>
      </c>
      <c r="C109" s="67" t="s">
        <v>4454</v>
      </c>
      <c r="D109" s="68">
        <v>5</v>
      </c>
      <c r="E109" s="69"/>
      <c r="F109" s="70">
        <v>20</v>
      </c>
      <c r="G109" s="67"/>
      <c r="H109" s="71"/>
      <c r="I109" s="72"/>
      <c r="J109" s="72"/>
      <c r="K109" s="34"/>
      <c r="L109" s="79">
        <v>109</v>
      </c>
      <c r="M109" s="79"/>
      <c r="N109" s="74"/>
      <c r="O109" s="81" t="s">
        <v>944</v>
      </c>
      <c r="P109">
        <v>1</v>
      </c>
      <c r="Q109" s="80" t="str">
        <f>REPLACE(INDEX(GroupVertices[Group],MATCH(Edges[[#This Row],[Vertex 1]],GroupVertices[Vertex],0)),1,1,"")</f>
        <v>3</v>
      </c>
      <c r="R109" s="80" t="e">
        <f>REPLACE(INDEX(GroupVertices[Group],MATCH(Edges[[#This Row],[Vertex 2]],GroupVertices[Vertex],0)),1,1,"")</f>
        <v>#N/A</v>
      </c>
      <c r="S109" s="34"/>
      <c r="T109" s="34"/>
      <c r="U109" s="34"/>
      <c r="V109" s="34"/>
      <c r="W109" s="34"/>
      <c r="X109" s="34"/>
      <c r="Y109" s="34"/>
      <c r="Z109" s="34"/>
      <c r="AA109" s="34"/>
    </row>
    <row r="110" spans="1:27" ht="15">
      <c r="A110" s="66" t="s">
        <v>219</v>
      </c>
      <c r="B110" s="66" t="s">
        <v>365</v>
      </c>
      <c r="C110" s="67" t="s">
        <v>4454</v>
      </c>
      <c r="D110" s="68">
        <v>5</v>
      </c>
      <c r="E110" s="69"/>
      <c r="F110" s="70">
        <v>20</v>
      </c>
      <c r="G110" s="67"/>
      <c r="H110" s="71"/>
      <c r="I110" s="72"/>
      <c r="J110" s="72"/>
      <c r="K110" s="34" t="s">
        <v>65</v>
      </c>
      <c r="L110" s="79">
        <v>110</v>
      </c>
      <c r="M110" s="79"/>
      <c r="N110" s="74"/>
      <c r="O110" s="81" t="s">
        <v>944</v>
      </c>
      <c r="P110">
        <v>1</v>
      </c>
      <c r="Q110" s="80" t="str">
        <f>REPLACE(INDEX(GroupVertices[Group],MATCH(Edges[[#This Row],[Vertex 1]],GroupVertices[Vertex],0)),1,1,"")</f>
        <v>3</v>
      </c>
      <c r="R110" s="80" t="str">
        <f>REPLACE(INDEX(GroupVertices[Group],MATCH(Edges[[#This Row],[Vertex 2]],GroupVertices[Vertex],0)),1,1,"")</f>
        <v>3</v>
      </c>
      <c r="S110" s="34"/>
      <c r="T110" s="34"/>
      <c r="U110" s="34"/>
      <c r="V110" s="34"/>
      <c r="W110" s="34"/>
      <c r="X110" s="34"/>
      <c r="Y110" s="34"/>
      <c r="Z110" s="34"/>
      <c r="AA110" s="34"/>
    </row>
    <row r="111" spans="1:27" ht="15">
      <c r="A111" s="66" t="s">
        <v>223</v>
      </c>
      <c r="B111" s="66" t="s">
        <v>365</v>
      </c>
      <c r="C111" s="67" t="s">
        <v>4454</v>
      </c>
      <c r="D111" s="68">
        <v>5</v>
      </c>
      <c r="E111" s="69"/>
      <c r="F111" s="70">
        <v>20</v>
      </c>
      <c r="G111" s="67"/>
      <c r="H111" s="71"/>
      <c r="I111" s="72"/>
      <c r="J111" s="72"/>
      <c r="K111" s="34" t="s">
        <v>65</v>
      </c>
      <c r="L111" s="79">
        <v>111</v>
      </c>
      <c r="M111" s="79"/>
      <c r="N111" s="74"/>
      <c r="O111" s="81" t="s">
        <v>944</v>
      </c>
      <c r="P111">
        <v>1</v>
      </c>
      <c r="Q111" s="80" t="str">
        <f>REPLACE(INDEX(GroupVertices[Group],MATCH(Edges[[#This Row],[Vertex 1]],GroupVertices[Vertex],0)),1,1,"")</f>
        <v>3</v>
      </c>
      <c r="R111" s="80" t="str">
        <f>REPLACE(INDEX(GroupVertices[Group],MATCH(Edges[[#This Row],[Vertex 2]],GroupVertices[Vertex],0)),1,1,"")</f>
        <v>3</v>
      </c>
      <c r="S111" s="34"/>
      <c r="T111" s="34"/>
      <c r="U111" s="34"/>
      <c r="V111" s="34"/>
      <c r="W111" s="34"/>
      <c r="X111" s="34"/>
      <c r="Y111" s="34"/>
      <c r="Z111" s="34"/>
      <c r="AA111" s="34"/>
    </row>
    <row r="112" spans="1:27" ht="15">
      <c r="A112" s="66" t="s">
        <v>223</v>
      </c>
      <c r="B112" s="66" t="s">
        <v>366</v>
      </c>
      <c r="C112" s="67" t="s">
        <v>4454</v>
      </c>
      <c r="D112" s="68">
        <v>5</v>
      </c>
      <c r="E112" s="69"/>
      <c r="F112" s="70">
        <v>20</v>
      </c>
      <c r="G112" s="67"/>
      <c r="H112" s="71"/>
      <c r="I112" s="72"/>
      <c r="J112" s="72"/>
      <c r="K112" s="34"/>
      <c r="L112" s="79">
        <v>112</v>
      </c>
      <c r="M112" s="79"/>
      <c r="N112" s="74"/>
      <c r="O112" s="81" t="s">
        <v>944</v>
      </c>
      <c r="P112">
        <v>1</v>
      </c>
      <c r="Q112" s="80" t="str">
        <f>REPLACE(INDEX(GroupVertices[Group],MATCH(Edges[[#This Row],[Vertex 1]],GroupVertices[Vertex],0)),1,1,"")</f>
        <v>3</v>
      </c>
      <c r="R112" s="80" t="e">
        <f>REPLACE(INDEX(GroupVertices[Group],MATCH(Edges[[#This Row],[Vertex 2]],GroupVertices[Vertex],0)),1,1,"")</f>
        <v>#N/A</v>
      </c>
      <c r="S112" s="34"/>
      <c r="T112" s="34"/>
      <c r="U112" s="34"/>
      <c r="V112" s="34"/>
      <c r="W112" s="34"/>
      <c r="X112" s="34"/>
      <c r="Y112" s="34"/>
      <c r="Z112" s="34"/>
      <c r="AA112" s="34"/>
    </row>
    <row r="113" spans="1:27" ht="15">
      <c r="A113" s="66" t="s">
        <v>223</v>
      </c>
      <c r="B113" s="66" t="s">
        <v>367</v>
      </c>
      <c r="C113" s="67" t="s">
        <v>4454</v>
      </c>
      <c r="D113" s="68">
        <v>5</v>
      </c>
      <c r="E113" s="69"/>
      <c r="F113" s="70">
        <v>20</v>
      </c>
      <c r="G113" s="67"/>
      <c r="H113" s="71"/>
      <c r="I113" s="72"/>
      <c r="J113" s="72"/>
      <c r="K113" s="34"/>
      <c r="L113" s="79">
        <v>113</v>
      </c>
      <c r="M113" s="79"/>
      <c r="N113" s="74"/>
      <c r="O113" s="81" t="s">
        <v>944</v>
      </c>
      <c r="P113">
        <v>1</v>
      </c>
      <c r="Q113" s="80" t="str">
        <f>REPLACE(INDEX(GroupVertices[Group],MATCH(Edges[[#This Row],[Vertex 1]],GroupVertices[Vertex],0)),1,1,"")</f>
        <v>3</v>
      </c>
      <c r="R113" s="80" t="e">
        <f>REPLACE(INDEX(GroupVertices[Group],MATCH(Edges[[#This Row],[Vertex 2]],GroupVertices[Vertex],0)),1,1,"")</f>
        <v>#N/A</v>
      </c>
      <c r="S113" s="34"/>
      <c r="T113" s="34"/>
      <c r="U113" s="34"/>
      <c r="V113" s="34"/>
      <c r="W113" s="34"/>
      <c r="X113" s="34"/>
      <c r="Y113" s="34"/>
      <c r="Z113" s="34"/>
      <c r="AA113" s="34"/>
    </row>
    <row r="114" spans="1:27" ht="15">
      <c r="A114" s="66" t="s">
        <v>223</v>
      </c>
      <c r="B114" s="66" t="s">
        <v>368</v>
      </c>
      <c r="C114" s="67" t="s">
        <v>4454</v>
      </c>
      <c r="D114" s="68">
        <v>5</v>
      </c>
      <c r="E114" s="69"/>
      <c r="F114" s="70">
        <v>20</v>
      </c>
      <c r="G114" s="67"/>
      <c r="H114" s="71"/>
      <c r="I114" s="72"/>
      <c r="J114" s="72"/>
      <c r="K114" s="34"/>
      <c r="L114" s="79">
        <v>114</v>
      </c>
      <c r="M114" s="79"/>
      <c r="N114" s="74"/>
      <c r="O114" s="81" t="s">
        <v>944</v>
      </c>
      <c r="P114">
        <v>1</v>
      </c>
      <c r="Q114" s="80" t="str">
        <f>REPLACE(INDEX(GroupVertices[Group],MATCH(Edges[[#This Row],[Vertex 1]],GroupVertices[Vertex],0)),1,1,"")</f>
        <v>3</v>
      </c>
      <c r="R114" s="80" t="e">
        <f>REPLACE(INDEX(GroupVertices[Group],MATCH(Edges[[#This Row],[Vertex 2]],GroupVertices[Vertex],0)),1,1,"")</f>
        <v>#N/A</v>
      </c>
      <c r="S114" s="34"/>
      <c r="T114" s="34"/>
      <c r="U114" s="34"/>
      <c r="V114" s="34"/>
      <c r="W114" s="34"/>
      <c r="X114" s="34"/>
      <c r="Y114" s="34"/>
      <c r="Z114" s="34"/>
      <c r="AA114" s="34"/>
    </row>
    <row r="115" spans="1:27" ht="15">
      <c r="A115" s="66" t="s">
        <v>221</v>
      </c>
      <c r="B115" s="66" t="s">
        <v>369</v>
      </c>
      <c r="C115" s="67" t="s">
        <v>4454</v>
      </c>
      <c r="D115" s="68">
        <v>5</v>
      </c>
      <c r="E115" s="69"/>
      <c r="F115" s="70">
        <v>20</v>
      </c>
      <c r="G115" s="67"/>
      <c r="H115" s="71"/>
      <c r="I115" s="72"/>
      <c r="J115" s="72"/>
      <c r="K115" s="34" t="s">
        <v>65</v>
      </c>
      <c r="L115" s="79">
        <v>115</v>
      </c>
      <c r="M115" s="79"/>
      <c r="N115" s="74"/>
      <c r="O115" s="81" t="s">
        <v>944</v>
      </c>
      <c r="P115">
        <v>1</v>
      </c>
      <c r="Q115" s="80" t="str">
        <f>REPLACE(INDEX(GroupVertices[Group],MATCH(Edges[[#This Row],[Vertex 1]],GroupVertices[Vertex],0)),1,1,"")</f>
        <v>2</v>
      </c>
      <c r="R115" s="80" t="str">
        <f>REPLACE(INDEX(GroupVertices[Group],MATCH(Edges[[#This Row],[Vertex 2]],GroupVertices[Vertex],0)),1,1,"")</f>
        <v>3</v>
      </c>
      <c r="S115" s="34"/>
      <c r="T115" s="34"/>
      <c r="U115" s="34"/>
      <c r="V115" s="34"/>
      <c r="W115" s="34"/>
      <c r="X115" s="34"/>
      <c r="Y115" s="34"/>
      <c r="Z115" s="34"/>
      <c r="AA115" s="34"/>
    </row>
    <row r="116" spans="1:27" ht="15">
      <c r="A116" s="66" t="s">
        <v>223</v>
      </c>
      <c r="B116" s="66" t="s">
        <v>369</v>
      </c>
      <c r="C116" s="67" t="s">
        <v>4454</v>
      </c>
      <c r="D116" s="68">
        <v>5</v>
      </c>
      <c r="E116" s="69"/>
      <c r="F116" s="70">
        <v>20</v>
      </c>
      <c r="G116" s="67"/>
      <c r="H116" s="71"/>
      <c r="I116" s="72"/>
      <c r="J116" s="72"/>
      <c r="K116" s="34" t="s">
        <v>65</v>
      </c>
      <c r="L116" s="79">
        <v>116</v>
      </c>
      <c r="M116" s="79"/>
      <c r="N116" s="74"/>
      <c r="O116" s="81" t="s">
        <v>944</v>
      </c>
      <c r="P116">
        <v>1</v>
      </c>
      <c r="Q116" s="80" t="str">
        <f>REPLACE(INDEX(GroupVertices[Group],MATCH(Edges[[#This Row],[Vertex 1]],GroupVertices[Vertex],0)),1,1,"")</f>
        <v>3</v>
      </c>
      <c r="R116" s="80" t="str">
        <f>REPLACE(INDEX(GroupVertices[Group],MATCH(Edges[[#This Row],[Vertex 2]],GroupVertices[Vertex],0)),1,1,"")</f>
        <v>3</v>
      </c>
      <c r="S116" s="34"/>
      <c r="T116" s="34"/>
      <c r="U116" s="34"/>
      <c r="V116" s="34"/>
      <c r="W116" s="34"/>
      <c r="X116" s="34"/>
      <c r="Y116" s="34"/>
      <c r="Z116" s="34"/>
      <c r="AA116" s="34"/>
    </row>
    <row r="117" spans="1:27" ht="15">
      <c r="A117" s="66" t="s">
        <v>218</v>
      </c>
      <c r="B117" s="66" t="s">
        <v>370</v>
      </c>
      <c r="C117" s="67" t="s">
        <v>4454</v>
      </c>
      <c r="D117" s="68">
        <v>5</v>
      </c>
      <c r="E117" s="69"/>
      <c r="F117" s="70">
        <v>20</v>
      </c>
      <c r="G117" s="67"/>
      <c r="H117" s="71"/>
      <c r="I117" s="72"/>
      <c r="J117" s="72"/>
      <c r="K117" s="34"/>
      <c r="L117" s="79">
        <v>117</v>
      </c>
      <c r="M117" s="79"/>
      <c r="N117" s="74"/>
      <c r="O117" s="81" t="s">
        <v>944</v>
      </c>
      <c r="P117">
        <v>1</v>
      </c>
      <c r="Q117" s="80" t="e">
        <f>REPLACE(INDEX(GroupVertices[Group],MATCH(Edges[[#This Row],[Vertex 1]],GroupVertices[Vertex],0)),1,1,"")</f>
        <v>#N/A</v>
      </c>
      <c r="R117" s="80" t="str">
        <f>REPLACE(INDEX(GroupVertices[Group],MATCH(Edges[[#This Row],[Vertex 2]],GroupVertices[Vertex],0)),1,1,"")</f>
        <v>3</v>
      </c>
      <c r="S117" s="34"/>
      <c r="T117" s="34"/>
      <c r="U117" s="34"/>
      <c r="V117" s="34"/>
      <c r="W117" s="34"/>
      <c r="X117" s="34"/>
      <c r="Y117" s="34"/>
      <c r="Z117" s="34"/>
      <c r="AA117" s="34"/>
    </row>
    <row r="118" spans="1:27" ht="15">
      <c r="A118" s="66" t="s">
        <v>223</v>
      </c>
      <c r="B118" s="66" t="s">
        <v>370</v>
      </c>
      <c r="C118" s="67" t="s">
        <v>4454</v>
      </c>
      <c r="D118" s="68">
        <v>5</v>
      </c>
      <c r="E118" s="69"/>
      <c r="F118" s="70">
        <v>20</v>
      </c>
      <c r="G118" s="67"/>
      <c r="H118" s="71"/>
      <c r="I118" s="72"/>
      <c r="J118" s="72"/>
      <c r="K118" s="34" t="s">
        <v>65</v>
      </c>
      <c r="L118" s="79">
        <v>118</v>
      </c>
      <c r="M118" s="79"/>
      <c r="N118" s="74"/>
      <c r="O118" s="81" t="s">
        <v>944</v>
      </c>
      <c r="P118">
        <v>1</v>
      </c>
      <c r="Q118" s="80" t="str">
        <f>REPLACE(INDEX(GroupVertices[Group],MATCH(Edges[[#This Row],[Vertex 1]],GroupVertices[Vertex],0)),1,1,"")</f>
        <v>3</v>
      </c>
      <c r="R118" s="80" t="str">
        <f>REPLACE(INDEX(GroupVertices[Group],MATCH(Edges[[#This Row],[Vertex 2]],GroupVertices[Vertex],0)),1,1,"")</f>
        <v>3</v>
      </c>
      <c r="S118" s="34"/>
      <c r="T118" s="34"/>
      <c r="U118" s="34"/>
      <c r="V118" s="34"/>
      <c r="W118" s="34"/>
      <c r="X118" s="34"/>
      <c r="Y118" s="34"/>
      <c r="Z118" s="34"/>
      <c r="AA118" s="34"/>
    </row>
    <row r="119" spans="1:27" ht="15">
      <c r="A119" s="66" t="s">
        <v>224</v>
      </c>
      <c r="B119" s="66" t="s">
        <v>371</v>
      </c>
      <c r="C119" s="67" t="s">
        <v>4454</v>
      </c>
      <c r="D119" s="68">
        <v>5</v>
      </c>
      <c r="E119" s="69"/>
      <c r="F119" s="70">
        <v>20</v>
      </c>
      <c r="G119" s="67"/>
      <c r="H119" s="71"/>
      <c r="I119" s="72"/>
      <c r="J119" s="72"/>
      <c r="K119" s="34"/>
      <c r="L119" s="79">
        <v>119</v>
      </c>
      <c r="M119" s="79"/>
      <c r="N119" s="74"/>
      <c r="O119" s="81" t="s">
        <v>944</v>
      </c>
      <c r="P119">
        <v>1</v>
      </c>
      <c r="Q119" s="80" t="str">
        <f>REPLACE(INDEX(GroupVertices[Group],MATCH(Edges[[#This Row],[Vertex 1]],GroupVertices[Vertex],0)),1,1,"")</f>
        <v>2</v>
      </c>
      <c r="R119" s="80" t="e">
        <f>REPLACE(INDEX(GroupVertices[Group],MATCH(Edges[[#This Row],[Vertex 2]],GroupVertices[Vertex],0)),1,1,"")</f>
        <v>#N/A</v>
      </c>
      <c r="S119" s="34"/>
      <c r="T119" s="34"/>
      <c r="U119" s="34"/>
      <c r="V119" s="34"/>
      <c r="W119" s="34"/>
      <c r="X119" s="34"/>
      <c r="Y119" s="34"/>
      <c r="Z119" s="34"/>
      <c r="AA119" s="34"/>
    </row>
    <row r="120" spans="1:27" ht="15">
      <c r="A120" s="66" t="s">
        <v>224</v>
      </c>
      <c r="B120" s="66" t="s">
        <v>372</v>
      </c>
      <c r="C120" s="67" t="s">
        <v>4454</v>
      </c>
      <c r="D120" s="68">
        <v>5</v>
      </c>
      <c r="E120" s="69"/>
      <c r="F120" s="70">
        <v>20</v>
      </c>
      <c r="G120" s="67"/>
      <c r="H120" s="71"/>
      <c r="I120" s="72"/>
      <c r="J120" s="72"/>
      <c r="K120" s="34"/>
      <c r="L120" s="79">
        <v>120</v>
      </c>
      <c r="M120" s="79"/>
      <c r="N120" s="74"/>
      <c r="O120" s="81" t="s">
        <v>944</v>
      </c>
      <c r="P120">
        <v>1</v>
      </c>
      <c r="Q120" s="80" t="str">
        <f>REPLACE(INDEX(GroupVertices[Group],MATCH(Edges[[#This Row],[Vertex 1]],GroupVertices[Vertex],0)),1,1,"")</f>
        <v>2</v>
      </c>
      <c r="R120" s="80" t="e">
        <f>REPLACE(INDEX(GroupVertices[Group],MATCH(Edges[[#This Row],[Vertex 2]],GroupVertices[Vertex],0)),1,1,"")</f>
        <v>#N/A</v>
      </c>
      <c r="S120" s="34"/>
      <c r="T120" s="34"/>
      <c r="U120" s="34"/>
      <c r="V120" s="34"/>
      <c r="W120" s="34"/>
      <c r="X120" s="34"/>
      <c r="Y120" s="34"/>
      <c r="Z120" s="34"/>
      <c r="AA120" s="34"/>
    </row>
    <row r="121" spans="1:27" ht="15">
      <c r="A121" s="66" t="s">
        <v>222</v>
      </c>
      <c r="B121" s="66" t="s">
        <v>373</v>
      </c>
      <c r="C121" s="67" t="s">
        <v>4454</v>
      </c>
      <c r="D121" s="68">
        <v>5</v>
      </c>
      <c r="E121" s="69"/>
      <c r="F121" s="70">
        <v>20</v>
      </c>
      <c r="G121" s="67"/>
      <c r="H121" s="71"/>
      <c r="I121" s="72"/>
      <c r="J121" s="72"/>
      <c r="K121" s="34" t="s">
        <v>65</v>
      </c>
      <c r="L121" s="79">
        <v>121</v>
      </c>
      <c r="M121" s="79"/>
      <c r="N121" s="74"/>
      <c r="O121" s="81" t="s">
        <v>944</v>
      </c>
      <c r="P121">
        <v>1</v>
      </c>
      <c r="Q121" s="80" t="str">
        <f>REPLACE(INDEX(GroupVertices[Group],MATCH(Edges[[#This Row],[Vertex 1]],GroupVertices[Vertex],0)),1,1,"")</f>
        <v>2</v>
      </c>
      <c r="R121" s="80" t="str">
        <f>REPLACE(INDEX(GroupVertices[Group],MATCH(Edges[[#This Row],[Vertex 2]],GroupVertices[Vertex],0)),1,1,"")</f>
        <v>2</v>
      </c>
      <c r="S121" s="34"/>
      <c r="T121" s="34"/>
      <c r="U121" s="34"/>
      <c r="V121" s="34"/>
      <c r="W121" s="34"/>
      <c r="X121" s="34"/>
      <c r="Y121" s="34"/>
      <c r="Z121" s="34"/>
      <c r="AA121" s="34"/>
    </row>
    <row r="122" spans="1:27" ht="15">
      <c r="A122" s="66" t="s">
        <v>224</v>
      </c>
      <c r="B122" s="66" t="s">
        <v>373</v>
      </c>
      <c r="C122" s="67" t="s">
        <v>4454</v>
      </c>
      <c r="D122" s="68">
        <v>5</v>
      </c>
      <c r="E122" s="69"/>
      <c r="F122" s="70">
        <v>20</v>
      </c>
      <c r="G122" s="67"/>
      <c r="H122" s="71"/>
      <c r="I122" s="72"/>
      <c r="J122" s="72"/>
      <c r="K122" s="34" t="s">
        <v>65</v>
      </c>
      <c r="L122" s="79">
        <v>122</v>
      </c>
      <c r="M122" s="79"/>
      <c r="N122" s="74"/>
      <c r="O122" s="81" t="s">
        <v>944</v>
      </c>
      <c r="P122">
        <v>1</v>
      </c>
      <c r="Q122" s="80" t="str">
        <f>REPLACE(INDEX(GroupVertices[Group],MATCH(Edges[[#This Row],[Vertex 1]],GroupVertices[Vertex],0)),1,1,"")</f>
        <v>2</v>
      </c>
      <c r="R122" s="80" t="str">
        <f>REPLACE(INDEX(GroupVertices[Group],MATCH(Edges[[#This Row],[Vertex 2]],GroupVertices[Vertex],0)),1,1,"")</f>
        <v>2</v>
      </c>
      <c r="S122" s="34"/>
      <c r="T122" s="34"/>
      <c r="U122" s="34"/>
      <c r="V122" s="34"/>
      <c r="W122" s="34"/>
      <c r="X122" s="34"/>
      <c r="Y122" s="34"/>
      <c r="Z122" s="34"/>
      <c r="AA122" s="34"/>
    </row>
    <row r="123" spans="1:27" ht="15">
      <c r="A123" s="66" t="s">
        <v>224</v>
      </c>
      <c r="B123" s="66" t="s">
        <v>374</v>
      </c>
      <c r="C123" s="67" t="s">
        <v>4454</v>
      </c>
      <c r="D123" s="68">
        <v>5</v>
      </c>
      <c r="E123" s="69"/>
      <c r="F123" s="70">
        <v>20</v>
      </c>
      <c r="G123" s="67"/>
      <c r="H123" s="71"/>
      <c r="I123" s="72"/>
      <c r="J123" s="72"/>
      <c r="K123" s="34"/>
      <c r="L123" s="79">
        <v>123</v>
      </c>
      <c r="M123" s="79"/>
      <c r="N123" s="74"/>
      <c r="O123" s="81" t="s">
        <v>944</v>
      </c>
      <c r="P123">
        <v>1</v>
      </c>
      <c r="Q123" s="80" t="str">
        <f>REPLACE(INDEX(GroupVertices[Group],MATCH(Edges[[#This Row],[Vertex 1]],GroupVertices[Vertex],0)),1,1,"")</f>
        <v>2</v>
      </c>
      <c r="R123" s="80" t="e">
        <f>REPLACE(INDEX(GroupVertices[Group],MATCH(Edges[[#This Row],[Vertex 2]],GroupVertices[Vertex],0)),1,1,"")</f>
        <v>#N/A</v>
      </c>
      <c r="S123" s="34"/>
      <c r="T123" s="34"/>
      <c r="U123" s="34"/>
      <c r="V123" s="34"/>
      <c r="W123" s="34"/>
      <c r="X123" s="34"/>
      <c r="Y123" s="34"/>
      <c r="Z123" s="34"/>
      <c r="AA123" s="34"/>
    </row>
    <row r="124" spans="1:27" ht="15">
      <c r="A124" s="66" t="s">
        <v>222</v>
      </c>
      <c r="B124" s="66" t="s">
        <v>375</v>
      </c>
      <c r="C124" s="67" t="s">
        <v>4454</v>
      </c>
      <c r="D124" s="68">
        <v>5</v>
      </c>
      <c r="E124" s="69"/>
      <c r="F124" s="70">
        <v>20</v>
      </c>
      <c r="G124" s="67"/>
      <c r="H124" s="71"/>
      <c r="I124" s="72"/>
      <c r="J124" s="72"/>
      <c r="K124" s="34" t="s">
        <v>65</v>
      </c>
      <c r="L124" s="79">
        <v>124</v>
      </c>
      <c r="M124" s="79"/>
      <c r="N124" s="74"/>
      <c r="O124" s="81" t="s">
        <v>944</v>
      </c>
      <c r="P124">
        <v>1</v>
      </c>
      <c r="Q124" s="80" t="str">
        <f>REPLACE(INDEX(GroupVertices[Group],MATCH(Edges[[#This Row],[Vertex 1]],GroupVertices[Vertex],0)),1,1,"")</f>
        <v>2</v>
      </c>
      <c r="R124" s="80" t="str">
        <f>REPLACE(INDEX(GroupVertices[Group],MATCH(Edges[[#This Row],[Vertex 2]],GroupVertices[Vertex],0)),1,1,"")</f>
        <v>2</v>
      </c>
      <c r="S124" s="34"/>
      <c r="T124" s="34"/>
      <c r="U124" s="34"/>
      <c r="V124" s="34"/>
      <c r="W124" s="34"/>
      <c r="X124" s="34"/>
      <c r="Y124" s="34"/>
      <c r="Z124" s="34"/>
      <c r="AA124" s="34"/>
    </row>
    <row r="125" spans="1:27" ht="15">
      <c r="A125" s="66" t="s">
        <v>224</v>
      </c>
      <c r="B125" s="66" t="s">
        <v>375</v>
      </c>
      <c r="C125" s="67" t="s">
        <v>4454</v>
      </c>
      <c r="D125" s="68">
        <v>5</v>
      </c>
      <c r="E125" s="69"/>
      <c r="F125" s="70">
        <v>20</v>
      </c>
      <c r="G125" s="67"/>
      <c r="H125" s="71"/>
      <c r="I125" s="72"/>
      <c r="J125" s="72"/>
      <c r="K125" s="34" t="s">
        <v>65</v>
      </c>
      <c r="L125" s="79">
        <v>125</v>
      </c>
      <c r="M125" s="79"/>
      <c r="N125" s="74"/>
      <c r="O125" s="81" t="s">
        <v>944</v>
      </c>
      <c r="P125">
        <v>1</v>
      </c>
      <c r="Q125" s="80" t="str">
        <f>REPLACE(INDEX(GroupVertices[Group],MATCH(Edges[[#This Row],[Vertex 1]],GroupVertices[Vertex],0)),1,1,"")</f>
        <v>2</v>
      </c>
      <c r="R125" s="80" t="str">
        <f>REPLACE(INDEX(GroupVertices[Group],MATCH(Edges[[#This Row],[Vertex 2]],GroupVertices[Vertex],0)),1,1,"")</f>
        <v>2</v>
      </c>
      <c r="S125" s="34"/>
      <c r="T125" s="34"/>
      <c r="U125" s="34"/>
      <c r="V125" s="34"/>
      <c r="W125" s="34"/>
      <c r="X125" s="34"/>
      <c r="Y125" s="34"/>
      <c r="Z125" s="34"/>
      <c r="AA125" s="34"/>
    </row>
    <row r="126" spans="1:27" ht="15">
      <c r="A126" s="66" t="s">
        <v>224</v>
      </c>
      <c r="B126" s="66" t="s">
        <v>376</v>
      </c>
      <c r="C126" s="67" t="s">
        <v>4454</v>
      </c>
      <c r="D126" s="68">
        <v>5</v>
      </c>
      <c r="E126" s="69"/>
      <c r="F126" s="70">
        <v>20</v>
      </c>
      <c r="G126" s="67"/>
      <c r="H126" s="71"/>
      <c r="I126" s="72"/>
      <c r="J126" s="72"/>
      <c r="K126" s="34"/>
      <c r="L126" s="79">
        <v>126</v>
      </c>
      <c r="M126" s="79"/>
      <c r="N126" s="74"/>
      <c r="O126" s="81" t="s">
        <v>944</v>
      </c>
      <c r="P126">
        <v>1</v>
      </c>
      <c r="Q126" s="80" t="str">
        <f>REPLACE(INDEX(GroupVertices[Group],MATCH(Edges[[#This Row],[Vertex 1]],GroupVertices[Vertex],0)),1,1,"")</f>
        <v>2</v>
      </c>
      <c r="R126" s="80" t="e">
        <f>REPLACE(INDEX(GroupVertices[Group],MATCH(Edges[[#This Row],[Vertex 2]],GroupVertices[Vertex],0)),1,1,"")</f>
        <v>#N/A</v>
      </c>
      <c r="S126" s="34"/>
      <c r="T126" s="34"/>
      <c r="U126" s="34"/>
      <c r="V126" s="34"/>
      <c r="W126" s="34"/>
      <c r="X126" s="34"/>
      <c r="Y126" s="34"/>
      <c r="Z126" s="34"/>
      <c r="AA126" s="34"/>
    </row>
    <row r="127" spans="1:27" ht="15">
      <c r="A127" s="66" t="s">
        <v>225</v>
      </c>
      <c r="B127" s="66" t="s">
        <v>377</v>
      </c>
      <c r="C127" s="67" t="s">
        <v>4454</v>
      </c>
      <c r="D127" s="68">
        <v>5</v>
      </c>
      <c r="E127" s="69"/>
      <c r="F127" s="70">
        <v>20</v>
      </c>
      <c r="G127" s="67"/>
      <c r="H127" s="71"/>
      <c r="I127" s="72"/>
      <c r="J127" s="72"/>
      <c r="K127" s="34"/>
      <c r="L127" s="79">
        <v>127</v>
      </c>
      <c r="M127" s="79"/>
      <c r="N127" s="74"/>
      <c r="O127" s="81" t="s">
        <v>944</v>
      </c>
      <c r="P127">
        <v>1</v>
      </c>
      <c r="Q127" s="80" t="str">
        <f>REPLACE(INDEX(GroupVertices[Group],MATCH(Edges[[#This Row],[Vertex 1]],GroupVertices[Vertex],0)),1,1,"")</f>
        <v>1</v>
      </c>
      <c r="R127" s="80" t="e">
        <f>REPLACE(INDEX(GroupVertices[Group],MATCH(Edges[[#This Row],[Vertex 2]],GroupVertices[Vertex],0)),1,1,"")</f>
        <v>#N/A</v>
      </c>
      <c r="S127" s="34"/>
      <c r="T127" s="34"/>
      <c r="U127" s="34"/>
      <c r="V127" s="34"/>
      <c r="W127" s="34"/>
      <c r="X127" s="34"/>
      <c r="Y127" s="34"/>
      <c r="Z127" s="34"/>
      <c r="AA127" s="34"/>
    </row>
    <row r="128" spans="1:27" ht="15">
      <c r="A128" s="66" t="s">
        <v>225</v>
      </c>
      <c r="B128" s="66" t="s">
        <v>378</v>
      </c>
      <c r="C128" s="67" t="s">
        <v>4454</v>
      </c>
      <c r="D128" s="68">
        <v>5</v>
      </c>
      <c r="E128" s="69"/>
      <c r="F128" s="70">
        <v>20</v>
      </c>
      <c r="G128" s="67"/>
      <c r="H128" s="71"/>
      <c r="I128" s="72"/>
      <c r="J128" s="72"/>
      <c r="K128" s="34"/>
      <c r="L128" s="79">
        <v>128</v>
      </c>
      <c r="M128" s="79"/>
      <c r="N128" s="74"/>
      <c r="O128" s="81" t="s">
        <v>944</v>
      </c>
      <c r="P128">
        <v>1</v>
      </c>
      <c r="Q128" s="80" t="str">
        <f>REPLACE(INDEX(GroupVertices[Group],MATCH(Edges[[#This Row],[Vertex 1]],GroupVertices[Vertex],0)),1,1,"")</f>
        <v>1</v>
      </c>
      <c r="R128" s="80" t="e">
        <f>REPLACE(INDEX(GroupVertices[Group],MATCH(Edges[[#This Row],[Vertex 2]],GroupVertices[Vertex],0)),1,1,"")</f>
        <v>#N/A</v>
      </c>
      <c r="S128" s="34"/>
      <c r="T128" s="34"/>
      <c r="U128" s="34"/>
      <c r="V128" s="34"/>
      <c r="W128" s="34"/>
      <c r="X128" s="34"/>
      <c r="Y128" s="34"/>
      <c r="Z128" s="34"/>
      <c r="AA128" s="34"/>
    </row>
    <row r="129" spans="1:27" ht="15">
      <c r="A129" s="66" t="s">
        <v>225</v>
      </c>
      <c r="B129" s="66" t="s">
        <v>379</v>
      </c>
      <c r="C129" s="67" t="s">
        <v>4454</v>
      </c>
      <c r="D129" s="68">
        <v>5</v>
      </c>
      <c r="E129" s="69"/>
      <c r="F129" s="70">
        <v>20</v>
      </c>
      <c r="G129" s="67"/>
      <c r="H129" s="71"/>
      <c r="I129" s="72"/>
      <c r="J129" s="72"/>
      <c r="K129" s="34"/>
      <c r="L129" s="79">
        <v>129</v>
      </c>
      <c r="M129" s="79"/>
      <c r="N129" s="74"/>
      <c r="O129" s="81" t="s">
        <v>944</v>
      </c>
      <c r="P129">
        <v>1</v>
      </c>
      <c r="Q129" s="80" t="str">
        <f>REPLACE(INDEX(GroupVertices[Group],MATCH(Edges[[#This Row],[Vertex 1]],GroupVertices[Vertex],0)),1,1,"")</f>
        <v>1</v>
      </c>
      <c r="R129" s="80" t="e">
        <f>REPLACE(INDEX(GroupVertices[Group],MATCH(Edges[[#This Row],[Vertex 2]],GroupVertices[Vertex],0)),1,1,"")</f>
        <v>#N/A</v>
      </c>
      <c r="S129" s="34"/>
      <c r="T129" s="34"/>
      <c r="U129" s="34"/>
      <c r="V129" s="34"/>
      <c r="W129" s="34"/>
      <c r="X129" s="34"/>
      <c r="Y129" s="34"/>
      <c r="Z129" s="34"/>
      <c r="AA129" s="34"/>
    </row>
    <row r="130" spans="1:27" ht="15">
      <c r="A130" s="66" t="s">
        <v>225</v>
      </c>
      <c r="B130" s="66" t="s">
        <v>380</v>
      </c>
      <c r="C130" s="67" t="s">
        <v>4454</v>
      </c>
      <c r="D130" s="68">
        <v>5</v>
      </c>
      <c r="E130" s="69"/>
      <c r="F130" s="70">
        <v>20</v>
      </c>
      <c r="G130" s="67"/>
      <c r="H130" s="71"/>
      <c r="I130" s="72"/>
      <c r="J130" s="72"/>
      <c r="K130" s="34"/>
      <c r="L130" s="79">
        <v>130</v>
      </c>
      <c r="M130" s="79"/>
      <c r="N130" s="74"/>
      <c r="O130" s="81" t="s">
        <v>944</v>
      </c>
      <c r="P130">
        <v>1</v>
      </c>
      <c r="Q130" s="80" t="str">
        <f>REPLACE(INDEX(GroupVertices[Group],MATCH(Edges[[#This Row],[Vertex 1]],GroupVertices[Vertex],0)),1,1,"")</f>
        <v>1</v>
      </c>
      <c r="R130" s="80" t="e">
        <f>REPLACE(INDEX(GroupVertices[Group],MATCH(Edges[[#This Row],[Vertex 2]],GroupVertices[Vertex],0)),1,1,"")</f>
        <v>#N/A</v>
      </c>
      <c r="S130" s="34"/>
      <c r="T130" s="34"/>
      <c r="U130" s="34"/>
      <c r="V130" s="34"/>
      <c r="W130" s="34"/>
      <c r="X130" s="34"/>
      <c r="Y130" s="34"/>
      <c r="Z130" s="34"/>
      <c r="AA130" s="34"/>
    </row>
    <row r="131" spans="1:27" ht="15">
      <c r="A131" s="66" t="s">
        <v>218</v>
      </c>
      <c r="B131" s="66" t="s">
        <v>381</v>
      </c>
      <c r="C131" s="67" t="s">
        <v>4454</v>
      </c>
      <c r="D131" s="68">
        <v>5</v>
      </c>
      <c r="E131" s="69"/>
      <c r="F131" s="70">
        <v>20</v>
      </c>
      <c r="G131" s="67"/>
      <c r="H131" s="71"/>
      <c r="I131" s="72"/>
      <c r="J131" s="72"/>
      <c r="K131" s="34"/>
      <c r="L131" s="79">
        <v>131</v>
      </c>
      <c r="M131" s="79"/>
      <c r="N131" s="74"/>
      <c r="O131" s="81" t="s">
        <v>944</v>
      </c>
      <c r="P131">
        <v>1</v>
      </c>
      <c r="Q131" s="80" t="e">
        <f>REPLACE(INDEX(GroupVertices[Group],MATCH(Edges[[#This Row],[Vertex 1]],GroupVertices[Vertex],0)),1,1,"")</f>
        <v>#N/A</v>
      </c>
      <c r="R131" s="80" t="str">
        <f>REPLACE(INDEX(GroupVertices[Group],MATCH(Edges[[#This Row],[Vertex 2]],GroupVertices[Vertex],0)),1,1,"")</f>
        <v>1</v>
      </c>
      <c r="S131" s="34"/>
      <c r="T131" s="34"/>
      <c r="U131" s="34"/>
      <c r="V131" s="34"/>
      <c r="W131" s="34"/>
      <c r="X131" s="34"/>
      <c r="Y131" s="34"/>
      <c r="Z131" s="34"/>
      <c r="AA131" s="34"/>
    </row>
    <row r="132" spans="1:27" ht="15">
      <c r="A132" s="66" t="s">
        <v>225</v>
      </c>
      <c r="B132" s="66" t="s">
        <v>381</v>
      </c>
      <c r="C132" s="67" t="s">
        <v>4454</v>
      </c>
      <c r="D132" s="68">
        <v>5</v>
      </c>
      <c r="E132" s="69"/>
      <c r="F132" s="70">
        <v>20</v>
      </c>
      <c r="G132" s="67"/>
      <c r="H132" s="71"/>
      <c r="I132" s="72"/>
      <c r="J132" s="72"/>
      <c r="K132" s="34" t="s">
        <v>65</v>
      </c>
      <c r="L132" s="79">
        <v>132</v>
      </c>
      <c r="M132" s="79"/>
      <c r="N132" s="74"/>
      <c r="O132" s="81" t="s">
        <v>944</v>
      </c>
      <c r="P132">
        <v>1</v>
      </c>
      <c r="Q132" s="80" t="str">
        <f>REPLACE(INDEX(GroupVertices[Group],MATCH(Edges[[#This Row],[Vertex 1]],GroupVertices[Vertex],0)),1,1,"")</f>
        <v>1</v>
      </c>
      <c r="R132" s="80" t="str">
        <f>REPLACE(INDEX(GroupVertices[Group],MATCH(Edges[[#This Row],[Vertex 2]],GroupVertices[Vertex],0)),1,1,"")</f>
        <v>1</v>
      </c>
      <c r="S132" s="34"/>
      <c r="T132" s="34"/>
      <c r="U132" s="34"/>
      <c r="V132" s="34"/>
      <c r="W132" s="34"/>
      <c r="X132" s="34"/>
      <c r="Y132" s="34"/>
      <c r="Z132" s="34"/>
      <c r="AA132" s="34"/>
    </row>
    <row r="133" spans="1:27" ht="15">
      <c r="A133" s="66" t="s">
        <v>225</v>
      </c>
      <c r="B133" s="66" t="s">
        <v>382</v>
      </c>
      <c r="C133" s="67" t="s">
        <v>4454</v>
      </c>
      <c r="D133" s="68">
        <v>5</v>
      </c>
      <c r="E133" s="69"/>
      <c r="F133" s="70">
        <v>20</v>
      </c>
      <c r="G133" s="67"/>
      <c r="H133" s="71"/>
      <c r="I133" s="72"/>
      <c r="J133" s="72"/>
      <c r="K133" s="34"/>
      <c r="L133" s="79">
        <v>133</v>
      </c>
      <c r="M133" s="79"/>
      <c r="N133" s="74"/>
      <c r="O133" s="81" t="s">
        <v>944</v>
      </c>
      <c r="P133">
        <v>1</v>
      </c>
      <c r="Q133" s="80" t="str">
        <f>REPLACE(INDEX(GroupVertices[Group],MATCH(Edges[[#This Row],[Vertex 1]],GroupVertices[Vertex],0)),1,1,"")</f>
        <v>1</v>
      </c>
      <c r="R133" s="80" t="e">
        <f>REPLACE(INDEX(GroupVertices[Group],MATCH(Edges[[#This Row],[Vertex 2]],GroupVertices[Vertex],0)),1,1,"")</f>
        <v>#N/A</v>
      </c>
      <c r="S133" s="34"/>
      <c r="T133" s="34"/>
      <c r="U133" s="34"/>
      <c r="V133" s="34"/>
      <c r="W133" s="34"/>
      <c r="X133" s="34"/>
      <c r="Y133" s="34"/>
      <c r="Z133" s="34"/>
      <c r="AA133" s="34"/>
    </row>
    <row r="134" spans="1:27" ht="15">
      <c r="A134" s="66" t="s">
        <v>217</v>
      </c>
      <c r="B134" s="66" t="s">
        <v>383</v>
      </c>
      <c r="C134" s="67" t="s">
        <v>4454</v>
      </c>
      <c r="D134" s="68">
        <v>5</v>
      </c>
      <c r="E134" s="69"/>
      <c r="F134" s="70">
        <v>20</v>
      </c>
      <c r="G134" s="67"/>
      <c r="H134" s="71"/>
      <c r="I134" s="72"/>
      <c r="J134" s="72"/>
      <c r="K134" s="34" t="s">
        <v>65</v>
      </c>
      <c r="L134" s="79">
        <v>134</v>
      </c>
      <c r="M134" s="79"/>
      <c r="N134" s="74"/>
      <c r="O134" s="81" t="s">
        <v>944</v>
      </c>
      <c r="P134">
        <v>1</v>
      </c>
      <c r="Q134" s="80" t="str">
        <f>REPLACE(INDEX(GroupVertices[Group],MATCH(Edges[[#This Row],[Vertex 1]],GroupVertices[Vertex],0)),1,1,"")</f>
        <v>4</v>
      </c>
      <c r="R134" s="80" t="str">
        <f>REPLACE(INDEX(GroupVertices[Group],MATCH(Edges[[#This Row],[Vertex 2]],GroupVertices[Vertex],0)),1,1,"")</f>
        <v>4</v>
      </c>
      <c r="S134" s="34"/>
      <c r="T134" s="34"/>
      <c r="U134" s="34"/>
      <c r="V134" s="34"/>
      <c r="W134" s="34"/>
      <c r="X134" s="34"/>
      <c r="Y134" s="34"/>
      <c r="Z134" s="34"/>
      <c r="AA134" s="34"/>
    </row>
    <row r="135" spans="1:27" ht="15">
      <c r="A135" s="66" t="s">
        <v>225</v>
      </c>
      <c r="B135" s="66" t="s">
        <v>383</v>
      </c>
      <c r="C135" s="67" t="s">
        <v>4454</v>
      </c>
      <c r="D135" s="68">
        <v>5</v>
      </c>
      <c r="E135" s="69"/>
      <c r="F135" s="70">
        <v>20</v>
      </c>
      <c r="G135" s="67"/>
      <c r="H135" s="71"/>
      <c r="I135" s="72"/>
      <c r="J135" s="72"/>
      <c r="K135" s="34" t="s">
        <v>65</v>
      </c>
      <c r="L135" s="79">
        <v>135</v>
      </c>
      <c r="M135" s="79"/>
      <c r="N135" s="74"/>
      <c r="O135" s="81" t="s">
        <v>944</v>
      </c>
      <c r="P135">
        <v>1</v>
      </c>
      <c r="Q135" s="80" t="str">
        <f>REPLACE(INDEX(GroupVertices[Group],MATCH(Edges[[#This Row],[Vertex 1]],GroupVertices[Vertex],0)),1,1,"")</f>
        <v>1</v>
      </c>
      <c r="R135" s="80" t="str">
        <f>REPLACE(INDEX(GroupVertices[Group],MATCH(Edges[[#This Row],[Vertex 2]],GroupVertices[Vertex],0)),1,1,"")</f>
        <v>4</v>
      </c>
      <c r="S135" s="34"/>
      <c r="T135" s="34"/>
      <c r="U135" s="34"/>
      <c r="V135" s="34"/>
      <c r="W135" s="34"/>
      <c r="X135" s="34"/>
      <c r="Y135" s="34"/>
      <c r="Z135" s="34"/>
      <c r="AA135" s="34"/>
    </row>
    <row r="136" spans="1:27" ht="15">
      <c r="A136" s="66" t="s">
        <v>225</v>
      </c>
      <c r="B136" s="66" t="s">
        <v>384</v>
      </c>
      <c r="C136" s="67" t="s">
        <v>4454</v>
      </c>
      <c r="D136" s="68">
        <v>5</v>
      </c>
      <c r="E136" s="69"/>
      <c r="F136" s="70">
        <v>20</v>
      </c>
      <c r="G136" s="67"/>
      <c r="H136" s="71"/>
      <c r="I136" s="72"/>
      <c r="J136" s="72"/>
      <c r="K136" s="34"/>
      <c r="L136" s="79">
        <v>136</v>
      </c>
      <c r="M136" s="79"/>
      <c r="N136" s="74"/>
      <c r="O136" s="81" t="s">
        <v>944</v>
      </c>
      <c r="P136">
        <v>1</v>
      </c>
      <c r="Q136" s="80" t="str">
        <f>REPLACE(INDEX(GroupVertices[Group],MATCH(Edges[[#This Row],[Vertex 1]],GroupVertices[Vertex],0)),1,1,"")</f>
        <v>1</v>
      </c>
      <c r="R136" s="80" t="e">
        <f>REPLACE(INDEX(GroupVertices[Group],MATCH(Edges[[#This Row],[Vertex 2]],GroupVertices[Vertex],0)),1,1,"")</f>
        <v>#N/A</v>
      </c>
      <c r="S136" s="34"/>
      <c r="T136" s="34"/>
      <c r="U136" s="34"/>
      <c r="V136" s="34"/>
      <c r="W136" s="34"/>
      <c r="X136" s="34"/>
      <c r="Y136" s="34"/>
      <c r="Z136" s="34"/>
      <c r="AA136" s="34"/>
    </row>
    <row r="137" spans="1:27" ht="15">
      <c r="A137" s="66" t="s">
        <v>225</v>
      </c>
      <c r="B137" s="66" t="s">
        <v>385</v>
      </c>
      <c r="C137" s="67" t="s">
        <v>4454</v>
      </c>
      <c r="D137" s="68">
        <v>5</v>
      </c>
      <c r="E137" s="69"/>
      <c r="F137" s="70">
        <v>20</v>
      </c>
      <c r="G137" s="67"/>
      <c r="H137" s="71"/>
      <c r="I137" s="72"/>
      <c r="J137" s="72"/>
      <c r="K137" s="34"/>
      <c r="L137" s="79">
        <v>137</v>
      </c>
      <c r="M137" s="79"/>
      <c r="N137" s="74"/>
      <c r="O137" s="81" t="s">
        <v>944</v>
      </c>
      <c r="P137">
        <v>1</v>
      </c>
      <c r="Q137" s="80" t="str">
        <f>REPLACE(INDEX(GroupVertices[Group],MATCH(Edges[[#This Row],[Vertex 1]],GroupVertices[Vertex],0)),1,1,"")</f>
        <v>1</v>
      </c>
      <c r="R137" s="80" t="e">
        <f>REPLACE(INDEX(GroupVertices[Group],MATCH(Edges[[#This Row],[Vertex 2]],GroupVertices[Vertex],0)),1,1,"")</f>
        <v>#N/A</v>
      </c>
      <c r="S137" s="34"/>
      <c r="T137" s="34"/>
      <c r="U137" s="34"/>
      <c r="V137" s="34"/>
      <c r="W137" s="34"/>
      <c r="X137" s="34"/>
      <c r="Y137" s="34"/>
      <c r="Z137" s="34"/>
      <c r="AA137" s="34"/>
    </row>
    <row r="138" spans="1:27" ht="15">
      <c r="A138" s="66" t="s">
        <v>225</v>
      </c>
      <c r="B138" s="66" t="s">
        <v>386</v>
      </c>
      <c r="C138" s="67" t="s">
        <v>4454</v>
      </c>
      <c r="D138" s="68">
        <v>5</v>
      </c>
      <c r="E138" s="69"/>
      <c r="F138" s="70">
        <v>20</v>
      </c>
      <c r="G138" s="67"/>
      <c r="H138" s="71"/>
      <c r="I138" s="72"/>
      <c r="J138" s="72"/>
      <c r="K138" s="34"/>
      <c r="L138" s="79">
        <v>138</v>
      </c>
      <c r="M138" s="79"/>
      <c r="N138" s="74"/>
      <c r="O138" s="81" t="s">
        <v>944</v>
      </c>
      <c r="P138">
        <v>1</v>
      </c>
      <c r="Q138" s="80" t="str">
        <f>REPLACE(INDEX(GroupVertices[Group],MATCH(Edges[[#This Row],[Vertex 1]],GroupVertices[Vertex],0)),1,1,"")</f>
        <v>1</v>
      </c>
      <c r="R138" s="80" t="e">
        <f>REPLACE(INDEX(GroupVertices[Group],MATCH(Edges[[#This Row],[Vertex 2]],GroupVertices[Vertex],0)),1,1,"")</f>
        <v>#N/A</v>
      </c>
      <c r="S138" s="34"/>
      <c r="T138" s="34"/>
      <c r="U138" s="34"/>
      <c r="V138" s="34"/>
      <c r="W138" s="34"/>
      <c r="X138" s="34"/>
      <c r="Y138" s="34"/>
      <c r="Z138" s="34"/>
      <c r="AA138" s="34"/>
    </row>
    <row r="139" spans="1:27" ht="15">
      <c r="A139" s="66" t="s">
        <v>225</v>
      </c>
      <c r="B139" s="66" t="s">
        <v>387</v>
      </c>
      <c r="C139" s="67" t="s">
        <v>4454</v>
      </c>
      <c r="D139" s="68">
        <v>5</v>
      </c>
      <c r="E139" s="69"/>
      <c r="F139" s="70">
        <v>20</v>
      </c>
      <c r="G139" s="67"/>
      <c r="H139" s="71"/>
      <c r="I139" s="72"/>
      <c r="J139" s="72"/>
      <c r="K139" s="34"/>
      <c r="L139" s="79">
        <v>139</v>
      </c>
      <c r="M139" s="79"/>
      <c r="N139" s="74"/>
      <c r="O139" s="81" t="s">
        <v>944</v>
      </c>
      <c r="P139">
        <v>1</v>
      </c>
      <c r="Q139" s="80" t="str">
        <f>REPLACE(INDEX(GroupVertices[Group],MATCH(Edges[[#This Row],[Vertex 1]],GroupVertices[Vertex],0)),1,1,"")</f>
        <v>1</v>
      </c>
      <c r="R139" s="80" t="e">
        <f>REPLACE(INDEX(GroupVertices[Group],MATCH(Edges[[#This Row],[Vertex 2]],GroupVertices[Vertex],0)),1,1,"")</f>
        <v>#N/A</v>
      </c>
      <c r="S139" s="34"/>
      <c r="T139" s="34"/>
      <c r="U139" s="34"/>
      <c r="V139" s="34"/>
      <c r="W139" s="34"/>
      <c r="X139" s="34"/>
      <c r="Y139" s="34"/>
      <c r="Z139" s="34"/>
      <c r="AA139" s="34"/>
    </row>
    <row r="140" spans="1:27" ht="15">
      <c r="A140" s="66" t="s">
        <v>225</v>
      </c>
      <c r="B140" s="66" t="s">
        <v>388</v>
      </c>
      <c r="C140" s="67" t="s">
        <v>4454</v>
      </c>
      <c r="D140" s="68">
        <v>5</v>
      </c>
      <c r="E140" s="69"/>
      <c r="F140" s="70">
        <v>20</v>
      </c>
      <c r="G140" s="67"/>
      <c r="H140" s="71"/>
      <c r="I140" s="72"/>
      <c r="J140" s="72"/>
      <c r="K140" s="34"/>
      <c r="L140" s="79">
        <v>140</v>
      </c>
      <c r="M140" s="79"/>
      <c r="N140" s="74"/>
      <c r="O140" s="81" t="s">
        <v>944</v>
      </c>
      <c r="P140">
        <v>1</v>
      </c>
      <c r="Q140" s="80" t="str">
        <f>REPLACE(INDEX(GroupVertices[Group],MATCH(Edges[[#This Row],[Vertex 1]],GroupVertices[Vertex],0)),1,1,"")</f>
        <v>1</v>
      </c>
      <c r="R140" s="80" t="e">
        <f>REPLACE(INDEX(GroupVertices[Group],MATCH(Edges[[#This Row],[Vertex 2]],GroupVertices[Vertex],0)),1,1,"")</f>
        <v>#N/A</v>
      </c>
      <c r="S140" s="34"/>
      <c r="T140" s="34"/>
      <c r="U140" s="34"/>
      <c r="V140" s="34"/>
      <c r="W140" s="34"/>
      <c r="X140" s="34"/>
      <c r="Y140" s="34"/>
      <c r="Z140" s="34"/>
      <c r="AA140" s="34"/>
    </row>
    <row r="141" spans="1:27" ht="15">
      <c r="A141" s="66" t="s">
        <v>225</v>
      </c>
      <c r="B141" s="66" t="s">
        <v>389</v>
      </c>
      <c r="C141" s="67" t="s">
        <v>4454</v>
      </c>
      <c r="D141" s="68">
        <v>5</v>
      </c>
      <c r="E141" s="69"/>
      <c r="F141" s="70">
        <v>20</v>
      </c>
      <c r="G141" s="67"/>
      <c r="H141" s="71"/>
      <c r="I141" s="72"/>
      <c r="J141" s="72"/>
      <c r="K141" s="34"/>
      <c r="L141" s="79">
        <v>141</v>
      </c>
      <c r="M141" s="79"/>
      <c r="N141" s="74"/>
      <c r="O141" s="81" t="s">
        <v>944</v>
      </c>
      <c r="P141">
        <v>1</v>
      </c>
      <c r="Q141" s="80" t="str">
        <f>REPLACE(INDEX(GroupVertices[Group],MATCH(Edges[[#This Row],[Vertex 1]],GroupVertices[Vertex],0)),1,1,"")</f>
        <v>1</v>
      </c>
      <c r="R141" s="80" t="e">
        <f>REPLACE(INDEX(GroupVertices[Group],MATCH(Edges[[#This Row],[Vertex 2]],GroupVertices[Vertex],0)),1,1,"")</f>
        <v>#N/A</v>
      </c>
      <c r="S141" s="34"/>
      <c r="T141" s="34"/>
      <c r="U141" s="34"/>
      <c r="V141" s="34"/>
      <c r="W141" s="34"/>
      <c r="X141" s="34"/>
      <c r="Y141" s="34"/>
      <c r="Z141" s="34"/>
      <c r="AA141" s="34"/>
    </row>
    <row r="142" spans="1:27" ht="15">
      <c r="A142" s="66" t="s">
        <v>225</v>
      </c>
      <c r="B142" s="66" t="s">
        <v>390</v>
      </c>
      <c r="C142" s="67" t="s">
        <v>4454</v>
      </c>
      <c r="D142" s="68">
        <v>5</v>
      </c>
      <c r="E142" s="69"/>
      <c r="F142" s="70">
        <v>20</v>
      </c>
      <c r="G142" s="67"/>
      <c r="H142" s="71"/>
      <c r="I142" s="72"/>
      <c r="J142" s="72"/>
      <c r="K142" s="34"/>
      <c r="L142" s="79">
        <v>142</v>
      </c>
      <c r="M142" s="79"/>
      <c r="N142" s="74"/>
      <c r="O142" s="81" t="s">
        <v>944</v>
      </c>
      <c r="P142">
        <v>1</v>
      </c>
      <c r="Q142" s="80" t="str">
        <f>REPLACE(INDEX(GroupVertices[Group],MATCH(Edges[[#This Row],[Vertex 1]],GroupVertices[Vertex],0)),1,1,"")</f>
        <v>1</v>
      </c>
      <c r="R142" s="80" t="e">
        <f>REPLACE(INDEX(GroupVertices[Group],MATCH(Edges[[#This Row],[Vertex 2]],GroupVertices[Vertex],0)),1,1,"")</f>
        <v>#N/A</v>
      </c>
      <c r="S142" s="34"/>
      <c r="T142" s="34"/>
      <c r="U142" s="34"/>
      <c r="V142" s="34"/>
      <c r="W142" s="34"/>
      <c r="X142" s="34"/>
      <c r="Y142" s="34"/>
      <c r="Z142" s="34"/>
      <c r="AA142" s="34"/>
    </row>
    <row r="143" spans="1:27" ht="15">
      <c r="A143" s="66" t="s">
        <v>225</v>
      </c>
      <c r="B143" s="66" t="s">
        <v>391</v>
      </c>
      <c r="C143" s="67" t="s">
        <v>4454</v>
      </c>
      <c r="D143" s="68">
        <v>5</v>
      </c>
      <c r="E143" s="69"/>
      <c r="F143" s="70">
        <v>20</v>
      </c>
      <c r="G143" s="67"/>
      <c r="H143" s="71"/>
      <c r="I143" s="72"/>
      <c r="J143" s="72"/>
      <c r="K143" s="34"/>
      <c r="L143" s="79">
        <v>143</v>
      </c>
      <c r="M143" s="79"/>
      <c r="N143" s="74"/>
      <c r="O143" s="81" t="s">
        <v>944</v>
      </c>
      <c r="P143">
        <v>1</v>
      </c>
      <c r="Q143" s="80" t="str">
        <f>REPLACE(INDEX(GroupVertices[Group],MATCH(Edges[[#This Row],[Vertex 1]],GroupVertices[Vertex],0)),1,1,"")</f>
        <v>1</v>
      </c>
      <c r="R143" s="80" t="e">
        <f>REPLACE(INDEX(GroupVertices[Group],MATCH(Edges[[#This Row],[Vertex 2]],GroupVertices[Vertex],0)),1,1,"")</f>
        <v>#N/A</v>
      </c>
      <c r="S143" s="34"/>
      <c r="T143" s="34"/>
      <c r="U143" s="34"/>
      <c r="V143" s="34"/>
      <c r="W143" s="34"/>
      <c r="X143" s="34"/>
      <c r="Y143" s="34"/>
      <c r="Z143" s="34"/>
      <c r="AA143" s="34"/>
    </row>
    <row r="144" spans="1:27" ht="15">
      <c r="A144" s="66" t="s">
        <v>225</v>
      </c>
      <c r="B144" s="66" t="s">
        <v>392</v>
      </c>
      <c r="C144" s="67" t="s">
        <v>4454</v>
      </c>
      <c r="D144" s="68">
        <v>5</v>
      </c>
      <c r="E144" s="69"/>
      <c r="F144" s="70">
        <v>20</v>
      </c>
      <c r="G144" s="67"/>
      <c r="H144" s="71"/>
      <c r="I144" s="72"/>
      <c r="J144" s="72"/>
      <c r="K144" s="34"/>
      <c r="L144" s="79">
        <v>144</v>
      </c>
      <c r="M144" s="79"/>
      <c r="N144" s="74"/>
      <c r="O144" s="81" t="s">
        <v>944</v>
      </c>
      <c r="P144">
        <v>1</v>
      </c>
      <c r="Q144" s="80" t="str">
        <f>REPLACE(INDEX(GroupVertices[Group],MATCH(Edges[[#This Row],[Vertex 1]],GroupVertices[Vertex],0)),1,1,"")</f>
        <v>1</v>
      </c>
      <c r="R144" s="80" t="e">
        <f>REPLACE(INDEX(GroupVertices[Group],MATCH(Edges[[#This Row],[Vertex 2]],GroupVertices[Vertex],0)),1,1,"")</f>
        <v>#N/A</v>
      </c>
      <c r="S144" s="34"/>
      <c r="T144" s="34"/>
      <c r="U144" s="34"/>
      <c r="V144" s="34"/>
      <c r="W144" s="34"/>
      <c r="X144" s="34"/>
      <c r="Y144" s="34"/>
      <c r="Z144" s="34"/>
      <c r="AA144" s="34"/>
    </row>
    <row r="145" spans="1:27" ht="15">
      <c r="A145" s="66" t="s">
        <v>225</v>
      </c>
      <c r="B145" s="66" t="s">
        <v>393</v>
      </c>
      <c r="C145" s="67" t="s">
        <v>4454</v>
      </c>
      <c r="D145" s="68">
        <v>5</v>
      </c>
      <c r="E145" s="69"/>
      <c r="F145" s="70">
        <v>20</v>
      </c>
      <c r="G145" s="67"/>
      <c r="H145" s="71"/>
      <c r="I145" s="72"/>
      <c r="J145" s="72"/>
      <c r="K145" s="34"/>
      <c r="L145" s="79">
        <v>145</v>
      </c>
      <c r="M145" s="79"/>
      <c r="N145" s="74"/>
      <c r="O145" s="81" t="s">
        <v>944</v>
      </c>
      <c r="P145">
        <v>1</v>
      </c>
      <c r="Q145" s="80" t="str">
        <f>REPLACE(INDEX(GroupVertices[Group],MATCH(Edges[[#This Row],[Vertex 1]],GroupVertices[Vertex],0)),1,1,"")</f>
        <v>1</v>
      </c>
      <c r="R145" s="80" t="e">
        <f>REPLACE(INDEX(GroupVertices[Group],MATCH(Edges[[#This Row],[Vertex 2]],GroupVertices[Vertex],0)),1,1,"")</f>
        <v>#N/A</v>
      </c>
      <c r="S145" s="34"/>
      <c r="T145" s="34"/>
      <c r="U145" s="34"/>
      <c r="V145" s="34"/>
      <c r="W145" s="34"/>
      <c r="X145" s="34"/>
      <c r="Y145" s="34"/>
      <c r="Z145" s="34"/>
      <c r="AA145" s="34"/>
    </row>
    <row r="146" spans="1:27" ht="15">
      <c r="A146" s="66" t="s">
        <v>225</v>
      </c>
      <c r="B146" s="66" t="s">
        <v>394</v>
      </c>
      <c r="C146" s="67" t="s">
        <v>4454</v>
      </c>
      <c r="D146" s="68">
        <v>5</v>
      </c>
      <c r="E146" s="69"/>
      <c r="F146" s="70">
        <v>20</v>
      </c>
      <c r="G146" s="67"/>
      <c r="H146" s="71"/>
      <c r="I146" s="72"/>
      <c r="J146" s="72"/>
      <c r="K146" s="34"/>
      <c r="L146" s="79">
        <v>146</v>
      </c>
      <c r="M146" s="79"/>
      <c r="N146" s="74"/>
      <c r="O146" s="81" t="s">
        <v>944</v>
      </c>
      <c r="P146">
        <v>1</v>
      </c>
      <c r="Q146" s="80" t="str">
        <f>REPLACE(INDEX(GroupVertices[Group],MATCH(Edges[[#This Row],[Vertex 1]],GroupVertices[Vertex],0)),1,1,"")</f>
        <v>1</v>
      </c>
      <c r="R146" s="80" t="e">
        <f>REPLACE(INDEX(GroupVertices[Group],MATCH(Edges[[#This Row],[Vertex 2]],GroupVertices[Vertex],0)),1,1,"")</f>
        <v>#N/A</v>
      </c>
      <c r="S146" s="34"/>
      <c r="T146" s="34"/>
      <c r="U146" s="34"/>
      <c r="V146" s="34"/>
      <c r="W146" s="34"/>
      <c r="X146" s="34"/>
      <c r="Y146" s="34"/>
      <c r="Z146" s="34"/>
      <c r="AA146" s="34"/>
    </row>
    <row r="147" spans="1:27" ht="15">
      <c r="A147" s="66" t="s">
        <v>225</v>
      </c>
      <c r="B147" s="66" t="s">
        <v>395</v>
      </c>
      <c r="C147" s="67" t="s">
        <v>4454</v>
      </c>
      <c r="D147" s="68">
        <v>5</v>
      </c>
      <c r="E147" s="69"/>
      <c r="F147" s="70">
        <v>20</v>
      </c>
      <c r="G147" s="67"/>
      <c r="H147" s="71"/>
      <c r="I147" s="72"/>
      <c r="J147" s="72"/>
      <c r="K147" s="34"/>
      <c r="L147" s="79">
        <v>147</v>
      </c>
      <c r="M147" s="79"/>
      <c r="N147" s="74"/>
      <c r="O147" s="81" t="s">
        <v>944</v>
      </c>
      <c r="P147">
        <v>1</v>
      </c>
      <c r="Q147" s="80" t="str">
        <f>REPLACE(INDEX(GroupVertices[Group],MATCH(Edges[[#This Row],[Vertex 1]],GroupVertices[Vertex],0)),1,1,"")</f>
        <v>1</v>
      </c>
      <c r="R147" s="80" t="e">
        <f>REPLACE(INDEX(GroupVertices[Group],MATCH(Edges[[#This Row],[Vertex 2]],GroupVertices[Vertex],0)),1,1,"")</f>
        <v>#N/A</v>
      </c>
      <c r="S147" s="34"/>
      <c r="T147" s="34"/>
      <c r="U147" s="34"/>
      <c r="V147" s="34"/>
      <c r="W147" s="34"/>
      <c r="X147" s="34"/>
      <c r="Y147" s="34"/>
      <c r="Z147" s="34"/>
      <c r="AA147" s="34"/>
    </row>
    <row r="148" spans="1:27" ht="15">
      <c r="A148" s="66" t="s">
        <v>225</v>
      </c>
      <c r="B148" s="66" t="s">
        <v>396</v>
      </c>
      <c r="C148" s="67" t="s">
        <v>4454</v>
      </c>
      <c r="D148" s="68">
        <v>5</v>
      </c>
      <c r="E148" s="69"/>
      <c r="F148" s="70">
        <v>20</v>
      </c>
      <c r="G148" s="67"/>
      <c r="H148" s="71"/>
      <c r="I148" s="72"/>
      <c r="J148" s="72"/>
      <c r="K148" s="34"/>
      <c r="L148" s="79">
        <v>148</v>
      </c>
      <c r="M148" s="79"/>
      <c r="N148" s="74"/>
      <c r="O148" s="81" t="s">
        <v>944</v>
      </c>
      <c r="P148">
        <v>1</v>
      </c>
      <c r="Q148" s="80" t="str">
        <f>REPLACE(INDEX(GroupVertices[Group],MATCH(Edges[[#This Row],[Vertex 1]],GroupVertices[Vertex],0)),1,1,"")</f>
        <v>1</v>
      </c>
      <c r="R148" s="80" t="e">
        <f>REPLACE(INDEX(GroupVertices[Group],MATCH(Edges[[#This Row],[Vertex 2]],GroupVertices[Vertex],0)),1,1,"")</f>
        <v>#N/A</v>
      </c>
      <c r="S148" s="34"/>
      <c r="T148" s="34"/>
      <c r="U148" s="34"/>
      <c r="V148" s="34"/>
      <c r="W148" s="34"/>
      <c r="X148" s="34"/>
      <c r="Y148" s="34"/>
      <c r="Z148" s="34"/>
      <c r="AA148" s="34"/>
    </row>
    <row r="149" spans="1:27" ht="15">
      <c r="A149" s="66" t="s">
        <v>225</v>
      </c>
      <c r="B149" s="66" t="s">
        <v>397</v>
      </c>
      <c r="C149" s="67" t="s">
        <v>4454</v>
      </c>
      <c r="D149" s="68">
        <v>5</v>
      </c>
      <c r="E149" s="69"/>
      <c r="F149" s="70">
        <v>20</v>
      </c>
      <c r="G149" s="67"/>
      <c r="H149" s="71"/>
      <c r="I149" s="72"/>
      <c r="J149" s="72"/>
      <c r="K149" s="34"/>
      <c r="L149" s="79">
        <v>149</v>
      </c>
      <c r="M149" s="79"/>
      <c r="N149" s="74"/>
      <c r="O149" s="81" t="s">
        <v>944</v>
      </c>
      <c r="P149">
        <v>1</v>
      </c>
      <c r="Q149" s="80" t="str">
        <f>REPLACE(INDEX(GroupVertices[Group],MATCH(Edges[[#This Row],[Vertex 1]],GroupVertices[Vertex],0)),1,1,"")</f>
        <v>1</v>
      </c>
      <c r="R149" s="80" t="e">
        <f>REPLACE(INDEX(GroupVertices[Group],MATCH(Edges[[#This Row],[Vertex 2]],GroupVertices[Vertex],0)),1,1,"")</f>
        <v>#N/A</v>
      </c>
      <c r="S149" s="34"/>
      <c r="T149" s="34"/>
      <c r="U149" s="34"/>
      <c r="V149" s="34"/>
      <c r="W149" s="34"/>
      <c r="X149" s="34"/>
      <c r="Y149" s="34"/>
      <c r="Z149" s="34"/>
      <c r="AA149" s="34"/>
    </row>
    <row r="150" spans="1:27" ht="15">
      <c r="A150" s="66" t="s">
        <v>225</v>
      </c>
      <c r="B150" s="66" t="s">
        <v>398</v>
      </c>
      <c r="C150" s="67" t="s">
        <v>4454</v>
      </c>
      <c r="D150" s="68">
        <v>5</v>
      </c>
      <c r="E150" s="69"/>
      <c r="F150" s="70">
        <v>20</v>
      </c>
      <c r="G150" s="67"/>
      <c r="H150" s="71"/>
      <c r="I150" s="72"/>
      <c r="J150" s="72"/>
      <c r="K150" s="34"/>
      <c r="L150" s="79">
        <v>150</v>
      </c>
      <c r="M150" s="79"/>
      <c r="N150" s="74"/>
      <c r="O150" s="81" t="s">
        <v>944</v>
      </c>
      <c r="P150">
        <v>1</v>
      </c>
      <c r="Q150" s="80" t="str">
        <f>REPLACE(INDEX(GroupVertices[Group],MATCH(Edges[[#This Row],[Vertex 1]],GroupVertices[Vertex],0)),1,1,"")</f>
        <v>1</v>
      </c>
      <c r="R150" s="80" t="e">
        <f>REPLACE(INDEX(GroupVertices[Group],MATCH(Edges[[#This Row],[Vertex 2]],GroupVertices[Vertex],0)),1,1,"")</f>
        <v>#N/A</v>
      </c>
      <c r="S150" s="34"/>
      <c r="T150" s="34"/>
      <c r="U150" s="34"/>
      <c r="V150" s="34"/>
      <c r="W150" s="34"/>
      <c r="X150" s="34"/>
      <c r="Y150" s="34"/>
      <c r="Z150" s="34"/>
      <c r="AA150" s="34"/>
    </row>
    <row r="151" spans="1:27" ht="15">
      <c r="A151" s="66" t="s">
        <v>225</v>
      </c>
      <c r="B151" s="66" t="s">
        <v>399</v>
      </c>
      <c r="C151" s="67" t="s">
        <v>4454</v>
      </c>
      <c r="D151" s="68">
        <v>5</v>
      </c>
      <c r="E151" s="69"/>
      <c r="F151" s="70">
        <v>20</v>
      </c>
      <c r="G151" s="67"/>
      <c r="H151" s="71"/>
      <c r="I151" s="72"/>
      <c r="J151" s="72"/>
      <c r="K151" s="34"/>
      <c r="L151" s="79">
        <v>151</v>
      </c>
      <c r="M151" s="79"/>
      <c r="N151" s="74"/>
      <c r="O151" s="81" t="s">
        <v>944</v>
      </c>
      <c r="P151">
        <v>1</v>
      </c>
      <c r="Q151" s="80" t="str">
        <f>REPLACE(INDEX(GroupVertices[Group],MATCH(Edges[[#This Row],[Vertex 1]],GroupVertices[Vertex],0)),1,1,"")</f>
        <v>1</v>
      </c>
      <c r="R151" s="80" t="e">
        <f>REPLACE(INDEX(GroupVertices[Group],MATCH(Edges[[#This Row],[Vertex 2]],GroupVertices[Vertex],0)),1,1,"")</f>
        <v>#N/A</v>
      </c>
      <c r="S151" s="34"/>
      <c r="T151" s="34"/>
      <c r="U151" s="34"/>
      <c r="V151" s="34"/>
      <c r="W151" s="34"/>
      <c r="X151" s="34"/>
      <c r="Y151" s="34"/>
      <c r="Z151" s="34"/>
      <c r="AA151" s="34"/>
    </row>
    <row r="152" spans="1:27" ht="15">
      <c r="A152" s="66" t="s">
        <v>225</v>
      </c>
      <c r="B152" s="66" t="s">
        <v>400</v>
      </c>
      <c r="C152" s="67" t="s">
        <v>4454</v>
      </c>
      <c r="D152" s="68">
        <v>5</v>
      </c>
      <c r="E152" s="69"/>
      <c r="F152" s="70">
        <v>20</v>
      </c>
      <c r="G152" s="67"/>
      <c r="H152" s="71"/>
      <c r="I152" s="72"/>
      <c r="J152" s="72"/>
      <c r="K152" s="34"/>
      <c r="L152" s="79">
        <v>152</v>
      </c>
      <c r="M152" s="79"/>
      <c r="N152" s="74"/>
      <c r="O152" s="81" t="s">
        <v>944</v>
      </c>
      <c r="P152">
        <v>1</v>
      </c>
      <c r="Q152" s="80" t="str">
        <f>REPLACE(INDEX(GroupVertices[Group],MATCH(Edges[[#This Row],[Vertex 1]],GroupVertices[Vertex],0)),1,1,"")</f>
        <v>1</v>
      </c>
      <c r="R152" s="80" t="e">
        <f>REPLACE(INDEX(GroupVertices[Group],MATCH(Edges[[#This Row],[Vertex 2]],GroupVertices[Vertex],0)),1,1,"")</f>
        <v>#N/A</v>
      </c>
      <c r="S152" s="34"/>
      <c r="T152" s="34"/>
      <c r="U152" s="34"/>
      <c r="V152" s="34"/>
      <c r="W152" s="34"/>
      <c r="X152" s="34"/>
      <c r="Y152" s="34"/>
      <c r="Z152" s="34"/>
      <c r="AA152" s="34"/>
    </row>
    <row r="153" spans="1:27" ht="15">
      <c r="A153" s="66" t="s">
        <v>225</v>
      </c>
      <c r="B153" s="66" t="s">
        <v>401</v>
      </c>
      <c r="C153" s="67" t="s">
        <v>4454</v>
      </c>
      <c r="D153" s="68">
        <v>5</v>
      </c>
      <c r="E153" s="69"/>
      <c r="F153" s="70">
        <v>20</v>
      </c>
      <c r="G153" s="67"/>
      <c r="H153" s="71"/>
      <c r="I153" s="72"/>
      <c r="J153" s="72"/>
      <c r="K153" s="34"/>
      <c r="L153" s="79">
        <v>153</v>
      </c>
      <c r="M153" s="79"/>
      <c r="N153" s="74"/>
      <c r="O153" s="81" t="s">
        <v>944</v>
      </c>
      <c r="P153">
        <v>1</v>
      </c>
      <c r="Q153" s="80" t="str">
        <f>REPLACE(INDEX(GroupVertices[Group],MATCH(Edges[[#This Row],[Vertex 1]],GroupVertices[Vertex],0)),1,1,"")</f>
        <v>1</v>
      </c>
      <c r="R153" s="80" t="e">
        <f>REPLACE(INDEX(GroupVertices[Group],MATCH(Edges[[#This Row],[Vertex 2]],GroupVertices[Vertex],0)),1,1,"")</f>
        <v>#N/A</v>
      </c>
      <c r="S153" s="34"/>
      <c r="T153" s="34"/>
      <c r="U153" s="34"/>
      <c r="V153" s="34"/>
      <c r="W153" s="34"/>
      <c r="X153" s="34"/>
      <c r="Y153" s="34"/>
      <c r="Z153" s="34"/>
      <c r="AA153" s="34"/>
    </row>
    <row r="154" spans="1:27" ht="15">
      <c r="A154" s="66" t="s">
        <v>225</v>
      </c>
      <c r="B154" s="66" t="s">
        <v>402</v>
      </c>
      <c r="C154" s="67" t="s">
        <v>4454</v>
      </c>
      <c r="D154" s="68">
        <v>5</v>
      </c>
      <c r="E154" s="69"/>
      <c r="F154" s="70">
        <v>20</v>
      </c>
      <c r="G154" s="67"/>
      <c r="H154" s="71"/>
      <c r="I154" s="72"/>
      <c r="J154" s="72"/>
      <c r="K154" s="34"/>
      <c r="L154" s="79">
        <v>154</v>
      </c>
      <c r="M154" s="79"/>
      <c r="N154" s="74"/>
      <c r="O154" s="81" t="s">
        <v>944</v>
      </c>
      <c r="P154">
        <v>1</v>
      </c>
      <c r="Q154" s="80" t="str">
        <f>REPLACE(INDEX(GroupVertices[Group],MATCH(Edges[[#This Row],[Vertex 1]],GroupVertices[Vertex],0)),1,1,"")</f>
        <v>1</v>
      </c>
      <c r="R154" s="80" t="e">
        <f>REPLACE(INDEX(GroupVertices[Group],MATCH(Edges[[#This Row],[Vertex 2]],GroupVertices[Vertex],0)),1,1,"")</f>
        <v>#N/A</v>
      </c>
      <c r="S154" s="34"/>
      <c r="T154" s="34"/>
      <c r="U154" s="34"/>
      <c r="V154" s="34"/>
      <c r="W154" s="34"/>
      <c r="X154" s="34"/>
      <c r="Y154" s="34"/>
      <c r="Z154" s="34"/>
      <c r="AA154" s="34"/>
    </row>
    <row r="155" spans="1:27" ht="15">
      <c r="A155" s="66" t="s">
        <v>225</v>
      </c>
      <c r="B155" s="66" t="s">
        <v>403</v>
      </c>
      <c r="C155" s="67" t="s">
        <v>4454</v>
      </c>
      <c r="D155" s="68">
        <v>5</v>
      </c>
      <c r="E155" s="69"/>
      <c r="F155" s="70">
        <v>20</v>
      </c>
      <c r="G155" s="67"/>
      <c r="H155" s="71"/>
      <c r="I155" s="72"/>
      <c r="J155" s="72"/>
      <c r="K155" s="34"/>
      <c r="L155" s="79">
        <v>155</v>
      </c>
      <c r="M155" s="79"/>
      <c r="N155" s="74"/>
      <c r="O155" s="81" t="s">
        <v>944</v>
      </c>
      <c r="P155">
        <v>1</v>
      </c>
      <c r="Q155" s="80" t="str">
        <f>REPLACE(INDEX(GroupVertices[Group],MATCH(Edges[[#This Row],[Vertex 1]],GroupVertices[Vertex],0)),1,1,"")</f>
        <v>1</v>
      </c>
      <c r="R155" s="80" t="e">
        <f>REPLACE(INDEX(GroupVertices[Group],MATCH(Edges[[#This Row],[Vertex 2]],GroupVertices[Vertex],0)),1,1,"")</f>
        <v>#N/A</v>
      </c>
      <c r="S155" s="34"/>
      <c r="T155" s="34"/>
      <c r="U155" s="34"/>
      <c r="V155" s="34"/>
      <c r="W155" s="34"/>
      <c r="X155" s="34"/>
      <c r="Y155" s="34"/>
      <c r="Z155" s="34"/>
      <c r="AA155" s="34"/>
    </row>
    <row r="156" spans="1:27" ht="15">
      <c r="A156" s="66" t="s">
        <v>225</v>
      </c>
      <c r="B156" s="66" t="s">
        <v>404</v>
      </c>
      <c r="C156" s="67" t="s">
        <v>4454</v>
      </c>
      <c r="D156" s="68">
        <v>5</v>
      </c>
      <c r="E156" s="69"/>
      <c r="F156" s="70">
        <v>20</v>
      </c>
      <c r="G156" s="67"/>
      <c r="H156" s="71"/>
      <c r="I156" s="72"/>
      <c r="J156" s="72"/>
      <c r="K156" s="34"/>
      <c r="L156" s="79">
        <v>156</v>
      </c>
      <c r="M156" s="79"/>
      <c r="N156" s="74"/>
      <c r="O156" s="81" t="s">
        <v>944</v>
      </c>
      <c r="P156">
        <v>1</v>
      </c>
      <c r="Q156" s="80" t="str">
        <f>REPLACE(INDEX(GroupVertices[Group],MATCH(Edges[[#This Row],[Vertex 1]],GroupVertices[Vertex],0)),1,1,"")</f>
        <v>1</v>
      </c>
      <c r="R156" s="80" t="e">
        <f>REPLACE(INDEX(GroupVertices[Group],MATCH(Edges[[#This Row],[Vertex 2]],GroupVertices[Vertex],0)),1,1,"")</f>
        <v>#N/A</v>
      </c>
      <c r="S156" s="34"/>
      <c r="T156" s="34"/>
      <c r="U156" s="34"/>
      <c r="V156" s="34"/>
      <c r="W156" s="34"/>
      <c r="X156" s="34"/>
      <c r="Y156" s="34"/>
      <c r="Z156" s="34"/>
      <c r="AA156" s="34"/>
    </row>
    <row r="157" spans="1:27" ht="15">
      <c r="A157" s="66" t="s">
        <v>225</v>
      </c>
      <c r="B157" s="66" t="s">
        <v>405</v>
      </c>
      <c r="C157" s="67" t="s">
        <v>4454</v>
      </c>
      <c r="D157" s="68">
        <v>5</v>
      </c>
      <c r="E157" s="69"/>
      <c r="F157" s="70">
        <v>20</v>
      </c>
      <c r="G157" s="67"/>
      <c r="H157" s="71"/>
      <c r="I157" s="72"/>
      <c r="J157" s="72"/>
      <c r="K157" s="34"/>
      <c r="L157" s="79">
        <v>157</v>
      </c>
      <c r="M157" s="79"/>
      <c r="N157" s="74"/>
      <c r="O157" s="81" t="s">
        <v>944</v>
      </c>
      <c r="P157">
        <v>1</v>
      </c>
      <c r="Q157" s="80" t="str">
        <f>REPLACE(INDEX(GroupVertices[Group],MATCH(Edges[[#This Row],[Vertex 1]],GroupVertices[Vertex],0)),1,1,"")</f>
        <v>1</v>
      </c>
      <c r="R157" s="80" t="e">
        <f>REPLACE(INDEX(GroupVertices[Group],MATCH(Edges[[#This Row],[Vertex 2]],GroupVertices[Vertex],0)),1,1,"")</f>
        <v>#N/A</v>
      </c>
      <c r="S157" s="34"/>
      <c r="T157" s="34"/>
      <c r="U157" s="34"/>
      <c r="V157" s="34"/>
      <c r="W157" s="34"/>
      <c r="X157" s="34"/>
      <c r="Y157" s="34"/>
      <c r="Z157" s="34"/>
      <c r="AA157" s="34"/>
    </row>
    <row r="158" spans="1:27" ht="15">
      <c r="A158" s="66" t="s">
        <v>225</v>
      </c>
      <c r="B158" s="66" t="s">
        <v>406</v>
      </c>
      <c r="C158" s="67" t="s">
        <v>4454</v>
      </c>
      <c r="D158" s="68">
        <v>5</v>
      </c>
      <c r="E158" s="69"/>
      <c r="F158" s="70">
        <v>20</v>
      </c>
      <c r="G158" s="67"/>
      <c r="H158" s="71"/>
      <c r="I158" s="72"/>
      <c r="J158" s="72"/>
      <c r="K158" s="34"/>
      <c r="L158" s="79">
        <v>158</v>
      </c>
      <c r="M158" s="79"/>
      <c r="N158" s="74"/>
      <c r="O158" s="81" t="s">
        <v>944</v>
      </c>
      <c r="P158">
        <v>1</v>
      </c>
      <c r="Q158" s="80" t="str">
        <f>REPLACE(INDEX(GroupVertices[Group],MATCH(Edges[[#This Row],[Vertex 1]],GroupVertices[Vertex],0)),1,1,"")</f>
        <v>1</v>
      </c>
      <c r="R158" s="80" t="e">
        <f>REPLACE(INDEX(GroupVertices[Group],MATCH(Edges[[#This Row],[Vertex 2]],GroupVertices[Vertex],0)),1,1,"")</f>
        <v>#N/A</v>
      </c>
      <c r="S158" s="34"/>
      <c r="T158" s="34"/>
      <c r="U158" s="34"/>
      <c r="V158" s="34"/>
      <c r="W158" s="34"/>
      <c r="X158" s="34"/>
      <c r="Y158" s="34"/>
      <c r="Z158" s="34"/>
      <c r="AA158" s="34"/>
    </row>
    <row r="159" spans="1:27" ht="15">
      <c r="A159" s="66" t="s">
        <v>218</v>
      </c>
      <c r="B159" s="66" t="s">
        <v>407</v>
      </c>
      <c r="C159" s="67" t="s">
        <v>4454</v>
      </c>
      <c r="D159" s="68">
        <v>5</v>
      </c>
      <c r="E159" s="69"/>
      <c r="F159" s="70">
        <v>20</v>
      </c>
      <c r="G159" s="67"/>
      <c r="H159" s="71"/>
      <c r="I159" s="72"/>
      <c r="J159" s="72"/>
      <c r="K159" s="34"/>
      <c r="L159" s="79">
        <v>159</v>
      </c>
      <c r="M159" s="79"/>
      <c r="N159" s="74"/>
      <c r="O159" s="81" t="s">
        <v>944</v>
      </c>
      <c r="P159">
        <v>1</v>
      </c>
      <c r="Q159" s="80" t="e">
        <f>REPLACE(INDEX(GroupVertices[Group],MATCH(Edges[[#This Row],[Vertex 1]],GroupVertices[Vertex],0)),1,1,"")</f>
        <v>#N/A</v>
      </c>
      <c r="R159" s="80" t="str">
        <f>REPLACE(INDEX(GroupVertices[Group],MATCH(Edges[[#This Row],[Vertex 2]],GroupVertices[Vertex],0)),1,1,"")</f>
        <v>1</v>
      </c>
      <c r="S159" s="34"/>
      <c r="T159" s="34"/>
      <c r="U159" s="34"/>
      <c r="V159" s="34"/>
      <c r="W159" s="34"/>
      <c r="X159" s="34"/>
      <c r="Y159" s="34"/>
      <c r="Z159" s="34"/>
      <c r="AA159" s="34"/>
    </row>
    <row r="160" spans="1:27" ht="15">
      <c r="A160" s="66" t="s">
        <v>225</v>
      </c>
      <c r="B160" s="66" t="s">
        <v>407</v>
      </c>
      <c r="C160" s="67" t="s">
        <v>4454</v>
      </c>
      <c r="D160" s="68">
        <v>5</v>
      </c>
      <c r="E160" s="69"/>
      <c r="F160" s="70">
        <v>20</v>
      </c>
      <c r="G160" s="67"/>
      <c r="H160" s="71"/>
      <c r="I160" s="72"/>
      <c r="J160" s="72"/>
      <c r="K160" s="34" t="s">
        <v>65</v>
      </c>
      <c r="L160" s="79">
        <v>160</v>
      </c>
      <c r="M160" s="79"/>
      <c r="N160" s="74"/>
      <c r="O160" s="81" t="s">
        <v>944</v>
      </c>
      <c r="P160">
        <v>1</v>
      </c>
      <c r="Q160" s="80" t="str">
        <f>REPLACE(INDEX(GroupVertices[Group],MATCH(Edges[[#This Row],[Vertex 1]],GroupVertices[Vertex],0)),1,1,"")</f>
        <v>1</v>
      </c>
      <c r="R160" s="80" t="str">
        <f>REPLACE(INDEX(GroupVertices[Group],MATCH(Edges[[#This Row],[Vertex 2]],GroupVertices[Vertex],0)),1,1,"")</f>
        <v>1</v>
      </c>
      <c r="S160" s="34"/>
      <c r="T160" s="34"/>
      <c r="U160" s="34"/>
      <c r="V160" s="34"/>
      <c r="W160" s="34"/>
      <c r="X160" s="34"/>
      <c r="Y160" s="34"/>
      <c r="Z160" s="34"/>
      <c r="AA160" s="34"/>
    </row>
    <row r="161" spans="1:27" ht="15">
      <c r="A161" s="66" t="s">
        <v>226</v>
      </c>
      <c r="B161" s="66" t="s">
        <v>408</v>
      </c>
      <c r="C161" s="67" t="s">
        <v>4454</v>
      </c>
      <c r="D161" s="68">
        <v>5</v>
      </c>
      <c r="E161" s="69"/>
      <c r="F161" s="70">
        <v>20</v>
      </c>
      <c r="G161" s="67"/>
      <c r="H161" s="71"/>
      <c r="I161" s="72"/>
      <c r="J161" s="72"/>
      <c r="K161" s="34"/>
      <c r="L161" s="79">
        <v>161</v>
      </c>
      <c r="M161" s="79"/>
      <c r="N161" s="74"/>
      <c r="O161" s="81" t="s">
        <v>944</v>
      </c>
      <c r="P161">
        <v>1</v>
      </c>
      <c r="Q161" s="80" t="str">
        <f>REPLACE(INDEX(GroupVertices[Group],MATCH(Edges[[#This Row],[Vertex 1]],GroupVertices[Vertex],0)),1,1,"")</f>
        <v>4</v>
      </c>
      <c r="R161" s="80" t="e">
        <f>REPLACE(INDEX(GroupVertices[Group],MATCH(Edges[[#This Row],[Vertex 2]],GroupVertices[Vertex],0)),1,1,"")</f>
        <v>#N/A</v>
      </c>
      <c r="S161" s="34"/>
      <c r="T161" s="34"/>
      <c r="U161" s="34"/>
      <c r="V161" s="34"/>
      <c r="W161" s="34"/>
      <c r="X161" s="34"/>
      <c r="Y161" s="34"/>
      <c r="Z161" s="34"/>
      <c r="AA161" s="34"/>
    </row>
    <row r="162" spans="1:27" ht="15">
      <c r="A162" s="66" t="s">
        <v>226</v>
      </c>
      <c r="B162" s="66" t="s">
        <v>409</v>
      </c>
      <c r="C162" s="67" t="s">
        <v>4454</v>
      </c>
      <c r="D162" s="68">
        <v>5</v>
      </c>
      <c r="E162" s="69"/>
      <c r="F162" s="70">
        <v>20</v>
      </c>
      <c r="G162" s="67"/>
      <c r="H162" s="71"/>
      <c r="I162" s="72"/>
      <c r="J162" s="72"/>
      <c r="K162" s="34"/>
      <c r="L162" s="79">
        <v>162</v>
      </c>
      <c r="M162" s="79"/>
      <c r="N162" s="74"/>
      <c r="O162" s="81" t="s">
        <v>944</v>
      </c>
      <c r="P162">
        <v>1</v>
      </c>
      <c r="Q162" s="80" t="str">
        <f>REPLACE(INDEX(GroupVertices[Group],MATCH(Edges[[#This Row],[Vertex 1]],GroupVertices[Vertex],0)),1,1,"")</f>
        <v>4</v>
      </c>
      <c r="R162" s="80" t="e">
        <f>REPLACE(INDEX(GroupVertices[Group],MATCH(Edges[[#This Row],[Vertex 2]],GroupVertices[Vertex],0)),1,1,"")</f>
        <v>#N/A</v>
      </c>
      <c r="S162" s="34"/>
      <c r="T162" s="34"/>
      <c r="U162" s="34"/>
      <c r="V162" s="34"/>
      <c r="W162" s="34"/>
      <c r="X162" s="34"/>
      <c r="Y162" s="34"/>
      <c r="Z162" s="34"/>
      <c r="AA162" s="34"/>
    </row>
    <row r="163" spans="1:27" ht="15">
      <c r="A163" s="66" t="s">
        <v>226</v>
      </c>
      <c r="B163" s="66" t="s">
        <v>410</v>
      </c>
      <c r="C163" s="67" t="s">
        <v>4454</v>
      </c>
      <c r="D163" s="68">
        <v>5</v>
      </c>
      <c r="E163" s="69"/>
      <c r="F163" s="70">
        <v>20</v>
      </c>
      <c r="G163" s="67"/>
      <c r="H163" s="71"/>
      <c r="I163" s="72"/>
      <c r="J163" s="72"/>
      <c r="K163" s="34"/>
      <c r="L163" s="79">
        <v>163</v>
      </c>
      <c r="M163" s="79"/>
      <c r="N163" s="74"/>
      <c r="O163" s="81" t="s">
        <v>944</v>
      </c>
      <c r="P163">
        <v>1</v>
      </c>
      <c r="Q163" s="80" t="str">
        <f>REPLACE(INDEX(GroupVertices[Group],MATCH(Edges[[#This Row],[Vertex 1]],GroupVertices[Vertex],0)),1,1,"")</f>
        <v>4</v>
      </c>
      <c r="R163" s="80" t="e">
        <f>REPLACE(INDEX(GroupVertices[Group],MATCH(Edges[[#This Row],[Vertex 2]],GroupVertices[Vertex],0)),1,1,"")</f>
        <v>#N/A</v>
      </c>
      <c r="S163" s="34"/>
      <c r="T163" s="34"/>
      <c r="U163" s="34"/>
      <c r="V163" s="34"/>
      <c r="W163" s="34"/>
      <c r="X163" s="34"/>
      <c r="Y163" s="34"/>
      <c r="Z163" s="34"/>
      <c r="AA163" s="34"/>
    </row>
    <row r="164" spans="1:27" ht="15">
      <c r="A164" s="66" t="s">
        <v>226</v>
      </c>
      <c r="B164" s="66" t="s">
        <v>411</v>
      </c>
      <c r="C164" s="67" t="s">
        <v>4454</v>
      </c>
      <c r="D164" s="68">
        <v>5</v>
      </c>
      <c r="E164" s="69"/>
      <c r="F164" s="70">
        <v>20</v>
      </c>
      <c r="G164" s="67"/>
      <c r="H164" s="71"/>
      <c r="I164" s="72"/>
      <c r="J164" s="72"/>
      <c r="K164" s="34"/>
      <c r="L164" s="79">
        <v>164</v>
      </c>
      <c r="M164" s="79"/>
      <c r="N164" s="74"/>
      <c r="O164" s="81" t="s">
        <v>944</v>
      </c>
      <c r="P164">
        <v>1</v>
      </c>
      <c r="Q164" s="80" t="str">
        <f>REPLACE(INDEX(GroupVertices[Group],MATCH(Edges[[#This Row],[Vertex 1]],GroupVertices[Vertex],0)),1,1,"")</f>
        <v>4</v>
      </c>
      <c r="R164" s="80" t="e">
        <f>REPLACE(INDEX(GroupVertices[Group],MATCH(Edges[[#This Row],[Vertex 2]],GroupVertices[Vertex],0)),1,1,"")</f>
        <v>#N/A</v>
      </c>
      <c r="S164" s="34"/>
      <c r="T164" s="34"/>
      <c r="U164" s="34"/>
      <c r="V164" s="34"/>
      <c r="W164" s="34"/>
      <c r="X164" s="34"/>
      <c r="Y164" s="34"/>
      <c r="Z164" s="34"/>
      <c r="AA164" s="34"/>
    </row>
    <row r="165" spans="1:27" ht="15">
      <c r="A165" s="66" t="s">
        <v>226</v>
      </c>
      <c r="B165" s="66" t="s">
        <v>412</v>
      </c>
      <c r="C165" s="67" t="s">
        <v>4454</v>
      </c>
      <c r="D165" s="68">
        <v>5</v>
      </c>
      <c r="E165" s="69"/>
      <c r="F165" s="70">
        <v>20</v>
      </c>
      <c r="G165" s="67"/>
      <c r="H165" s="71"/>
      <c r="I165" s="72"/>
      <c r="J165" s="72"/>
      <c r="K165" s="34"/>
      <c r="L165" s="79">
        <v>165</v>
      </c>
      <c r="M165" s="79"/>
      <c r="N165" s="74"/>
      <c r="O165" s="81" t="s">
        <v>944</v>
      </c>
      <c r="P165">
        <v>1</v>
      </c>
      <c r="Q165" s="80" t="str">
        <f>REPLACE(INDEX(GroupVertices[Group],MATCH(Edges[[#This Row],[Vertex 1]],GroupVertices[Vertex],0)),1,1,"")</f>
        <v>4</v>
      </c>
      <c r="R165" s="80" t="e">
        <f>REPLACE(INDEX(GroupVertices[Group],MATCH(Edges[[#This Row],[Vertex 2]],GroupVertices[Vertex],0)),1,1,"")</f>
        <v>#N/A</v>
      </c>
      <c r="S165" s="34"/>
      <c r="T165" s="34"/>
      <c r="U165" s="34"/>
      <c r="V165" s="34"/>
      <c r="W165" s="34"/>
      <c r="X165" s="34"/>
      <c r="Y165" s="34"/>
      <c r="Z165" s="34"/>
      <c r="AA165" s="34"/>
    </row>
    <row r="166" spans="1:27" ht="15">
      <c r="A166" s="66" t="s">
        <v>226</v>
      </c>
      <c r="B166" s="66" t="s">
        <v>413</v>
      </c>
      <c r="C166" s="67" t="s">
        <v>4454</v>
      </c>
      <c r="D166" s="68">
        <v>5</v>
      </c>
      <c r="E166" s="69"/>
      <c r="F166" s="70">
        <v>20</v>
      </c>
      <c r="G166" s="67"/>
      <c r="H166" s="71"/>
      <c r="I166" s="72"/>
      <c r="J166" s="72"/>
      <c r="K166" s="34"/>
      <c r="L166" s="79">
        <v>166</v>
      </c>
      <c r="M166" s="79"/>
      <c r="N166" s="74"/>
      <c r="O166" s="81" t="s">
        <v>944</v>
      </c>
      <c r="P166">
        <v>1</v>
      </c>
      <c r="Q166" s="80" t="str">
        <f>REPLACE(INDEX(GroupVertices[Group],MATCH(Edges[[#This Row],[Vertex 1]],GroupVertices[Vertex],0)),1,1,"")</f>
        <v>4</v>
      </c>
      <c r="R166" s="80" t="e">
        <f>REPLACE(INDEX(GroupVertices[Group],MATCH(Edges[[#This Row],[Vertex 2]],GroupVertices[Vertex],0)),1,1,"")</f>
        <v>#N/A</v>
      </c>
      <c r="S166" s="34"/>
      <c r="T166" s="34"/>
      <c r="U166" s="34"/>
      <c r="V166" s="34"/>
      <c r="W166" s="34"/>
      <c r="X166" s="34"/>
      <c r="Y166" s="34"/>
      <c r="Z166" s="34"/>
      <c r="AA166" s="34"/>
    </row>
    <row r="167" spans="1:27" ht="15">
      <c r="A167" s="66" t="s">
        <v>226</v>
      </c>
      <c r="B167" s="66" t="s">
        <v>414</v>
      </c>
      <c r="C167" s="67" t="s">
        <v>4454</v>
      </c>
      <c r="D167" s="68">
        <v>5</v>
      </c>
      <c r="E167" s="69"/>
      <c r="F167" s="70">
        <v>20</v>
      </c>
      <c r="G167" s="67"/>
      <c r="H167" s="71"/>
      <c r="I167" s="72"/>
      <c r="J167" s="72"/>
      <c r="K167" s="34"/>
      <c r="L167" s="79">
        <v>167</v>
      </c>
      <c r="M167" s="79"/>
      <c r="N167" s="74"/>
      <c r="O167" s="81" t="s">
        <v>944</v>
      </c>
      <c r="P167">
        <v>1</v>
      </c>
      <c r="Q167" s="80" t="str">
        <f>REPLACE(INDEX(GroupVertices[Group],MATCH(Edges[[#This Row],[Vertex 1]],GroupVertices[Vertex],0)),1,1,"")</f>
        <v>4</v>
      </c>
      <c r="R167" s="80" t="e">
        <f>REPLACE(INDEX(GroupVertices[Group],MATCH(Edges[[#This Row],[Vertex 2]],GroupVertices[Vertex],0)),1,1,"")</f>
        <v>#N/A</v>
      </c>
      <c r="S167" s="34"/>
      <c r="T167" s="34"/>
      <c r="U167" s="34"/>
      <c r="V167" s="34"/>
      <c r="W167" s="34"/>
      <c r="X167" s="34"/>
      <c r="Y167" s="34"/>
      <c r="Z167" s="34"/>
      <c r="AA167" s="34"/>
    </row>
    <row r="168" spans="1:27" ht="15">
      <c r="A168" s="66" t="s">
        <v>226</v>
      </c>
      <c r="B168" s="66" t="s">
        <v>415</v>
      </c>
      <c r="C168" s="67" t="s">
        <v>4454</v>
      </c>
      <c r="D168" s="68">
        <v>5</v>
      </c>
      <c r="E168" s="69"/>
      <c r="F168" s="70">
        <v>20</v>
      </c>
      <c r="G168" s="67"/>
      <c r="H168" s="71"/>
      <c r="I168" s="72"/>
      <c r="J168" s="72"/>
      <c r="K168" s="34"/>
      <c r="L168" s="79">
        <v>168</v>
      </c>
      <c r="M168" s="79"/>
      <c r="N168" s="74"/>
      <c r="O168" s="81" t="s">
        <v>944</v>
      </c>
      <c r="P168">
        <v>1</v>
      </c>
      <c r="Q168" s="80" t="str">
        <f>REPLACE(INDEX(GroupVertices[Group],MATCH(Edges[[#This Row],[Vertex 1]],GroupVertices[Vertex],0)),1,1,"")</f>
        <v>4</v>
      </c>
      <c r="R168" s="80" t="e">
        <f>REPLACE(INDEX(GroupVertices[Group],MATCH(Edges[[#This Row],[Vertex 2]],GroupVertices[Vertex],0)),1,1,"")</f>
        <v>#N/A</v>
      </c>
      <c r="S168" s="34"/>
      <c r="T168" s="34"/>
      <c r="U168" s="34"/>
      <c r="V168" s="34"/>
      <c r="W168" s="34"/>
      <c r="X168" s="34"/>
      <c r="Y168" s="34"/>
      <c r="Z168" s="34"/>
      <c r="AA168" s="34"/>
    </row>
    <row r="169" spans="1:27" ht="15">
      <c r="A169" s="66" t="s">
        <v>226</v>
      </c>
      <c r="B169" s="66" t="s">
        <v>416</v>
      </c>
      <c r="C169" s="67" t="s">
        <v>4454</v>
      </c>
      <c r="D169" s="68">
        <v>5</v>
      </c>
      <c r="E169" s="69"/>
      <c r="F169" s="70">
        <v>20</v>
      </c>
      <c r="G169" s="67"/>
      <c r="H169" s="71"/>
      <c r="I169" s="72"/>
      <c r="J169" s="72"/>
      <c r="K169" s="34"/>
      <c r="L169" s="79">
        <v>169</v>
      </c>
      <c r="M169" s="79"/>
      <c r="N169" s="74"/>
      <c r="O169" s="81" t="s">
        <v>944</v>
      </c>
      <c r="P169">
        <v>1</v>
      </c>
      <c r="Q169" s="80" t="str">
        <f>REPLACE(INDEX(GroupVertices[Group],MATCH(Edges[[#This Row],[Vertex 1]],GroupVertices[Vertex],0)),1,1,"")</f>
        <v>4</v>
      </c>
      <c r="R169" s="80" t="e">
        <f>REPLACE(INDEX(GroupVertices[Group],MATCH(Edges[[#This Row],[Vertex 2]],GroupVertices[Vertex],0)),1,1,"")</f>
        <v>#N/A</v>
      </c>
      <c r="S169" s="34"/>
      <c r="T169" s="34"/>
      <c r="U169" s="34"/>
      <c r="V169" s="34"/>
      <c r="W169" s="34"/>
      <c r="X169" s="34"/>
      <c r="Y169" s="34"/>
      <c r="Z169" s="34"/>
      <c r="AA169" s="34"/>
    </row>
    <row r="170" spans="1:27" ht="15">
      <c r="A170" s="66" t="s">
        <v>226</v>
      </c>
      <c r="B170" s="66" t="s">
        <v>417</v>
      </c>
      <c r="C170" s="67" t="s">
        <v>4454</v>
      </c>
      <c r="D170" s="68">
        <v>5</v>
      </c>
      <c r="E170" s="69"/>
      <c r="F170" s="70">
        <v>20</v>
      </c>
      <c r="G170" s="67"/>
      <c r="H170" s="71"/>
      <c r="I170" s="72"/>
      <c r="J170" s="72"/>
      <c r="K170" s="34"/>
      <c r="L170" s="79">
        <v>170</v>
      </c>
      <c r="M170" s="79"/>
      <c r="N170" s="74"/>
      <c r="O170" s="81" t="s">
        <v>944</v>
      </c>
      <c r="P170">
        <v>1</v>
      </c>
      <c r="Q170" s="80" t="str">
        <f>REPLACE(INDEX(GroupVertices[Group],MATCH(Edges[[#This Row],[Vertex 1]],GroupVertices[Vertex],0)),1,1,"")</f>
        <v>4</v>
      </c>
      <c r="R170" s="80" t="e">
        <f>REPLACE(INDEX(GroupVertices[Group],MATCH(Edges[[#This Row],[Vertex 2]],GroupVertices[Vertex],0)),1,1,"")</f>
        <v>#N/A</v>
      </c>
      <c r="S170" s="34"/>
      <c r="T170" s="34"/>
      <c r="U170" s="34"/>
      <c r="V170" s="34"/>
      <c r="W170" s="34"/>
      <c r="X170" s="34"/>
      <c r="Y170" s="34"/>
      <c r="Z170" s="34"/>
      <c r="AA170" s="34"/>
    </row>
    <row r="171" spans="1:27" ht="15">
      <c r="A171" s="66" t="s">
        <v>226</v>
      </c>
      <c r="B171" s="66" t="s">
        <v>418</v>
      </c>
      <c r="C171" s="67" t="s">
        <v>4454</v>
      </c>
      <c r="D171" s="68">
        <v>5</v>
      </c>
      <c r="E171" s="69"/>
      <c r="F171" s="70">
        <v>20</v>
      </c>
      <c r="G171" s="67"/>
      <c r="H171" s="71"/>
      <c r="I171" s="72"/>
      <c r="J171" s="72"/>
      <c r="K171" s="34"/>
      <c r="L171" s="79">
        <v>171</v>
      </c>
      <c r="M171" s="79"/>
      <c r="N171" s="74"/>
      <c r="O171" s="81" t="s">
        <v>944</v>
      </c>
      <c r="P171">
        <v>1</v>
      </c>
      <c r="Q171" s="80" t="str">
        <f>REPLACE(INDEX(GroupVertices[Group],MATCH(Edges[[#This Row],[Vertex 1]],GroupVertices[Vertex],0)),1,1,"")</f>
        <v>4</v>
      </c>
      <c r="R171" s="80" t="e">
        <f>REPLACE(INDEX(GroupVertices[Group],MATCH(Edges[[#This Row],[Vertex 2]],GroupVertices[Vertex],0)),1,1,"")</f>
        <v>#N/A</v>
      </c>
      <c r="S171" s="34"/>
      <c r="T171" s="34"/>
      <c r="U171" s="34"/>
      <c r="V171" s="34"/>
      <c r="W171" s="34"/>
      <c r="X171" s="34"/>
      <c r="Y171" s="34"/>
      <c r="Z171" s="34"/>
      <c r="AA171" s="34"/>
    </row>
    <row r="172" spans="1:27" ht="15">
      <c r="A172" s="66" t="s">
        <v>226</v>
      </c>
      <c r="B172" s="66" t="s">
        <v>419</v>
      </c>
      <c r="C172" s="67" t="s">
        <v>4454</v>
      </c>
      <c r="D172" s="68">
        <v>5</v>
      </c>
      <c r="E172" s="69"/>
      <c r="F172" s="70">
        <v>20</v>
      </c>
      <c r="G172" s="67"/>
      <c r="H172" s="71"/>
      <c r="I172" s="72"/>
      <c r="J172" s="72"/>
      <c r="K172" s="34"/>
      <c r="L172" s="79">
        <v>172</v>
      </c>
      <c r="M172" s="79"/>
      <c r="N172" s="74"/>
      <c r="O172" s="81" t="s">
        <v>944</v>
      </c>
      <c r="P172">
        <v>1</v>
      </c>
      <c r="Q172" s="80" t="str">
        <f>REPLACE(INDEX(GroupVertices[Group],MATCH(Edges[[#This Row],[Vertex 1]],GroupVertices[Vertex],0)),1,1,"")</f>
        <v>4</v>
      </c>
      <c r="R172" s="80" t="e">
        <f>REPLACE(INDEX(GroupVertices[Group],MATCH(Edges[[#This Row],[Vertex 2]],GroupVertices[Vertex],0)),1,1,"")</f>
        <v>#N/A</v>
      </c>
      <c r="S172" s="34"/>
      <c r="T172" s="34"/>
      <c r="U172" s="34"/>
      <c r="V172" s="34"/>
      <c r="W172" s="34"/>
      <c r="X172" s="34"/>
      <c r="Y172" s="34"/>
      <c r="Z172" s="34"/>
      <c r="AA172" s="34"/>
    </row>
    <row r="173" spans="1:27" ht="15">
      <c r="A173" s="66" t="s">
        <v>226</v>
      </c>
      <c r="B173" s="66" t="s">
        <v>420</v>
      </c>
      <c r="C173" s="67" t="s">
        <v>4454</v>
      </c>
      <c r="D173" s="68">
        <v>5</v>
      </c>
      <c r="E173" s="69"/>
      <c r="F173" s="70">
        <v>20</v>
      </c>
      <c r="G173" s="67"/>
      <c r="H173" s="71"/>
      <c r="I173" s="72"/>
      <c r="J173" s="72"/>
      <c r="K173" s="34"/>
      <c r="L173" s="79">
        <v>173</v>
      </c>
      <c r="M173" s="79"/>
      <c r="N173" s="74"/>
      <c r="O173" s="81" t="s">
        <v>944</v>
      </c>
      <c r="P173">
        <v>1</v>
      </c>
      <c r="Q173" s="80" t="str">
        <f>REPLACE(INDEX(GroupVertices[Group],MATCH(Edges[[#This Row],[Vertex 1]],GroupVertices[Vertex],0)),1,1,"")</f>
        <v>4</v>
      </c>
      <c r="R173" s="80" t="e">
        <f>REPLACE(INDEX(GroupVertices[Group],MATCH(Edges[[#This Row],[Vertex 2]],GroupVertices[Vertex],0)),1,1,"")</f>
        <v>#N/A</v>
      </c>
      <c r="S173" s="34"/>
      <c r="T173" s="34"/>
      <c r="U173" s="34"/>
      <c r="V173" s="34"/>
      <c r="W173" s="34"/>
      <c r="X173" s="34"/>
      <c r="Y173" s="34"/>
      <c r="Z173" s="34"/>
      <c r="AA173" s="34"/>
    </row>
    <row r="174" spans="1:27" ht="15">
      <c r="A174" s="66" t="s">
        <v>226</v>
      </c>
      <c r="B174" s="66" t="s">
        <v>421</v>
      </c>
      <c r="C174" s="67" t="s">
        <v>4454</v>
      </c>
      <c r="D174" s="68">
        <v>5</v>
      </c>
      <c r="E174" s="69"/>
      <c r="F174" s="70">
        <v>20</v>
      </c>
      <c r="G174" s="67"/>
      <c r="H174" s="71"/>
      <c r="I174" s="72"/>
      <c r="J174" s="72"/>
      <c r="K174" s="34"/>
      <c r="L174" s="79">
        <v>174</v>
      </c>
      <c r="M174" s="79"/>
      <c r="N174" s="74"/>
      <c r="O174" s="81" t="s">
        <v>944</v>
      </c>
      <c r="P174">
        <v>1</v>
      </c>
      <c r="Q174" s="80" t="str">
        <f>REPLACE(INDEX(GroupVertices[Group],MATCH(Edges[[#This Row],[Vertex 1]],GroupVertices[Vertex],0)),1,1,"")</f>
        <v>4</v>
      </c>
      <c r="R174" s="80" t="e">
        <f>REPLACE(INDEX(GroupVertices[Group],MATCH(Edges[[#This Row],[Vertex 2]],GroupVertices[Vertex],0)),1,1,"")</f>
        <v>#N/A</v>
      </c>
      <c r="S174" s="34"/>
      <c r="T174" s="34"/>
      <c r="U174" s="34"/>
      <c r="V174" s="34"/>
      <c r="W174" s="34"/>
      <c r="X174" s="34"/>
      <c r="Y174" s="34"/>
      <c r="Z174" s="34"/>
      <c r="AA174" s="34"/>
    </row>
    <row r="175" spans="1:27" ht="15">
      <c r="A175" s="66" t="s">
        <v>226</v>
      </c>
      <c r="B175" s="66" t="s">
        <v>422</v>
      </c>
      <c r="C175" s="67" t="s">
        <v>4454</v>
      </c>
      <c r="D175" s="68">
        <v>5</v>
      </c>
      <c r="E175" s="69"/>
      <c r="F175" s="70">
        <v>20</v>
      </c>
      <c r="G175" s="67"/>
      <c r="H175" s="71"/>
      <c r="I175" s="72"/>
      <c r="J175" s="72"/>
      <c r="K175" s="34"/>
      <c r="L175" s="79">
        <v>175</v>
      </c>
      <c r="M175" s="79"/>
      <c r="N175" s="74"/>
      <c r="O175" s="81" t="s">
        <v>944</v>
      </c>
      <c r="P175">
        <v>1</v>
      </c>
      <c r="Q175" s="80" t="str">
        <f>REPLACE(INDEX(GroupVertices[Group],MATCH(Edges[[#This Row],[Vertex 1]],GroupVertices[Vertex],0)),1,1,"")</f>
        <v>4</v>
      </c>
      <c r="R175" s="80" t="e">
        <f>REPLACE(INDEX(GroupVertices[Group],MATCH(Edges[[#This Row],[Vertex 2]],GroupVertices[Vertex],0)),1,1,"")</f>
        <v>#N/A</v>
      </c>
      <c r="S175" s="34"/>
      <c r="T175" s="34"/>
      <c r="U175" s="34"/>
      <c r="V175" s="34"/>
      <c r="W175" s="34"/>
      <c r="X175" s="34"/>
      <c r="Y175" s="34"/>
      <c r="Z175" s="34"/>
      <c r="AA175" s="34"/>
    </row>
    <row r="176" spans="1:27" ht="15">
      <c r="A176" s="66" t="s">
        <v>226</v>
      </c>
      <c r="B176" s="66" t="s">
        <v>423</v>
      </c>
      <c r="C176" s="67" t="s">
        <v>4454</v>
      </c>
      <c r="D176" s="68">
        <v>5</v>
      </c>
      <c r="E176" s="69"/>
      <c r="F176" s="70">
        <v>20</v>
      </c>
      <c r="G176" s="67"/>
      <c r="H176" s="71"/>
      <c r="I176" s="72"/>
      <c r="J176" s="72"/>
      <c r="K176" s="34"/>
      <c r="L176" s="79">
        <v>176</v>
      </c>
      <c r="M176" s="79"/>
      <c r="N176" s="74"/>
      <c r="O176" s="81" t="s">
        <v>944</v>
      </c>
      <c r="P176">
        <v>1</v>
      </c>
      <c r="Q176" s="80" t="str">
        <f>REPLACE(INDEX(GroupVertices[Group],MATCH(Edges[[#This Row],[Vertex 1]],GroupVertices[Vertex],0)),1,1,"")</f>
        <v>4</v>
      </c>
      <c r="R176" s="80" t="e">
        <f>REPLACE(INDEX(GroupVertices[Group],MATCH(Edges[[#This Row],[Vertex 2]],GroupVertices[Vertex],0)),1,1,"")</f>
        <v>#N/A</v>
      </c>
      <c r="S176" s="34"/>
      <c r="T176" s="34"/>
      <c r="U176" s="34"/>
      <c r="V176" s="34"/>
      <c r="W176" s="34"/>
      <c r="X176" s="34"/>
      <c r="Y176" s="34"/>
      <c r="Z176" s="34"/>
      <c r="AA176" s="34"/>
    </row>
    <row r="177" spans="1:27" ht="15">
      <c r="A177" s="66" t="s">
        <v>226</v>
      </c>
      <c r="B177" s="66" t="s">
        <v>424</v>
      </c>
      <c r="C177" s="67" t="s">
        <v>4454</v>
      </c>
      <c r="D177" s="68">
        <v>5</v>
      </c>
      <c r="E177" s="69"/>
      <c r="F177" s="70">
        <v>20</v>
      </c>
      <c r="G177" s="67"/>
      <c r="H177" s="71"/>
      <c r="I177" s="72"/>
      <c r="J177" s="72"/>
      <c r="K177" s="34"/>
      <c r="L177" s="79">
        <v>177</v>
      </c>
      <c r="M177" s="79"/>
      <c r="N177" s="74"/>
      <c r="O177" s="81" t="s">
        <v>944</v>
      </c>
      <c r="P177">
        <v>1</v>
      </c>
      <c r="Q177" s="80" t="str">
        <f>REPLACE(INDEX(GroupVertices[Group],MATCH(Edges[[#This Row],[Vertex 1]],GroupVertices[Vertex],0)),1,1,"")</f>
        <v>4</v>
      </c>
      <c r="R177" s="80" t="e">
        <f>REPLACE(INDEX(GroupVertices[Group],MATCH(Edges[[#This Row],[Vertex 2]],GroupVertices[Vertex],0)),1,1,"")</f>
        <v>#N/A</v>
      </c>
      <c r="S177" s="34"/>
      <c r="T177" s="34"/>
      <c r="U177" s="34"/>
      <c r="V177" s="34"/>
      <c r="W177" s="34"/>
      <c r="X177" s="34"/>
      <c r="Y177" s="34"/>
      <c r="Z177" s="34"/>
      <c r="AA177" s="34"/>
    </row>
    <row r="178" spans="1:27" ht="15">
      <c r="A178" s="66" t="s">
        <v>226</v>
      </c>
      <c r="B178" s="66" t="s">
        <v>425</v>
      </c>
      <c r="C178" s="67" t="s">
        <v>4454</v>
      </c>
      <c r="D178" s="68">
        <v>5</v>
      </c>
      <c r="E178" s="69"/>
      <c r="F178" s="70">
        <v>20</v>
      </c>
      <c r="G178" s="67"/>
      <c r="H178" s="71"/>
      <c r="I178" s="72"/>
      <c r="J178" s="72"/>
      <c r="K178" s="34"/>
      <c r="L178" s="79">
        <v>178</v>
      </c>
      <c r="M178" s="79"/>
      <c r="N178" s="74"/>
      <c r="O178" s="81" t="s">
        <v>944</v>
      </c>
      <c r="P178">
        <v>1</v>
      </c>
      <c r="Q178" s="80" t="str">
        <f>REPLACE(INDEX(GroupVertices[Group],MATCH(Edges[[#This Row],[Vertex 1]],GroupVertices[Vertex],0)),1,1,"")</f>
        <v>4</v>
      </c>
      <c r="R178" s="80" t="e">
        <f>REPLACE(INDEX(GroupVertices[Group],MATCH(Edges[[#This Row],[Vertex 2]],GroupVertices[Vertex],0)),1,1,"")</f>
        <v>#N/A</v>
      </c>
      <c r="S178" s="34"/>
      <c r="T178" s="34"/>
      <c r="U178" s="34"/>
      <c r="V178" s="34"/>
      <c r="W178" s="34"/>
      <c r="X178" s="34"/>
      <c r="Y178" s="34"/>
      <c r="Z178" s="34"/>
      <c r="AA178" s="34"/>
    </row>
    <row r="179" spans="1:27" ht="15">
      <c r="A179" s="66" t="s">
        <v>226</v>
      </c>
      <c r="B179" s="66" t="s">
        <v>426</v>
      </c>
      <c r="C179" s="67" t="s">
        <v>4454</v>
      </c>
      <c r="D179" s="68">
        <v>5</v>
      </c>
      <c r="E179" s="69"/>
      <c r="F179" s="70">
        <v>20</v>
      </c>
      <c r="G179" s="67"/>
      <c r="H179" s="71"/>
      <c r="I179" s="72"/>
      <c r="J179" s="72"/>
      <c r="K179" s="34"/>
      <c r="L179" s="79">
        <v>179</v>
      </c>
      <c r="M179" s="79"/>
      <c r="N179" s="74"/>
      <c r="O179" s="81" t="s">
        <v>944</v>
      </c>
      <c r="P179">
        <v>1</v>
      </c>
      <c r="Q179" s="80" t="str">
        <f>REPLACE(INDEX(GroupVertices[Group],MATCH(Edges[[#This Row],[Vertex 1]],GroupVertices[Vertex],0)),1,1,"")</f>
        <v>4</v>
      </c>
      <c r="R179" s="80" t="e">
        <f>REPLACE(INDEX(GroupVertices[Group],MATCH(Edges[[#This Row],[Vertex 2]],GroupVertices[Vertex],0)),1,1,"")</f>
        <v>#N/A</v>
      </c>
      <c r="S179" s="34"/>
      <c r="T179" s="34"/>
      <c r="U179" s="34"/>
      <c r="V179" s="34"/>
      <c r="W179" s="34"/>
      <c r="X179" s="34"/>
      <c r="Y179" s="34"/>
      <c r="Z179" s="34"/>
      <c r="AA179" s="34"/>
    </row>
    <row r="180" spans="1:27" ht="15">
      <c r="A180" s="66" t="s">
        <v>226</v>
      </c>
      <c r="B180" s="66" t="s">
        <v>427</v>
      </c>
      <c r="C180" s="67" t="s">
        <v>4454</v>
      </c>
      <c r="D180" s="68">
        <v>5</v>
      </c>
      <c r="E180" s="69"/>
      <c r="F180" s="70">
        <v>20</v>
      </c>
      <c r="G180" s="67"/>
      <c r="H180" s="71"/>
      <c r="I180" s="72"/>
      <c r="J180" s="72"/>
      <c r="K180" s="34"/>
      <c r="L180" s="79">
        <v>180</v>
      </c>
      <c r="M180" s="79"/>
      <c r="N180" s="74"/>
      <c r="O180" s="81" t="s">
        <v>944</v>
      </c>
      <c r="P180">
        <v>1</v>
      </c>
      <c r="Q180" s="80" t="str">
        <f>REPLACE(INDEX(GroupVertices[Group],MATCH(Edges[[#This Row],[Vertex 1]],GroupVertices[Vertex],0)),1,1,"")</f>
        <v>4</v>
      </c>
      <c r="R180" s="80" t="e">
        <f>REPLACE(INDEX(GroupVertices[Group],MATCH(Edges[[#This Row],[Vertex 2]],GroupVertices[Vertex],0)),1,1,"")</f>
        <v>#N/A</v>
      </c>
      <c r="S180" s="34"/>
      <c r="T180" s="34"/>
      <c r="U180" s="34"/>
      <c r="V180" s="34"/>
      <c r="W180" s="34"/>
      <c r="X180" s="34"/>
      <c r="Y180" s="34"/>
      <c r="Z180" s="34"/>
      <c r="AA180" s="34"/>
    </row>
    <row r="181" spans="1:27" ht="15">
      <c r="A181" s="66" t="s">
        <v>226</v>
      </c>
      <c r="B181" s="66" t="s">
        <v>428</v>
      </c>
      <c r="C181" s="67" t="s">
        <v>4454</v>
      </c>
      <c r="D181" s="68">
        <v>5</v>
      </c>
      <c r="E181" s="69"/>
      <c r="F181" s="70">
        <v>20</v>
      </c>
      <c r="G181" s="67"/>
      <c r="H181" s="71"/>
      <c r="I181" s="72"/>
      <c r="J181" s="72"/>
      <c r="K181" s="34"/>
      <c r="L181" s="79">
        <v>181</v>
      </c>
      <c r="M181" s="79"/>
      <c r="N181" s="74"/>
      <c r="O181" s="81" t="s">
        <v>944</v>
      </c>
      <c r="P181">
        <v>1</v>
      </c>
      <c r="Q181" s="80" t="str">
        <f>REPLACE(INDEX(GroupVertices[Group],MATCH(Edges[[#This Row],[Vertex 1]],GroupVertices[Vertex],0)),1,1,"")</f>
        <v>4</v>
      </c>
      <c r="R181" s="80" t="e">
        <f>REPLACE(INDEX(GroupVertices[Group],MATCH(Edges[[#This Row],[Vertex 2]],GroupVertices[Vertex],0)),1,1,"")</f>
        <v>#N/A</v>
      </c>
      <c r="S181" s="34"/>
      <c r="T181" s="34"/>
      <c r="U181" s="34"/>
      <c r="V181" s="34"/>
      <c r="W181" s="34"/>
      <c r="X181" s="34"/>
      <c r="Y181" s="34"/>
      <c r="Z181" s="34"/>
      <c r="AA181" s="34"/>
    </row>
    <row r="182" spans="1:27" ht="15">
      <c r="A182" s="66" t="s">
        <v>226</v>
      </c>
      <c r="B182" s="66" t="s">
        <v>429</v>
      </c>
      <c r="C182" s="67" t="s">
        <v>4454</v>
      </c>
      <c r="D182" s="68">
        <v>5</v>
      </c>
      <c r="E182" s="69"/>
      <c r="F182" s="70">
        <v>20</v>
      </c>
      <c r="G182" s="67"/>
      <c r="H182" s="71"/>
      <c r="I182" s="72"/>
      <c r="J182" s="72"/>
      <c r="K182" s="34"/>
      <c r="L182" s="79">
        <v>182</v>
      </c>
      <c r="M182" s="79"/>
      <c r="N182" s="74"/>
      <c r="O182" s="81" t="s">
        <v>944</v>
      </c>
      <c r="P182">
        <v>1</v>
      </c>
      <c r="Q182" s="80" t="str">
        <f>REPLACE(INDEX(GroupVertices[Group],MATCH(Edges[[#This Row],[Vertex 1]],GroupVertices[Vertex],0)),1,1,"")</f>
        <v>4</v>
      </c>
      <c r="R182" s="80" t="e">
        <f>REPLACE(INDEX(GroupVertices[Group],MATCH(Edges[[#This Row],[Vertex 2]],GroupVertices[Vertex],0)),1,1,"")</f>
        <v>#N/A</v>
      </c>
      <c r="S182" s="34"/>
      <c r="T182" s="34"/>
      <c r="U182" s="34"/>
      <c r="V182" s="34"/>
      <c r="W182" s="34"/>
      <c r="X182" s="34"/>
      <c r="Y182" s="34"/>
      <c r="Z182" s="34"/>
      <c r="AA182" s="34"/>
    </row>
    <row r="183" spans="1:27" ht="15">
      <c r="A183" s="66" t="s">
        <v>226</v>
      </c>
      <c r="B183" s="66" t="s">
        <v>430</v>
      </c>
      <c r="C183" s="67" t="s">
        <v>4454</v>
      </c>
      <c r="D183" s="68">
        <v>5</v>
      </c>
      <c r="E183" s="69"/>
      <c r="F183" s="70">
        <v>20</v>
      </c>
      <c r="G183" s="67"/>
      <c r="H183" s="71"/>
      <c r="I183" s="72"/>
      <c r="J183" s="72"/>
      <c r="K183" s="34"/>
      <c r="L183" s="79">
        <v>183</v>
      </c>
      <c r="M183" s="79"/>
      <c r="N183" s="74"/>
      <c r="O183" s="81" t="s">
        <v>944</v>
      </c>
      <c r="P183">
        <v>1</v>
      </c>
      <c r="Q183" s="80" t="str">
        <f>REPLACE(INDEX(GroupVertices[Group],MATCH(Edges[[#This Row],[Vertex 1]],GroupVertices[Vertex],0)),1,1,"")</f>
        <v>4</v>
      </c>
      <c r="R183" s="80" t="e">
        <f>REPLACE(INDEX(GroupVertices[Group],MATCH(Edges[[#This Row],[Vertex 2]],GroupVertices[Vertex],0)),1,1,"")</f>
        <v>#N/A</v>
      </c>
      <c r="S183" s="34"/>
      <c r="T183" s="34"/>
      <c r="U183" s="34"/>
      <c r="V183" s="34"/>
      <c r="W183" s="34"/>
      <c r="X183" s="34"/>
      <c r="Y183" s="34"/>
      <c r="Z183" s="34"/>
      <c r="AA183" s="34"/>
    </row>
    <row r="184" spans="1:27" ht="15">
      <c r="A184" s="66" t="s">
        <v>226</v>
      </c>
      <c r="B184" s="66" t="s">
        <v>431</v>
      </c>
      <c r="C184" s="67" t="s">
        <v>4454</v>
      </c>
      <c r="D184" s="68">
        <v>5</v>
      </c>
      <c r="E184" s="69"/>
      <c r="F184" s="70">
        <v>20</v>
      </c>
      <c r="G184" s="67"/>
      <c r="H184" s="71"/>
      <c r="I184" s="72"/>
      <c r="J184" s="72"/>
      <c r="K184" s="34"/>
      <c r="L184" s="79">
        <v>184</v>
      </c>
      <c r="M184" s="79"/>
      <c r="N184" s="74"/>
      <c r="O184" s="81" t="s">
        <v>944</v>
      </c>
      <c r="P184">
        <v>1</v>
      </c>
      <c r="Q184" s="80" t="str">
        <f>REPLACE(INDEX(GroupVertices[Group],MATCH(Edges[[#This Row],[Vertex 1]],GroupVertices[Vertex],0)),1,1,"")</f>
        <v>4</v>
      </c>
      <c r="R184" s="80" t="e">
        <f>REPLACE(INDEX(GroupVertices[Group],MATCH(Edges[[#This Row],[Vertex 2]],GroupVertices[Vertex],0)),1,1,"")</f>
        <v>#N/A</v>
      </c>
      <c r="S184" s="34"/>
      <c r="T184" s="34"/>
      <c r="U184" s="34"/>
      <c r="V184" s="34"/>
      <c r="W184" s="34"/>
      <c r="X184" s="34"/>
      <c r="Y184" s="34"/>
      <c r="Z184" s="34"/>
      <c r="AA184" s="34"/>
    </row>
    <row r="185" spans="1:27" ht="15">
      <c r="A185" s="66" t="s">
        <v>226</v>
      </c>
      <c r="B185" s="66" t="s">
        <v>432</v>
      </c>
      <c r="C185" s="67" t="s">
        <v>4454</v>
      </c>
      <c r="D185" s="68">
        <v>5</v>
      </c>
      <c r="E185" s="69"/>
      <c r="F185" s="70">
        <v>20</v>
      </c>
      <c r="G185" s="67"/>
      <c r="H185" s="71"/>
      <c r="I185" s="72"/>
      <c r="J185" s="72"/>
      <c r="K185" s="34"/>
      <c r="L185" s="79">
        <v>185</v>
      </c>
      <c r="M185" s="79"/>
      <c r="N185" s="74"/>
      <c r="O185" s="81" t="s">
        <v>944</v>
      </c>
      <c r="P185">
        <v>1</v>
      </c>
      <c r="Q185" s="80" t="str">
        <f>REPLACE(INDEX(GroupVertices[Group],MATCH(Edges[[#This Row],[Vertex 1]],GroupVertices[Vertex],0)),1,1,"")</f>
        <v>4</v>
      </c>
      <c r="R185" s="80" t="e">
        <f>REPLACE(INDEX(GroupVertices[Group],MATCH(Edges[[#This Row],[Vertex 2]],GroupVertices[Vertex],0)),1,1,"")</f>
        <v>#N/A</v>
      </c>
      <c r="S185" s="34"/>
      <c r="T185" s="34"/>
      <c r="U185" s="34"/>
      <c r="V185" s="34"/>
      <c r="W185" s="34"/>
      <c r="X185" s="34"/>
      <c r="Y185" s="34"/>
      <c r="Z185" s="34"/>
      <c r="AA185" s="34"/>
    </row>
    <row r="186" spans="1:27" ht="15">
      <c r="A186" s="66" t="s">
        <v>226</v>
      </c>
      <c r="B186" s="66" t="s">
        <v>433</v>
      </c>
      <c r="C186" s="67" t="s">
        <v>4454</v>
      </c>
      <c r="D186" s="68">
        <v>5</v>
      </c>
      <c r="E186" s="69"/>
      <c r="F186" s="70">
        <v>20</v>
      </c>
      <c r="G186" s="67"/>
      <c r="H186" s="71"/>
      <c r="I186" s="72"/>
      <c r="J186" s="72"/>
      <c r="K186" s="34"/>
      <c r="L186" s="79">
        <v>186</v>
      </c>
      <c r="M186" s="79"/>
      <c r="N186" s="74"/>
      <c r="O186" s="81" t="s">
        <v>944</v>
      </c>
      <c r="P186">
        <v>1</v>
      </c>
      <c r="Q186" s="80" t="str">
        <f>REPLACE(INDEX(GroupVertices[Group],MATCH(Edges[[#This Row],[Vertex 1]],GroupVertices[Vertex],0)),1,1,"")</f>
        <v>4</v>
      </c>
      <c r="R186" s="80" t="e">
        <f>REPLACE(INDEX(GroupVertices[Group],MATCH(Edges[[#This Row],[Vertex 2]],GroupVertices[Vertex],0)),1,1,"")</f>
        <v>#N/A</v>
      </c>
      <c r="S186" s="34"/>
      <c r="T186" s="34"/>
      <c r="U186" s="34"/>
      <c r="V186" s="34"/>
      <c r="W186" s="34"/>
      <c r="X186" s="34"/>
      <c r="Y186" s="34"/>
      <c r="Z186" s="34"/>
      <c r="AA186" s="34"/>
    </row>
    <row r="187" spans="1:27" ht="15">
      <c r="A187" s="66" t="s">
        <v>226</v>
      </c>
      <c r="B187" s="66" t="s">
        <v>434</v>
      </c>
      <c r="C187" s="67" t="s">
        <v>4454</v>
      </c>
      <c r="D187" s="68">
        <v>5</v>
      </c>
      <c r="E187" s="69"/>
      <c r="F187" s="70">
        <v>20</v>
      </c>
      <c r="G187" s="67"/>
      <c r="H187" s="71"/>
      <c r="I187" s="72"/>
      <c r="J187" s="72"/>
      <c r="K187" s="34"/>
      <c r="L187" s="79">
        <v>187</v>
      </c>
      <c r="M187" s="79"/>
      <c r="N187" s="74"/>
      <c r="O187" s="81" t="s">
        <v>944</v>
      </c>
      <c r="P187">
        <v>1</v>
      </c>
      <c r="Q187" s="80" t="str">
        <f>REPLACE(INDEX(GroupVertices[Group],MATCH(Edges[[#This Row],[Vertex 1]],GroupVertices[Vertex],0)),1,1,"")</f>
        <v>4</v>
      </c>
      <c r="R187" s="80" t="e">
        <f>REPLACE(INDEX(GroupVertices[Group],MATCH(Edges[[#This Row],[Vertex 2]],GroupVertices[Vertex],0)),1,1,"")</f>
        <v>#N/A</v>
      </c>
      <c r="S187" s="34"/>
      <c r="T187" s="34"/>
      <c r="U187" s="34"/>
      <c r="V187" s="34"/>
      <c r="W187" s="34"/>
      <c r="X187" s="34"/>
      <c r="Y187" s="34"/>
      <c r="Z187" s="34"/>
      <c r="AA187" s="34"/>
    </row>
    <row r="188" spans="1:27" ht="15">
      <c r="A188" s="66" t="s">
        <v>226</v>
      </c>
      <c r="B188" s="66" t="s">
        <v>435</v>
      </c>
      <c r="C188" s="67" t="s">
        <v>4454</v>
      </c>
      <c r="D188" s="68">
        <v>5</v>
      </c>
      <c r="E188" s="69"/>
      <c r="F188" s="70">
        <v>20</v>
      </c>
      <c r="G188" s="67"/>
      <c r="H188" s="71"/>
      <c r="I188" s="72"/>
      <c r="J188" s="72"/>
      <c r="K188" s="34"/>
      <c r="L188" s="79">
        <v>188</v>
      </c>
      <c r="M188" s="79"/>
      <c r="N188" s="74"/>
      <c r="O188" s="81" t="s">
        <v>944</v>
      </c>
      <c r="P188">
        <v>1</v>
      </c>
      <c r="Q188" s="80" t="str">
        <f>REPLACE(INDEX(GroupVertices[Group],MATCH(Edges[[#This Row],[Vertex 1]],GroupVertices[Vertex],0)),1,1,"")</f>
        <v>4</v>
      </c>
      <c r="R188" s="80" t="e">
        <f>REPLACE(INDEX(GroupVertices[Group],MATCH(Edges[[#This Row],[Vertex 2]],GroupVertices[Vertex],0)),1,1,"")</f>
        <v>#N/A</v>
      </c>
      <c r="S188" s="34"/>
      <c r="T188" s="34"/>
      <c r="U188" s="34"/>
      <c r="V188" s="34"/>
      <c r="W188" s="34"/>
      <c r="X188" s="34"/>
      <c r="Y188" s="34"/>
      <c r="Z188" s="34"/>
      <c r="AA188" s="34"/>
    </row>
    <row r="189" spans="1:27" ht="15">
      <c r="A189" s="66" t="s">
        <v>226</v>
      </c>
      <c r="B189" s="66" t="s">
        <v>436</v>
      </c>
      <c r="C189" s="67" t="s">
        <v>4454</v>
      </c>
      <c r="D189" s="68">
        <v>5</v>
      </c>
      <c r="E189" s="69"/>
      <c r="F189" s="70">
        <v>20</v>
      </c>
      <c r="G189" s="67"/>
      <c r="H189" s="71"/>
      <c r="I189" s="72"/>
      <c r="J189" s="72"/>
      <c r="K189" s="34"/>
      <c r="L189" s="79">
        <v>189</v>
      </c>
      <c r="M189" s="79"/>
      <c r="N189" s="74"/>
      <c r="O189" s="81" t="s">
        <v>944</v>
      </c>
      <c r="P189">
        <v>1</v>
      </c>
      <c r="Q189" s="80" t="str">
        <f>REPLACE(INDEX(GroupVertices[Group],MATCH(Edges[[#This Row],[Vertex 1]],GroupVertices[Vertex],0)),1,1,"")</f>
        <v>4</v>
      </c>
      <c r="R189" s="80" t="e">
        <f>REPLACE(INDEX(GroupVertices[Group],MATCH(Edges[[#This Row],[Vertex 2]],GroupVertices[Vertex],0)),1,1,"")</f>
        <v>#N/A</v>
      </c>
      <c r="S189" s="34"/>
      <c r="T189" s="34"/>
      <c r="U189" s="34"/>
      <c r="V189" s="34"/>
      <c r="W189" s="34"/>
      <c r="X189" s="34"/>
      <c r="Y189" s="34"/>
      <c r="Z189" s="34"/>
      <c r="AA189" s="34"/>
    </row>
    <row r="190" spans="1:27" ht="15">
      <c r="A190" s="66" t="s">
        <v>226</v>
      </c>
      <c r="B190" s="66" t="s">
        <v>437</v>
      </c>
      <c r="C190" s="67" t="s">
        <v>4454</v>
      </c>
      <c r="D190" s="68">
        <v>5</v>
      </c>
      <c r="E190" s="69"/>
      <c r="F190" s="70">
        <v>20</v>
      </c>
      <c r="G190" s="67"/>
      <c r="H190" s="71"/>
      <c r="I190" s="72"/>
      <c r="J190" s="72"/>
      <c r="K190" s="34"/>
      <c r="L190" s="79">
        <v>190</v>
      </c>
      <c r="M190" s="79"/>
      <c r="N190" s="74"/>
      <c r="O190" s="81" t="s">
        <v>944</v>
      </c>
      <c r="P190">
        <v>1</v>
      </c>
      <c r="Q190" s="80" t="str">
        <f>REPLACE(INDEX(GroupVertices[Group],MATCH(Edges[[#This Row],[Vertex 1]],GroupVertices[Vertex],0)),1,1,"")</f>
        <v>4</v>
      </c>
      <c r="R190" s="80" t="e">
        <f>REPLACE(INDEX(GroupVertices[Group],MATCH(Edges[[#This Row],[Vertex 2]],GroupVertices[Vertex],0)),1,1,"")</f>
        <v>#N/A</v>
      </c>
      <c r="S190" s="34"/>
      <c r="T190" s="34"/>
      <c r="U190" s="34"/>
      <c r="V190" s="34"/>
      <c r="W190" s="34"/>
      <c r="X190" s="34"/>
      <c r="Y190" s="34"/>
      <c r="Z190" s="34"/>
      <c r="AA190" s="34"/>
    </row>
    <row r="191" spans="1:27" ht="15">
      <c r="A191" s="66" t="s">
        <v>214</v>
      </c>
      <c r="B191" s="66" t="s">
        <v>438</v>
      </c>
      <c r="C191" s="67" t="s">
        <v>4454</v>
      </c>
      <c r="D191" s="68">
        <v>5</v>
      </c>
      <c r="E191" s="69"/>
      <c r="F191" s="70">
        <v>20</v>
      </c>
      <c r="G191" s="67"/>
      <c r="H191" s="71"/>
      <c r="I191" s="72"/>
      <c r="J191" s="72"/>
      <c r="K191" s="34" t="s">
        <v>65</v>
      </c>
      <c r="L191" s="79">
        <v>191</v>
      </c>
      <c r="M191" s="79"/>
      <c r="N191" s="74"/>
      <c r="O191" s="81" t="s">
        <v>944</v>
      </c>
      <c r="P191">
        <v>1</v>
      </c>
      <c r="Q191" s="80" t="str">
        <f>REPLACE(INDEX(GroupVertices[Group],MATCH(Edges[[#This Row],[Vertex 1]],GroupVertices[Vertex],0)),1,1,"")</f>
        <v>1</v>
      </c>
      <c r="R191" s="80" t="str">
        <f>REPLACE(INDEX(GroupVertices[Group],MATCH(Edges[[#This Row],[Vertex 2]],GroupVertices[Vertex],0)),1,1,"")</f>
        <v>4</v>
      </c>
      <c r="S191" s="34"/>
      <c r="T191" s="34"/>
      <c r="U191" s="34"/>
      <c r="V191" s="34"/>
      <c r="W191" s="34"/>
      <c r="X191" s="34"/>
      <c r="Y191" s="34"/>
      <c r="Z191" s="34"/>
      <c r="AA191" s="34"/>
    </row>
    <row r="192" spans="1:27" ht="15">
      <c r="A192" s="66" t="s">
        <v>215</v>
      </c>
      <c r="B192" s="66" t="s">
        <v>438</v>
      </c>
      <c r="C192" s="67" t="s">
        <v>4454</v>
      </c>
      <c r="D192" s="68">
        <v>5</v>
      </c>
      <c r="E192" s="69"/>
      <c r="F192" s="70">
        <v>20</v>
      </c>
      <c r="G192" s="67"/>
      <c r="H192" s="71"/>
      <c r="I192" s="72"/>
      <c r="J192" s="72"/>
      <c r="K192" s="34" t="s">
        <v>65</v>
      </c>
      <c r="L192" s="79">
        <v>192</v>
      </c>
      <c r="M192" s="79"/>
      <c r="N192" s="74"/>
      <c r="O192" s="81" t="s">
        <v>944</v>
      </c>
      <c r="P192">
        <v>1</v>
      </c>
      <c r="Q192" s="80" t="str">
        <f>REPLACE(INDEX(GroupVertices[Group],MATCH(Edges[[#This Row],[Vertex 1]],GroupVertices[Vertex],0)),1,1,"")</f>
        <v>3</v>
      </c>
      <c r="R192" s="80" t="str">
        <f>REPLACE(INDEX(GroupVertices[Group],MATCH(Edges[[#This Row],[Vertex 2]],GroupVertices[Vertex],0)),1,1,"")</f>
        <v>4</v>
      </c>
      <c r="S192" s="34"/>
      <c r="T192" s="34"/>
      <c r="U192" s="34"/>
      <c r="V192" s="34"/>
      <c r="W192" s="34"/>
      <c r="X192" s="34"/>
      <c r="Y192" s="34"/>
      <c r="Z192" s="34"/>
      <c r="AA192" s="34"/>
    </row>
    <row r="193" spans="1:27" ht="15">
      <c r="A193" s="66" t="s">
        <v>226</v>
      </c>
      <c r="B193" s="66" t="s">
        <v>438</v>
      </c>
      <c r="C193" s="67" t="s">
        <v>4454</v>
      </c>
      <c r="D193" s="68">
        <v>5</v>
      </c>
      <c r="E193" s="69"/>
      <c r="F193" s="70">
        <v>20</v>
      </c>
      <c r="G193" s="67"/>
      <c r="H193" s="71"/>
      <c r="I193" s="72"/>
      <c r="J193" s="72"/>
      <c r="K193" s="34" t="s">
        <v>65</v>
      </c>
      <c r="L193" s="79">
        <v>193</v>
      </c>
      <c r="M193" s="79"/>
      <c r="N193" s="74"/>
      <c r="O193" s="81" t="s">
        <v>944</v>
      </c>
      <c r="P193">
        <v>1</v>
      </c>
      <c r="Q193" s="80" t="str">
        <f>REPLACE(INDEX(GroupVertices[Group],MATCH(Edges[[#This Row],[Vertex 1]],GroupVertices[Vertex],0)),1,1,"")</f>
        <v>4</v>
      </c>
      <c r="R193" s="80" t="str">
        <f>REPLACE(INDEX(GroupVertices[Group],MATCH(Edges[[#This Row],[Vertex 2]],GroupVertices[Vertex],0)),1,1,"")</f>
        <v>4</v>
      </c>
      <c r="S193" s="34"/>
      <c r="T193" s="34"/>
      <c r="U193" s="34"/>
      <c r="V193" s="34"/>
      <c r="W193" s="34"/>
      <c r="X193" s="34"/>
      <c r="Y193" s="34"/>
      <c r="Z193" s="34"/>
      <c r="AA193" s="34"/>
    </row>
    <row r="194" spans="1:27" ht="15">
      <c r="A194" s="66" t="s">
        <v>226</v>
      </c>
      <c r="B194" s="66" t="s">
        <v>439</v>
      </c>
      <c r="C194" s="67" t="s">
        <v>4454</v>
      </c>
      <c r="D194" s="68">
        <v>5</v>
      </c>
      <c r="E194" s="69"/>
      <c r="F194" s="70">
        <v>20</v>
      </c>
      <c r="G194" s="67"/>
      <c r="H194" s="71"/>
      <c r="I194" s="72"/>
      <c r="J194" s="72"/>
      <c r="K194" s="34"/>
      <c r="L194" s="79">
        <v>194</v>
      </c>
      <c r="M194" s="79"/>
      <c r="N194" s="74"/>
      <c r="O194" s="81" t="s">
        <v>944</v>
      </c>
      <c r="P194">
        <v>1</v>
      </c>
      <c r="Q194" s="80" t="str">
        <f>REPLACE(INDEX(GroupVertices[Group],MATCH(Edges[[#This Row],[Vertex 1]],GroupVertices[Vertex],0)),1,1,"")</f>
        <v>4</v>
      </c>
      <c r="R194" s="80" t="e">
        <f>REPLACE(INDEX(GroupVertices[Group],MATCH(Edges[[#This Row],[Vertex 2]],GroupVertices[Vertex],0)),1,1,"")</f>
        <v>#N/A</v>
      </c>
      <c r="S194" s="34"/>
      <c r="T194" s="34"/>
      <c r="U194" s="34"/>
      <c r="V194" s="34"/>
      <c r="W194" s="34"/>
      <c r="X194" s="34"/>
      <c r="Y194" s="34"/>
      <c r="Z194" s="34"/>
      <c r="AA194" s="34"/>
    </row>
    <row r="195" spans="1:27" ht="15">
      <c r="A195" s="66" t="s">
        <v>225</v>
      </c>
      <c r="B195" s="66" t="s">
        <v>440</v>
      </c>
      <c r="C195" s="67" t="s">
        <v>4454</v>
      </c>
      <c r="D195" s="68">
        <v>5</v>
      </c>
      <c r="E195" s="69"/>
      <c r="F195" s="70">
        <v>20</v>
      </c>
      <c r="G195" s="67"/>
      <c r="H195" s="71"/>
      <c r="I195" s="72"/>
      <c r="J195" s="72"/>
      <c r="K195" s="34" t="s">
        <v>65</v>
      </c>
      <c r="L195" s="79">
        <v>195</v>
      </c>
      <c r="M195" s="79"/>
      <c r="N195" s="74"/>
      <c r="O195" s="81" t="s">
        <v>944</v>
      </c>
      <c r="P195">
        <v>1</v>
      </c>
      <c r="Q195" s="80" t="str">
        <f>REPLACE(INDEX(GroupVertices[Group],MATCH(Edges[[#This Row],[Vertex 1]],GroupVertices[Vertex],0)),1,1,"")</f>
        <v>1</v>
      </c>
      <c r="R195" s="80" t="str">
        <f>REPLACE(INDEX(GroupVertices[Group],MATCH(Edges[[#This Row],[Vertex 2]],GroupVertices[Vertex],0)),1,1,"")</f>
        <v>3</v>
      </c>
      <c r="S195" s="34"/>
      <c r="T195" s="34"/>
      <c r="U195" s="34"/>
      <c r="V195" s="34"/>
      <c r="W195" s="34"/>
      <c r="X195" s="34"/>
      <c r="Y195" s="34"/>
      <c r="Z195" s="34"/>
      <c r="AA195" s="34"/>
    </row>
    <row r="196" spans="1:27" ht="15">
      <c r="A196" s="66" t="s">
        <v>227</v>
      </c>
      <c r="B196" s="66" t="s">
        <v>440</v>
      </c>
      <c r="C196" s="67" t="s">
        <v>4454</v>
      </c>
      <c r="D196" s="68">
        <v>5</v>
      </c>
      <c r="E196" s="69"/>
      <c r="F196" s="70">
        <v>20</v>
      </c>
      <c r="G196" s="67"/>
      <c r="H196" s="71"/>
      <c r="I196" s="72"/>
      <c r="J196" s="72"/>
      <c r="K196" s="34" t="s">
        <v>65</v>
      </c>
      <c r="L196" s="79">
        <v>196</v>
      </c>
      <c r="M196" s="79"/>
      <c r="N196" s="74"/>
      <c r="O196" s="81" t="s">
        <v>944</v>
      </c>
      <c r="P196">
        <v>1</v>
      </c>
      <c r="Q196" s="80" t="str">
        <f>REPLACE(INDEX(GroupVertices[Group],MATCH(Edges[[#This Row],[Vertex 1]],GroupVertices[Vertex],0)),1,1,"")</f>
        <v>3</v>
      </c>
      <c r="R196" s="80" t="str">
        <f>REPLACE(INDEX(GroupVertices[Group],MATCH(Edges[[#This Row],[Vertex 2]],GroupVertices[Vertex],0)),1,1,"")</f>
        <v>3</v>
      </c>
      <c r="S196" s="34"/>
      <c r="T196" s="34"/>
      <c r="U196" s="34"/>
      <c r="V196" s="34"/>
      <c r="W196" s="34"/>
      <c r="X196" s="34"/>
      <c r="Y196" s="34"/>
      <c r="Z196" s="34"/>
      <c r="AA196" s="34"/>
    </row>
    <row r="197" spans="1:27" ht="15">
      <c r="A197" s="66" t="s">
        <v>227</v>
      </c>
      <c r="B197" s="66" t="s">
        <v>441</v>
      </c>
      <c r="C197" s="67" t="s">
        <v>4454</v>
      </c>
      <c r="D197" s="68">
        <v>5</v>
      </c>
      <c r="E197" s="69"/>
      <c r="F197" s="70">
        <v>20</v>
      </c>
      <c r="G197" s="67"/>
      <c r="H197" s="71"/>
      <c r="I197" s="72"/>
      <c r="J197" s="72"/>
      <c r="K197" s="34"/>
      <c r="L197" s="79">
        <v>197</v>
      </c>
      <c r="M197" s="79"/>
      <c r="N197" s="74"/>
      <c r="O197" s="81" t="s">
        <v>944</v>
      </c>
      <c r="P197">
        <v>1</v>
      </c>
      <c r="Q197" s="80" t="str">
        <f>REPLACE(INDEX(GroupVertices[Group],MATCH(Edges[[#This Row],[Vertex 1]],GroupVertices[Vertex],0)),1,1,"")</f>
        <v>3</v>
      </c>
      <c r="R197" s="80" t="e">
        <f>REPLACE(INDEX(GroupVertices[Group],MATCH(Edges[[#This Row],[Vertex 2]],GroupVertices[Vertex],0)),1,1,"")</f>
        <v>#N/A</v>
      </c>
      <c r="S197" s="34"/>
      <c r="T197" s="34"/>
      <c r="U197" s="34"/>
      <c r="V197" s="34"/>
      <c r="W197" s="34"/>
      <c r="X197" s="34"/>
      <c r="Y197" s="34"/>
      <c r="Z197" s="34"/>
      <c r="AA197" s="34"/>
    </row>
    <row r="198" spans="1:27" ht="15">
      <c r="A198" s="66" t="s">
        <v>215</v>
      </c>
      <c r="B198" s="66" t="s">
        <v>442</v>
      </c>
      <c r="C198" s="67" t="s">
        <v>4454</v>
      </c>
      <c r="D198" s="68">
        <v>5</v>
      </c>
      <c r="E198" s="69"/>
      <c r="F198" s="70">
        <v>20</v>
      </c>
      <c r="G198" s="67"/>
      <c r="H198" s="71"/>
      <c r="I198" s="72"/>
      <c r="J198" s="72"/>
      <c r="K198" s="34" t="s">
        <v>65</v>
      </c>
      <c r="L198" s="79">
        <v>198</v>
      </c>
      <c r="M198" s="79"/>
      <c r="N198" s="74"/>
      <c r="O198" s="81" t="s">
        <v>944</v>
      </c>
      <c r="P198">
        <v>1</v>
      </c>
      <c r="Q198" s="80" t="str">
        <f>REPLACE(INDEX(GroupVertices[Group],MATCH(Edges[[#This Row],[Vertex 1]],GroupVertices[Vertex],0)),1,1,"")</f>
        <v>3</v>
      </c>
      <c r="R198" s="80" t="str">
        <f>REPLACE(INDEX(GroupVertices[Group],MATCH(Edges[[#This Row],[Vertex 2]],GroupVertices[Vertex],0)),1,1,"")</f>
        <v>3</v>
      </c>
      <c r="S198" s="34"/>
      <c r="T198" s="34"/>
      <c r="U198" s="34"/>
      <c r="V198" s="34"/>
      <c r="W198" s="34"/>
      <c r="X198" s="34"/>
      <c r="Y198" s="34"/>
      <c r="Z198" s="34"/>
      <c r="AA198" s="34"/>
    </row>
    <row r="199" spans="1:27" ht="15">
      <c r="A199" s="66" t="s">
        <v>223</v>
      </c>
      <c r="B199" s="66" t="s">
        <v>442</v>
      </c>
      <c r="C199" s="67" t="s">
        <v>4454</v>
      </c>
      <c r="D199" s="68">
        <v>5</v>
      </c>
      <c r="E199" s="69"/>
      <c r="F199" s="70">
        <v>20</v>
      </c>
      <c r="G199" s="67"/>
      <c r="H199" s="71"/>
      <c r="I199" s="72"/>
      <c r="J199" s="72"/>
      <c r="K199" s="34" t="s">
        <v>65</v>
      </c>
      <c r="L199" s="79">
        <v>199</v>
      </c>
      <c r="M199" s="79"/>
      <c r="N199" s="74"/>
      <c r="O199" s="81" t="s">
        <v>944</v>
      </c>
      <c r="P199">
        <v>1</v>
      </c>
      <c r="Q199" s="80" t="str">
        <f>REPLACE(INDEX(GroupVertices[Group],MATCH(Edges[[#This Row],[Vertex 1]],GroupVertices[Vertex],0)),1,1,"")</f>
        <v>3</v>
      </c>
      <c r="R199" s="80" t="str">
        <f>REPLACE(INDEX(GroupVertices[Group],MATCH(Edges[[#This Row],[Vertex 2]],GroupVertices[Vertex],0)),1,1,"")</f>
        <v>3</v>
      </c>
      <c r="S199" s="34"/>
      <c r="T199" s="34"/>
      <c r="U199" s="34"/>
      <c r="V199" s="34"/>
      <c r="W199" s="34"/>
      <c r="X199" s="34"/>
      <c r="Y199" s="34"/>
      <c r="Z199" s="34"/>
      <c r="AA199" s="34"/>
    </row>
    <row r="200" spans="1:27" ht="15">
      <c r="A200" s="66" t="s">
        <v>227</v>
      </c>
      <c r="B200" s="66" t="s">
        <v>442</v>
      </c>
      <c r="C200" s="67" t="s">
        <v>4454</v>
      </c>
      <c r="D200" s="68">
        <v>5</v>
      </c>
      <c r="E200" s="69"/>
      <c r="F200" s="70">
        <v>20</v>
      </c>
      <c r="G200" s="67"/>
      <c r="H200" s="71"/>
      <c r="I200" s="72"/>
      <c r="J200" s="72"/>
      <c r="K200" s="34" t="s">
        <v>65</v>
      </c>
      <c r="L200" s="79">
        <v>200</v>
      </c>
      <c r="M200" s="79"/>
      <c r="N200" s="74"/>
      <c r="O200" s="81" t="s">
        <v>944</v>
      </c>
      <c r="P200">
        <v>1</v>
      </c>
      <c r="Q200" s="80" t="str">
        <f>REPLACE(INDEX(GroupVertices[Group],MATCH(Edges[[#This Row],[Vertex 1]],GroupVertices[Vertex],0)),1,1,"")</f>
        <v>3</v>
      </c>
      <c r="R200" s="80" t="str">
        <f>REPLACE(INDEX(GroupVertices[Group],MATCH(Edges[[#This Row],[Vertex 2]],GroupVertices[Vertex],0)),1,1,"")</f>
        <v>3</v>
      </c>
      <c r="S200" s="34"/>
      <c r="T200" s="34"/>
      <c r="U200" s="34"/>
      <c r="V200" s="34"/>
      <c r="W200" s="34"/>
      <c r="X200" s="34"/>
      <c r="Y200" s="34"/>
      <c r="Z200" s="34"/>
      <c r="AA200" s="34"/>
    </row>
    <row r="201" spans="1:27" ht="15">
      <c r="A201" s="66" t="s">
        <v>227</v>
      </c>
      <c r="B201" s="66" t="s">
        <v>443</v>
      </c>
      <c r="C201" s="67" t="s">
        <v>4454</v>
      </c>
      <c r="D201" s="68">
        <v>5</v>
      </c>
      <c r="E201" s="69"/>
      <c r="F201" s="70">
        <v>20</v>
      </c>
      <c r="G201" s="67"/>
      <c r="H201" s="71"/>
      <c r="I201" s="72"/>
      <c r="J201" s="72"/>
      <c r="K201" s="34"/>
      <c r="L201" s="79">
        <v>201</v>
      </c>
      <c r="M201" s="79"/>
      <c r="N201" s="74"/>
      <c r="O201" s="81" t="s">
        <v>944</v>
      </c>
      <c r="P201">
        <v>1</v>
      </c>
      <c r="Q201" s="80" t="str">
        <f>REPLACE(INDEX(GroupVertices[Group],MATCH(Edges[[#This Row],[Vertex 1]],GroupVertices[Vertex],0)),1,1,"")</f>
        <v>3</v>
      </c>
      <c r="R201" s="80" t="e">
        <f>REPLACE(INDEX(GroupVertices[Group],MATCH(Edges[[#This Row],[Vertex 2]],GroupVertices[Vertex],0)),1,1,"")</f>
        <v>#N/A</v>
      </c>
      <c r="S201" s="34"/>
      <c r="T201" s="34"/>
      <c r="U201" s="34"/>
      <c r="V201" s="34"/>
      <c r="W201" s="34"/>
      <c r="X201" s="34"/>
      <c r="Y201" s="34"/>
      <c r="Z201" s="34"/>
      <c r="AA201" s="34"/>
    </row>
    <row r="202" spans="1:27" ht="15">
      <c r="A202" s="66" t="s">
        <v>227</v>
      </c>
      <c r="B202" s="66" t="s">
        <v>444</v>
      </c>
      <c r="C202" s="67" t="s">
        <v>4454</v>
      </c>
      <c r="D202" s="68">
        <v>5</v>
      </c>
      <c r="E202" s="69"/>
      <c r="F202" s="70">
        <v>20</v>
      </c>
      <c r="G202" s="67"/>
      <c r="H202" s="71"/>
      <c r="I202" s="72"/>
      <c r="J202" s="72"/>
      <c r="K202" s="34"/>
      <c r="L202" s="79">
        <v>202</v>
      </c>
      <c r="M202" s="79"/>
      <c r="N202" s="74"/>
      <c r="O202" s="81" t="s">
        <v>944</v>
      </c>
      <c r="P202">
        <v>1</v>
      </c>
      <c r="Q202" s="80" t="str">
        <f>REPLACE(INDEX(GroupVertices[Group],MATCH(Edges[[#This Row],[Vertex 1]],GroupVertices[Vertex],0)),1,1,"")</f>
        <v>3</v>
      </c>
      <c r="R202" s="80" t="e">
        <f>REPLACE(INDEX(GroupVertices[Group],MATCH(Edges[[#This Row],[Vertex 2]],GroupVertices[Vertex],0)),1,1,"")</f>
        <v>#N/A</v>
      </c>
      <c r="S202" s="34"/>
      <c r="T202" s="34"/>
      <c r="U202" s="34"/>
      <c r="V202" s="34"/>
      <c r="W202" s="34"/>
      <c r="X202" s="34"/>
      <c r="Y202" s="34"/>
      <c r="Z202" s="34"/>
      <c r="AA202" s="34"/>
    </row>
    <row r="203" spans="1:27" ht="15">
      <c r="A203" s="66" t="s">
        <v>217</v>
      </c>
      <c r="B203" s="66" t="s">
        <v>445</v>
      </c>
      <c r="C203" s="67" t="s">
        <v>4454</v>
      </c>
      <c r="D203" s="68">
        <v>5</v>
      </c>
      <c r="E203" s="69"/>
      <c r="F203" s="70">
        <v>20</v>
      </c>
      <c r="G203" s="67"/>
      <c r="H203" s="71"/>
      <c r="I203" s="72"/>
      <c r="J203" s="72"/>
      <c r="K203" s="34" t="s">
        <v>65</v>
      </c>
      <c r="L203" s="79">
        <v>203</v>
      </c>
      <c r="M203" s="79"/>
      <c r="N203" s="74"/>
      <c r="O203" s="81" t="s">
        <v>944</v>
      </c>
      <c r="P203">
        <v>1</v>
      </c>
      <c r="Q203" s="80" t="str">
        <f>REPLACE(INDEX(GroupVertices[Group],MATCH(Edges[[#This Row],[Vertex 1]],GroupVertices[Vertex],0)),1,1,"")</f>
        <v>4</v>
      </c>
      <c r="R203" s="80" t="str">
        <f>REPLACE(INDEX(GroupVertices[Group],MATCH(Edges[[#This Row],[Vertex 2]],GroupVertices[Vertex],0)),1,1,"")</f>
        <v>4</v>
      </c>
      <c r="S203" s="34"/>
      <c r="T203" s="34"/>
      <c r="U203" s="34"/>
      <c r="V203" s="34"/>
      <c r="W203" s="34"/>
      <c r="X203" s="34"/>
      <c r="Y203" s="34"/>
      <c r="Z203" s="34"/>
      <c r="AA203" s="34"/>
    </row>
    <row r="204" spans="1:27" ht="15">
      <c r="A204" s="66" t="s">
        <v>227</v>
      </c>
      <c r="B204" s="66" t="s">
        <v>445</v>
      </c>
      <c r="C204" s="67" t="s">
        <v>4454</v>
      </c>
      <c r="D204" s="68">
        <v>5</v>
      </c>
      <c r="E204" s="69"/>
      <c r="F204" s="70">
        <v>20</v>
      </c>
      <c r="G204" s="67"/>
      <c r="H204" s="71"/>
      <c r="I204" s="72"/>
      <c r="J204" s="72"/>
      <c r="K204" s="34" t="s">
        <v>65</v>
      </c>
      <c r="L204" s="79">
        <v>204</v>
      </c>
      <c r="M204" s="79"/>
      <c r="N204" s="74"/>
      <c r="O204" s="81" t="s">
        <v>944</v>
      </c>
      <c r="P204">
        <v>1</v>
      </c>
      <c r="Q204" s="80" t="str">
        <f>REPLACE(INDEX(GroupVertices[Group],MATCH(Edges[[#This Row],[Vertex 1]],GroupVertices[Vertex],0)),1,1,"")</f>
        <v>3</v>
      </c>
      <c r="R204" s="80" t="str">
        <f>REPLACE(INDEX(GroupVertices[Group],MATCH(Edges[[#This Row],[Vertex 2]],GroupVertices[Vertex],0)),1,1,"")</f>
        <v>4</v>
      </c>
      <c r="S204" s="34"/>
      <c r="T204" s="34"/>
      <c r="U204" s="34"/>
      <c r="V204" s="34"/>
      <c r="W204" s="34"/>
      <c r="X204" s="34"/>
      <c r="Y204" s="34"/>
      <c r="Z204" s="34"/>
      <c r="AA204" s="34"/>
    </row>
    <row r="205" spans="1:27" ht="15">
      <c r="A205" s="66" t="s">
        <v>227</v>
      </c>
      <c r="B205" s="66" t="s">
        <v>446</v>
      </c>
      <c r="C205" s="67" t="s">
        <v>4454</v>
      </c>
      <c r="D205" s="68">
        <v>5</v>
      </c>
      <c r="E205" s="69"/>
      <c r="F205" s="70">
        <v>20</v>
      </c>
      <c r="G205" s="67"/>
      <c r="H205" s="71"/>
      <c r="I205" s="72"/>
      <c r="J205" s="72"/>
      <c r="K205" s="34"/>
      <c r="L205" s="79">
        <v>205</v>
      </c>
      <c r="M205" s="79"/>
      <c r="N205" s="74"/>
      <c r="O205" s="81" t="s">
        <v>944</v>
      </c>
      <c r="P205">
        <v>1</v>
      </c>
      <c r="Q205" s="80" t="str">
        <f>REPLACE(INDEX(GroupVertices[Group],MATCH(Edges[[#This Row],[Vertex 1]],GroupVertices[Vertex],0)),1,1,"")</f>
        <v>3</v>
      </c>
      <c r="R205" s="80" t="e">
        <f>REPLACE(INDEX(GroupVertices[Group],MATCH(Edges[[#This Row],[Vertex 2]],GroupVertices[Vertex],0)),1,1,"")</f>
        <v>#N/A</v>
      </c>
      <c r="S205" s="34"/>
      <c r="T205" s="34"/>
      <c r="U205" s="34"/>
      <c r="V205" s="34"/>
      <c r="W205" s="34"/>
      <c r="X205" s="34"/>
      <c r="Y205" s="34"/>
      <c r="Z205" s="34"/>
      <c r="AA205" s="34"/>
    </row>
    <row r="206" spans="1:27" ht="15">
      <c r="A206" s="66" t="s">
        <v>227</v>
      </c>
      <c r="B206" s="66" t="s">
        <v>447</v>
      </c>
      <c r="C206" s="67" t="s">
        <v>4454</v>
      </c>
      <c r="D206" s="68">
        <v>5</v>
      </c>
      <c r="E206" s="69"/>
      <c r="F206" s="70">
        <v>20</v>
      </c>
      <c r="G206" s="67"/>
      <c r="H206" s="71"/>
      <c r="I206" s="72"/>
      <c r="J206" s="72"/>
      <c r="K206" s="34"/>
      <c r="L206" s="79">
        <v>206</v>
      </c>
      <c r="M206" s="79"/>
      <c r="N206" s="74"/>
      <c r="O206" s="81" t="s">
        <v>944</v>
      </c>
      <c r="P206">
        <v>1</v>
      </c>
      <c r="Q206" s="80" t="str">
        <f>REPLACE(INDEX(GroupVertices[Group],MATCH(Edges[[#This Row],[Vertex 1]],GroupVertices[Vertex],0)),1,1,"")</f>
        <v>3</v>
      </c>
      <c r="R206" s="80" t="e">
        <f>REPLACE(INDEX(GroupVertices[Group],MATCH(Edges[[#This Row],[Vertex 2]],GroupVertices[Vertex],0)),1,1,"")</f>
        <v>#N/A</v>
      </c>
      <c r="S206" s="34"/>
      <c r="T206" s="34"/>
      <c r="U206" s="34"/>
      <c r="V206" s="34"/>
      <c r="W206" s="34"/>
      <c r="X206" s="34"/>
      <c r="Y206" s="34"/>
      <c r="Z206" s="34"/>
      <c r="AA206" s="34"/>
    </row>
    <row r="207" spans="1:27" ht="15">
      <c r="A207" s="66" t="s">
        <v>223</v>
      </c>
      <c r="B207" s="66" t="s">
        <v>448</v>
      </c>
      <c r="C207" s="67" t="s">
        <v>4454</v>
      </c>
      <c r="D207" s="68">
        <v>5</v>
      </c>
      <c r="E207" s="69"/>
      <c r="F207" s="70">
        <v>20</v>
      </c>
      <c r="G207" s="67"/>
      <c r="H207" s="71"/>
      <c r="I207" s="72"/>
      <c r="J207" s="72"/>
      <c r="K207" s="34" t="s">
        <v>65</v>
      </c>
      <c r="L207" s="79">
        <v>207</v>
      </c>
      <c r="M207" s="79"/>
      <c r="N207" s="74"/>
      <c r="O207" s="81" t="s">
        <v>944</v>
      </c>
      <c r="P207">
        <v>1</v>
      </c>
      <c r="Q207" s="80" t="str">
        <f>REPLACE(INDEX(GroupVertices[Group],MATCH(Edges[[#This Row],[Vertex 1]],GroupVertices[Vertex],0)),1,1,"")</f>
        <v>3</v>
      </c>
      <c r="R207" s="80" t="str">
        <f>REPLACE(INDEX(GroupVertices[Group],MATCH(Edges[[#This Row],[Vertex 2]],GroupVertices[Vertex],0)),1,1,"")</f>
        <v>3</v>
      </c>
      <c r="S207" s="34"/>
      <c r="T207" s="34"/>
      <c r="U207" s="34"/>
      <c r="V207" s="34"/>
      <c r="W207" s="34"/>
      <c r="X207" s="34"/>
      <c r="Y207" s="34"/>
      <c r="Z207" s="34"/>
      <c r="AA207" s="34"/>
    </row>
    <row r="208" spans="1:27" ht="15">
      <c r="A208" s="66" t="s">
        <v>227</v>
      </c>
      <c r="B208" s="66" t="s">
        <v>448</v>
      </c>
      <c r="C208" s="67" t="s">
        <v>4454</v>
      </c>
      <c r="D208" s="68">
        <v>5</v>
      </c>
      <c r="E208" s="69"/>
      <c r="F208" s="70">
        <v>20</v>
      </c>
      <c r="G208" s="67"/>
      <c r="H208" s="71"/>
      <c r="I208" s="72"/>
      <c r="J208" s="72"/>
      <c r="K208" s="34" t="s">
        <v>65</v>
      </c>
      <c r="L208" s="79">
        <v>208</v>
      </c>
      <c r="M208" s="79"/>
      <c r="N208" s="74"/>
      <c r="O208" s="81" t="s">
        <v>944</v>
      </c>
      <c r="P208">
        <v>1</v>
      </c>
      <c r="Q208" s="80" t="str">
        <f>REPLACE(INDEX(GroupVertices[Group],MATCH(Edges[[#This Row],[Vertex 1]],GroupVertices[Vertex],0)),1,1,"")</f>
        <v>3</v>
      </c>
      <c r="R208" s="80" t="str">
        <f>REPLACE(INDEX(GroupVertices[Group],MATCH(Edges[[#This Row],[Vertex 2]],GroupVertices[Vertex],0)),1,1,"")</f>
        <v>3</v>
      </c>
      <c r="S208" s="34"/>
      <c r="T208" s="34"/>
      <c r="U208" s="34"/>
      <c r="V208" s="34"/>
      <c r="W208" s="34"/>
      <c r="X208" s="34"/>
      <c r="Y208" s="34"/>
      <c r="Z208" s="34"/>
      <c r="AA208" s="34"/>
    </row>
    <row r="209" spans="1:27" ht="15">
      <c r="A209" s="66" t="s">
        <v>227</v>
      </c>
      <c r="B209" s="66" t="s">
        <v>449</v>
      </c>
      <c r="C209" s="67" t="s">
        <v>4454</v>
      </c>
      <c r="D209" s="68">
        <v>5</v>
      </c>
      <c r="E209" s="69"/>
      <c r="F209" s="70">
        <v>20</v>
      </c>
      <c r="G209" s="67"/>
      <c r="H209" s="71"/>
      <c r="I209" s="72"/>
      <c r="J209" s="72"/>
      <c r="K209" s="34"/>
      <c r="L209" s="79">
        <v>209</v>
      </c>
      <c r="M209" s="79"/>
      <c r="N209" s="74"/>
      <c r="O209" s="81" t="s">
        <v>944</v>
      </c>
      <c r="P209">
        <v>1</v>
      </c>
      <c r="Q209" s="80" t="str">
        <f>REPLACE(INDEX(GroupVertices[Group],MATCH(Edges[[#This Row],[Vertex 1]],GroupVertices[Vertex],0)),1,1,"")</f>
        <v>3</v>
      </c>
      <c r="R209" s="80" t="e">
        <f>REPLACE(INDEX(GroupVertices[Group],MATCH(Edges[[#This Row],[Vertex 2]],GroupVertices[Vertex],0)),1,1,"")</f>
        <v>#N/A</v>
      </c>
      <c r="S209" s="34"/>
      <c r="T209" s="34"/>
      <c r="U209" s="34"/>
      <c r="V209" s="34"/>
      <c r="W209" s="34"/>
      <c r="X209" s="34"/>
      <c r="Y209" s="34"/>
      <c r="Z209" s="34"/>
      <c r="AA209" s="34"/>
    </row>
    <row r="210" spans="1:27" ht="15">
      <c r="A210" s="66" t="s">
        <v>228</v>
      </c>
      <c r="B210" s="66" t="s">
        <v>450</v>
      </c>
      <c r="C210" s="67" t="s">
        <v>4454</v>
      </c>
      <c r="D210" s="68">
        <v>5</v>
      </c>
      <c r="E210" s="69"/>
      <c r="F210" s="70">
        <v>20</v>
      </c>
      <c r="G210" s="67"/>
      <c r="H210" s="71"/>
      <c r="I210" s="72"/>
      <c r="J210" s="72"/>
      <c r="K210" s="34"/>
      <c r="L210" s="79">
        <v>210</v>
      </c>
      <c r="M210" s="79"/>
      <c r="N210" s="74"/>
      <c r="O210" s="81" t="s">
        <v>944</v>
      </c>
      <c r="P210">
        <v>1</v>
      </c>
      <c r="Q210" s="80" t="str">
        <f>REPLACE(INDEX(GroupVertices[Group],MATCH(Edges[[#This Row],[Vertex 1]],GroupVertices[Vertex],0)),1,1,"")</f>
        <v>3</v>
      </c>
      <c r="R210" s="80" t="e">
        <f>REPLACE(INDEX(GroupVertices[Group],MATCH(Edges[[#This Row],[Vertex 2]],GroupVertices[Vertex],0)),1,1,"")</f>
        <v>#N/A</v>
      </c>
      <c r="S210" s="34"/>
      <c r="T210" s="34"/>
      <c r="U210" s="34"/>
      <c r="V210" s="34"/>
      <c r="W210" s="34"/>
      <c r="X210" s="34"/>
      <c r="Y210" s="34"/>
      <c r="Z210" s="34"/>
      <c r="AA210" s="34"/>
    </row>
    <row r="211" spans="1:27" ht="15">
      <c r="A211" s="66" t="s">
        <v>218</v>
      </c>
      <c r="B211" s="66" t="s">
        <v>451</v>
      </c>
      <c r="C211" s="67" t="s">
        <v>4454</v>
      </c>
      <c r="D211" s="68">
        <v>5</v>
      </c>
      <c r="E211" s="69"/>
      <c r="F211" s="70">
        <v>20</v>
      </c>
      <c r="G211" s="67"/>
      <c r="H211" s="71"/>
      <c r="I211" s="72"/>
      <c r="J211" s="72"/>
      <c r="K211" s="34"/>
      <c r="L211" s="79">
        <v>211</v>
      </c>
      <c r="M211" s="79"/>
      <c r="N211" s="74"/>
      <c r="O211" s="81" t="s">
        <v>944</v>
      </c>
      <c r="P211">
        <v>1</v>
      </c>
      <c r="Q211" s="80" t="e">
        <f>REPLACE(INDEX(GroupVertices[Group],MATCH(Edges[[#This Row],[Vertex 1]],GroupVertices[Vertex],0)),1,1,"")</f>
        <v>#N/A</v>
      </c>
      <c r="R211" s="80" t="str">
        <f>REPLACE(INDEX(GroupVertices[Group],MATCH(Edges[[#This Row],[Vertex 2]],GroupVertices[Vertex],0)),1,1,"")</f>
        <v>3</v>
      </c>
      <c r="S211" s="34"/>
      <c r="T211" s="34"/>
      <c r="U211" s="34"/>
      <c r="V211" s="34"/>
      <c r="W211" s="34"/>
      <c r="X211" s="34"/>
      <c r="Y211" s="34"/>
      <c r="Z211" s="34"/>
      <c r="AA211" s="34"/>
    </row>
    <row r="212" spans="1:27" ht="15">
      <c r="A212" s="66" t="s">
        <v>228</v>
      </c>
      <c r="B212" s="66" t="s">
        <v>451</v>
      </c>
      <c r="C212" s="67" t="s">
        <v>4454</v>
      </c>
      <c r="D212" s="68">
        <v>5</v>
      </c>
      <c r="E212" s="69"/>
      <c r="F212" s="70">
        <v>20</v>
      </c>
      <c r="G212" s="67"/>
      <c r="H212" s="71"/>
      <c r="I212" s="72"/>
      <c r="J212" s="72"/>
      <c r="K212" s="34" t="s">
        <v>65</v>
      </c>
      <c r="L212" s="79">
        <v>212</v>
      </c>
      <c r="M212" s="79"/>
      <c r="N212" s="74"/>
      <c r="O212" s="81" t="s">
        <v>944</v>
      </c>
      <c r="P212">
        <v>1</v>
      </c>
      <c r="Q212" s="80" t="str">
        <f>REPLACE(INDEX(GroupVertices[Group],MATCH(Edges[[#This Row],[Vertex 1]],GroupVertices[Vertex],0)),1,1,"")</f>
        <v>3</v>
      </c>
      <c r="R212" s="80" t="str">
        <f>REPLACE(INDEX(GroupVertices[Group],MATCH(Edges[[#This Row],[Vertex 2]],GroupVertices[Vertex],0)),1,1,"")</f>
        <v>3</v>
      </c>
      <c r="S212" s="34"/>
      <c r="T212" s="34"/>
      <c r="U212" s="34"/>
      <c r="V212" s="34"/>
      <c r="W212" s="34"/>
      <c r="X212" s="34"/>
      <c r="Y212" s="34"/>
      <c r="Z212" s="34"/>
      <c r="AA212" s="34"/>
    </row>
    <row r="213" spans="1:27" ht="15">
      <c r="A213" s="66" t="s">
        <v>215</v>
      </c>
      <c r="B213" s="66" t="s">
        <v>452</v>
      </c>
      <c r="C213" s="67" t="s">
        <v>4454</v>
      </c>
      <c r="D213" s="68">
        <v>5</v>
      </c>
      <c r="E213" s="69"/>
      <c r="F213" s="70">
        <v>20</v>
      </c>
      <c r="G213" s="67"/>
      <c r="H213" s="71"/>
      <c r="I213" s="72"/>
      <c r="J213" s="72"/>
      <c r="K213" s="34" t="s">
        <v>65</v>
      </c>
      <c r="L213" s="79">
        <v>213</v>
      </c>
      <c r="M213" s="79"/>
      <c r="N213" s="74"/>
      <c r="O213" s="81" t="s">
        <v>944</v>
      </c>
      <c r="P213">
        <v>1</v>
      </c>
      <c r="Q213" s="80" t="str">
        <f>REPLACE(INDEX(GroupVertices[Group],MATCH(Edges[[#This Row],[Vertex 1]],GroupVertices[Vertex],0)),1,1,"")</f>
        <v>3</v>
      </c>
      <c r="R213" s="80" t="str">
        <f>REPLACE(INDEX(GroupVertices[Group],MATCH(Edges[[#This Row],[Vertex 2]],GroupVertices[Vertex],0)),1,1,"")</f>
        <v>3</v>
      </c>
      <c r="S213" s="34"/>
      <c r="T213" s="34"/>
      <c r="U213" s="34"/>
      <c r="V213" s="34"/>
      <c r="W213" s="34"/>
      <c r="X213" s="34"/>
      <c r="Y213" s="34"/>
      <c r="Z213" s="34"/>
      <c r="AA213" s="34"/>
    </row>
    <row r="214" spans="1:27" ht="15">
      <c r="A214" s="66" t="s">
        <v>228</v>
      </c>
      <c r="B214" s="66" t="s">
        <v>452</v>
      </c>
      <c r="C214" s="67" t="s">
        <v>4454</v>
      </c>
      <c r="D214" s="68">
        <v>5</v>
      </c>
      <c r="E214" s="69"/>
      <c r="F214" s="70">
        <v>20</v>
      </c>
      <c r="G214" s="67"/>
      <c r="H214" s="71"/>
      <c r="I214" s="72"/>
      <c r="J214" s="72"/>
      <c r="K214" s="34" t="s">
        <v>65</v>
      </c>
      <c r="L214" s="79">
        <v>214</v>
      </c>
      <c r="M214" s="79"/>
      <c r="N214" s="74"/>
      <c r="O214" s="81" t="s">
        <v>944</v>
      </c>
      <c r="P214">
        <v>1</v>
      </c>
      <c r="Q214" s="80" t="str">
        <f>REPLACE(INDEX(GroupVertices[Group],MATCH(Edges[[#This Row],[Vertex 1]],GroupVertices[Vertex],0)),1,1,"")</f>
        <v>3</v>
      </c>
      <c r="R214" s="80" t="str">
        <f>REPLACE(INDEX(GroupVertices[Group],MATCH(Edges[[#This Row],[Vertex 2]],GroupVertices[Vertex],0)),1,1,"")</f>
        <v>3</v>
      </c>
      <c r="S214" s="34"/>
      <c r="T214" s="34"/>
      <c r="U214" s="34"/>
      <c r="V214" s="34"/>
      <c r="W214" s="34"/>
      <c r="X214" s="34"/>
      <c r="Y214" s="34"/>
      <c r="Z214" s="34"/>
      <c r="AA214" s="34"/>
    </row>
    <row r="215" spans="1:27" ht="15">
      <c r="A215" s="66" t="s">
        <v>229</v>
      </c>
      <c r="B215" s="66" t="s">
        <v>453</v>
      </c>
      <c r="C215" s="67" t="s">
        <v>4454</v>
      </c>
      <c r="D215" s="68">
        <v>5</v>
      </c>
      <c r="E215" s="69"/>
      <c r="F215" s="70">
        <v>20</v>
      </c>
      <c r="G215" s="67"/>
      <c r="H215" s="71"/>
      <c r="I215" s="72"/>
      <c r="J215" s="72"/>
      <c r="K215" s="34"/>
      <c r="L215" s="79">
        <v>215</v>
      </c>
      <c r="M215" s="79"/>
      <c r="N215" s="74"/>
      <c r="O215" s="81" t="s">
        <v>944</v>
      </c>
      <c r="P215">
        <v>1</v>
      </c>
      <c r="Q215" s="80" t="str">
        <f>REPLACE(INDEX(GroupVertices[Group],MATCH(Edges[[#This Row],[Vertex 1]],GroupVertices[Vertex],0)),1,1,"")</f>
        <v>1</v>
      </c>
      <c r="R215" s="80" t="e">
        <f>REPLACE(INDEX(GroupVertices[Group],MATCH(Edges[[#This Row],[Vertex 2]],GroupVertices[Vertex],0)),1,1,"")</f>
        <v>#N/A</v>
      </c>
      <c r="S215" s="34"/>
      <c r="T215" s="34"/>
      <c r="U215" s="34"/>
      <c r="V215" s="34"/>
      <c r="W215" s="34"/>
      <c r="X215" s="34"/>
      <c r="Y215" s="34"/>
      <c r="Z215" s="34"/>
      <c r="AA215" s="34"/>
    </row>
    <row r="216" spans="1:27" ht="15">
      <c r="A216" s="66" t="s">
        <v>229</v>
      </c>
      <c r="B216" s="66" t="s">
        <v>454</v>
      </c>
      <c r="C216" s="67" t="s">
        <v>4454</v>
      </c>
      <c r="D216" s="68">
        <v>5</v>
      </c>
      <c r="E216" s="69"/>
      <c r="F216" s="70">
        <v>20</v>
      </c>
      <c r="G216" s="67"/>
      <c r="H216" s="71"/>
      <c r="I216" s="72"/>
      <c r="J216" s="72"/>
      <c r="K216" s="34"/>
      <c r="L216" s="79">
        <v>216</v>
      </c>
      <c r="M216" s="79"/>
      <c r="N216" s="74"/>
      <c r="O216" s="81" t="s">
        <v>944</v>
      </c>
      <c r="P216">
        <v>1</v>
      </c>
      <c r="Q216" s="80" t="str">
        <f>REPLACE(INDEX(GroupVertices[Group],MATCH(Edges[[#This Row],[Vertex 1]],GroupVertices[Vertex],0)),1,1,"")</f>
        <v>1</v>
      </c>
      <c r="R216" s="80" t="e">
        <f>REPLACE(INDEX(GroupVertices[Group],MATCH(Edges[[#This Row],[Vertex 2]],GroupVertices[Vertex],0)),1,1,"")</f>
        <v>#N/A</v>
      </c>
      <c r="S216" s="34"/>
      <c r="T216" s="34"/>
      <c r="U216" s="34"/>
      <c r="V216" s="34"/>
      <c r="W216" s="34"/>
      <c r="X216" s="34"/>
      <c r="Y216" s="34"/>
      <c r="Z216" s="34"/>
      <c r="AA216" s="34"/>
    </row>
    <row r="217" spans="1:27" ht="15">
      <c r="A217" s="66" t="s">
        <v>229</v>
      </c>
      <c r="B217" s="66" t="s">
        <v>455</v>
      </c>
      <c r="C217" s="67" t="s">
        <v>4454</v>
      </c>
      <c r="D217" s="68">
        <v>5</v>
      </c>
      <c r="E217" s="69"/>
      <c r="F217" s="70">
        <v>20</v>
      </c>
      <c r="G217" s="67"/>
      <c r="H217" s="71"/>
      <c r="I217" s="72"/>
      <c r="J217" s="72"/>
      <c r="K217" s="34"/>
      <c r="L217" s="79">
        <v>217</v>
      </c>
      <c r="M217" s="79"/>
      <c r="N217" s="74"/>
      <c r="O217" s="81" t="s">
        <v>944</v>
      </c>
      <c r="P217">
        <v>1</v>
      </c>
      <c r="Q217" s="80" t="str">
        <f>REPLACE(INDEX(GroupVertices[Group],MATCH(Edges[[#This Row],[Vertex 1]],GroupVertices[Vertex],0)),1,1,"")</f>
        <v>1</v>
      </c>
      <c r="R217" s="80" t="e">
        <f>REPLACE(INDEX(GroupVertices[Group],MATCH(Edges[[#This Row],[Vertex 2]],GroupVertices[Vertex],0)),1,1,"")</f>
        <v>#N/A</v>
      </c>
      <c r="S217" s="34"/>
      <c r="T217" s="34"/>
      <c r="U217" s="34"/>
      <c r="V217" s="34"/>
      <c r="W217" s="34"/>
      <c r="X217" s="34"/>
      <c r="Y217" s="34"/>
      <c r="Z217" s="34"/>
      <c r="AA217" s="34"/>
    </row>
    <row r="218" spans="1:27" ht="15">
      <c r="A218" s="66" t="s">
        <v>229</v>
      </c>
      <c r="B218" s="66" t="s">
        <v>456</v>
      </c>
      <c r="C218" s="67" t="s">
        <v>4454</v>
      </c>
      <c r="D218" s="68">
        <v>5</v>
      </c>
      <c r="E218" s="69"/>
      <c r="F218" s="70">
        <v>20</v>
      </c>
      <c r="G218" s="67"/>
      <c r="H218" s="71"/>
      <c r="I218" s="72"/>
      <c r="J218" s="72"/>
      <c r="K218" s="34"/>
      <c r="L218" s="79">
        <v>218</v>
      </c>
      <c r="M218" s="79"/>
      <c r="N218" s="74"/>
      <c r="O218" s="81" t="s">
        <v>944</v>
      </c>
      <c r="P218">
        <v>1</v>
      </c>
      <c r="Q218" s="80" t="str">
        <f>REPLACE(INDEX(GroupVertices[Group],MATCH(Edges[[#This Row],[Vertex 1]],GroupVertices[Vertex],0)),1,1,"")</f>
        <v>1</v>
      </c>
      <c r="R218" s="80" t="e">
        <f>REPLACE(INDEX(GroupVertices[Group],MATCH(Edges[[#This Row],[Vertex 2]],GroupVertices[Vertex],0)),1,1,"")</f>
        <v>#N/A</v>
      </c>
      <c r="S218" s="34"/>
      <c r="T218" s="34"/>
      <c r="U218" s="34"/>
      <c r="V218" s="34"/>
      <c r="W218" s="34"/>
      <c r="X218" s="34"/>
      <c r="Y218" s="34"/>
      <c r="Z218" s="34"/>
      <c r="AA218" s="34"/>
    </row>
    <row r="219" spans="1:27" ht="15">
      <c r="A219" s="66" t="s">
        <v>229</v>
      </c>
      <c r="B219" s="66" t="s">
        <v>457</v>
      </c>
      <c r="C219" s="67" t="s">
        <v>4454</v>
      </c>
      <c r="D219" s="68">
        <v>5</v>
      </c>
      <c r="E219" s="69"/>
      <c r="F219" s="70">
        <v>20</v>
      </c>
      <c r="G219" s="67"/>
      <c r="H219" s="71"/>
      <c r="I219" s="72"/>
      <c r="J219" s="72"/>
      <c r="K219" s="34"/>
      <c r="L219" s="79">
        <v>219</v>
      </c>
      <c r="M219" s="79"/>
      <c r="N219" s="74"/>
      <c r="O219" s="81" t="s">
        <v>944</v>
      </c>
      <c r="P219">
        <v>1</v>
      </c>
      <c r="Q219" s="80" t="str">
        <f>REPLACE(INDEX(GroupVertices[Group],MATCH(Edges[[#This Row],[Vertex 1]],GroupVertices[Vertex],0)),1,1,"")</f>
        <v>1</v>
      </c>
      <c r="R219" s="80" t="e">
        <f>REPLACE(INDEX(GroupVertices[Group],MATCH(Edges[[#This Row],[Vertex 2]],GroupVertices[Vertex],0)),1,1,"")</f>
        <v>#N/A</v>
      </c>
      <c r="S219" s="34"/>
      <c r="T219" s="34"/>
      <c r="U219" s="34"/>
      <c r="V219" s="34"/>
      <c r="W219" s="34"/>
      <c r="X219" s="34"/>
      <c r="Y219" s="34"/>
      <c r="Z219" s="34"/>
      <c r="AA219" s="34"/>
    </row>
    <row r="220" spans="1:27" ht="15">
      <c r="A220" s="66" t="s">
        <v>229</v>
      </c>
      <c r="B220" s="66" t="s">
        <v>458</v>
      </c>
      <c r="C220" s="67" t="s">
        <v>4454</v>
      </c>
      <c r="D220" s="68">
        <v>5</v>
      </c>
      <c r="E220" s="69"/>
      <c r="F220" s="70">
        <v>20</v>
      </c>
      <c r="G220" s="67"/>
      <c r="H220" s="71"/>
      <c r="I220" s="72"/>
      <c r="J220" s="72"/>
      <c r="K220" s="34"/>
      <c r="L220" s="79">
        <v>220</v>
      </c>
      <c r="M220" s="79"/>
      <c r="N220" s="74"/>
      <c r="O220" s="81" t="s">
        <v>944</v>
      </c>
      <c r="P220">
        <v>1</v>
      </c>
      <c r="Q220" s="80" t="str">
        <f>REPLACE(INDEX(GroupVertices[Group],MATCH(Edges[[#This Row],[Vertex 1]],GroupVertices[Vertex],0)),1,1,"")</f>
        <v>1</v>
      </c>
      <c r="R220" s="80" t="e">
        <f>REPLACE(INDEX(GroupVertices[Group],MATCH(Edges[[#This Row],[Vertex 2]],GroupVertices[Vertex],0)),1,1,"")</f>
        <v>#N/A</v>
      </c>
      <c r="S220" s="34"/>
      <c r="T220" s="34"/>
      <c r="U220" s="34"/>
      <c r="V220" s="34"/>
      <c r="W220" s="34"/>
      <c r="X220" s="34"/>
      <c r="Y220" s="34"/>
      <c r="Z220" s="34"/>
      <c r="AA220" s="34"/>
    </row>
    <row r="221" spans="1:27" ht="15">
      <c r="A221" s="66" t="s">
        <v>229</v>
      </c>
      <c r="B221" s="66" t="s">
        <v>459</v>
      </c>
      <c r="C221" s="67" t="s">
        <v>4454</v>
      </c>
      <c r="D221" s="68">
        <v>5</v>
      </c>
      <c r="E221" s="69"/>
      <c r="F221" s="70">
        <v>20</v>
      </c>
      <c r="G221" s="67"/>
      <c r="H221" s="71"/>
      <c r="I221" s="72"/>
      <c r="J221" s="72"/>
      <c r="K221" s="34"/>
      <c r="L221" s="79">
        <v>221</v>
      </c>
      <c r="M221" s="79"/>
      <c r="N221" s="74"/>
      <c r="O221" s="81" t="s">
        <v>944</v>
      </c>
      <c r="P221">
        <v>1</v>
      </c>
      <c r="Q221" s="80" t="str">
        <f>REPLACE(INDEX(GroupVertices[Group],MATCH(Edges[[#This Row],[Vertex 1]],GroupVertices[Vertex],0)),1,1,"")</f>
        <v>1</v>
      </c>
      <c r="R221" s="80" t="e">
        <f>REPLACE(INDEX(GroupVertices[Group],MATCH(Edges[[#This Row],[Vertex 2]],GroupVertices[Vertex],0)),1,1,"")</f>
        <v>#N/A</v>
      </c>
      <c r="S221" s="34"/>
      <c r="T221" s="34"/>
      <c r="U221" s="34"/>
      <c r="V221" s="34"/>
      <c r="W221" s="34"/>
      <c r="X221" s="34"/>
      <c r="Y221" s="34"/>
      <c r="Z221" s="34"/>
      <c r="AA221" s="34"/>
    </row>
    <row r="222" spans="1:27" ht="15">
      <c r="A222" s="66" t="s">
        <v>229</v>
      </c>
      <c r="B222" s="66" t="s">
        <v>460</v>
      </c>
      <c r="C222" s="67" t="s">
        <v>4454</v>
      </c>
      <c r="D222" s="68">
        <v>5</v>
      </c>
      <c r="E222" s="69"/>
      <c r="F222" s="70">
        <v>20</v>
      </c>
      <c r="G222" s="67"/>
      <c r="H222" s="71"/>
      <c r="I222" s="72"/>
      <c r="J222" s="72"/>
      <c r="K222" s="34"/>
      <c r="L222" s="79">
        <v>222</v>
      </c>
      <c r="M222" s="79"/>
      <c r="N222" s="74"/>
      <c r="O222" s="81" t="s">
        <v>944</v>
      </c>
      <c r="P222">
        <v>1</v>
      </c>
      <c r="Q222" s="80" t="str">
        <f>REPLACE(INDEX(GroupVertices[Group],MATCH(Edges[[#This Row],[Vertex 1]],GroupVertices[Vertex],0)),1,1,"")</f>
        <v>1</v>
      </c>
      <c r="R222" s="80" t="e">
        <f>REPLACE(INDEX(GroupVertices[Group],MATCH(Edges[[#This Row],[Vertex 2]],GroupVertices[Vertex],0)),1,1,"")</f>
        <v>#N/A</v>
      </c>
      <c r="S222" s="34"/>
      <c r="T222" s="34"/>
      <c r="U222" s="34"/>
      <c r="V222" s="34"/>
      <c r="W222" s="34"/>
      <c r="X222" s="34"/>
      <c r="Y222" s="34"/>
      <c r="Z222" s="34"/>
      <c r="AA222" s="34"/>
    </row>
    <row r="223" spans="1:27" ht="15">
      <c r="A223" s="66" t="s">
        <v>229</v>
      </c>
      <c r="B223" s="66" t="s">
        <v>461</v>
      </c>
      <c r="C223" s="67" t="s">
        <v>4454</v>
      </c>
      <c r="D223" s="68">
        <v>5</v>
      </c>
      <c r="E223" s="69"/>
      <c r="F223" s="70">
        <v>20</v>
      </c>
      <c r="G223" s="67"/>
      <c r="H223" s="71"/>
      <c r="I223" s="72"/>
      <c r="J223" s="72"/>
      <c r="K223" s="34"/>
      <c r="L223" s="79">
        <v>223</v>
      </c>
      <c r="M223" s="79"/>
      <c r="N223" s="74"/>
      <c r="O223" s="81" t="s">
        <v>944</v>
      </c>
      <c r="P223">
        <v>1</v>
      </c>
      <c r="Q223" s="80" t="str">
        <f>REPLACE(INDEX(GroupVertices[Group],MATCH(Edges[[#This Row],[Vertex 1]],GroupVertices[Vertex],0)),1,1,"")</f>
        <v>1</v>
      </c>
      <c r="R223" s="80" t="e">
        <f>REPLACE(INDEX(GroupVertices[Group],MATCH(Edges[[#This Row],[Vertex 2]],GroupVertices[Vertex],0)),1,1,"")</f>
        <v>#N/A</v>
      </c>
      <c r="S223" s="34"/>
      <c r="T223" s="34"/>
      <c r="U223" s="34"/>
      <c r="V223" s="34"/>
      <c r="W223" s="34"/>
      <c r="X223" s="34"/>
      <c r="Y223" s="34"/>
      <c r="Z223" s="34"/>
      <c r="AA223" s="34"/>
    </row>
    <row r="224" spans="1:27" ht="15">
      <c r="A224" s="66" t="s">
        <v>229</v>
      </c>
      <c r="B224" s="66" t="s">
        <v>462</v>
      </c>
      <c r="C224" s="67" t="s">
        <v>4454</v>
      </c>
      <c r="D224" s="68">
        <v>5</v>
      </c>
      <c r="E224" s="69"/>
      <c r="F224" s="70">
        <v>20</v>
      </c>
      <c r="G224" s="67"/>
      <c r="H224" s="71"/>
      <c r="I224" s="72"/>
      <c r="J224" s="72"/>
      <c r="K224" s="34"/>
      <c r="L224" s="79">
        <v>224</v>
      </c>
      <c r="M224" s="79"/>
      <c r="N224" s="74"/>
      <c r="O224" s="81" t="s">
        <v>944</v>
      </c>
      <c r="P224">
        <v>1</v>
      </c>
      <c r="Q224" s="80" t="str">
        <f>REPLACE(INDEX(GroupVertices[Group],MATCH(Edges[[#This Row],[Vertex 1]],GroupVertices[Vertex],0)),1,1,"")</f>
        <v>1</v>
      </c>
      <c r="R224" s="80" t="e">
        <f>REPLACE(INDEX(GroupVertices[Group],MATCH(Edges[[#This Row],[Vertex 2]],GroupVertices[Vertex],0)),1,1,"")</f>
        <v>#N/A</v>
      </c>
      <c r="S224" s="34"/>
      <c r="T224" s="34"/>
      <c r="U224" s="34"/>
      <c r="V224" s="34"/>
      <c r="W224" s="34"/>
      <c r="X224" s="34"/>
      <c r="Y224" s="34"/>
      <c r="Z224" s="34"/>
      <c r="AA224" s="34"/>
    </row>
    <row r="225" spans="1:27" ht="15">
      <c r="A225" s="66" t="s">
        <v>229</v>
      </c>
      <c r="B225" s="66" t="s">
        <v>463</v>
      </c>
      <c r="C225" s="67" t="s">
        <v>4454</v>
      </c>
      <c r="D225" s="68">
        <v>5</v>
      </c>
      <c r="E225" s="69"/>
      <c r="F225" s="70">
        <v>20</v>
      </c>
      <c r="G225" s="67"/>
      <c r="H225" s="71"/>
      <c r="I225" s="72"/>
      <c r="J225" s="72"/>
      <c r="K225" s="34"/>
      <c r="L225" s="79">
        <v>225</v>
      </c>
      <c r="M225" s="79"/>
      <c r="N225" s="74"/>
      <c r="O225" s="81" t="s">
        <v>944</v>
      </c>
      <c r="P225">
        <v>1</v>
      </c>
      <c r="Q225" s="80" t="str">
        <f>REPLACE(INDEX(GroupVertices[Group],MATCH(Edges[[#This Row],[Vertex 1]],GroupVertices[Vertex],0)),1,1,"")</f>
        <v>1</v>
      </c>
      <c r="R225" s="80" t="e">
        <f>REPLACE(INDEX(GroupVertices[Group],MATCH(Edges[[#This Row],[Vertex 2]],GroupVertices[Vertex],0)),1,1,"")</f>
        <v>#N/A</v>
      </c>
      <c r="S225" s="34"/>
      <c r="T225" s="34"/>
      <c r="U225" s="34"/>
      <c r="V225" s="34"/>
      <c r="W225" s="34"/>
      <c r="X225" s="34"/>
      <c r="Y225" s="34"/>
      <c r="Z225" s="34"/>
      <c r="AA225" s="34"/>
    </row>
    <row r="226" spans="1:27" ht="15">
      <c r="A226" s="66" t="s">
        <v>229</v>
      </c>
      <c r="B226" s="66" t="s">
        <v>464</v>
      </c>
      <c r="C226" s="67" t="s">
        <v>4454</v>
      </c>
      <c r="D226" s="68">
        <v>5</v>
      </c>
      <c r="E226" s="69"/>
      <c r="F226" s="70">
        <v>20</v>
      </c>
      <c r="G226" s="67"/>
      <c r="H226" s="71"/>
      <c r="I226" s="72"/>
      <c r="J226" s="72"/>
      <c r="K226" s="34"/>
      <c r="L226" s="79">
        <v>226</v>
      </c>
      <c r="M226" s="79"/>
      <c r="N226" s="74"/>
      <c r="O226" s="81" t="s">
        <v>944</v>
      </c>
      <c r="P226">
        <v>1</v>
      </c>
      <c r="Q226" s="80" t="str">
        <f>REPLACE(INDEX(GroupVertices[Group],MATCH(Edges[[#This Row],[Vertex 1]],GroupVertices[Vertex],0)),1,1,"")</f>
        <v>1</v>
      </c>
      <c r="R226" s="80" t="e">
        <f>REPLACE(INDEX(GroupVertices[Group],MATCH(Edges[[#This Row],[Vertex 2]],GroupVertices[Vertex],0)),1,1,"")</f>
        <v>#N/A</v>
      </c>
      <c r="S226" s="34"/>
      <c r="T226" s="34"/>
      <c r="U226" s="34"/>
      <c r="V226" s="34"/>
      <c r="W226" s="34"/>
      <c r="X226" s="34"/>
      <c r="Y226" s="34"/>
      <c r="Z226" s="34"/>
      <c r="AA226" s="34"/>
    </row>
    <row r="227" spans="1:27" ht="15">
      <c r="A227" s="66" t="s">
        <v>229</v>
      </c>
      <c r="B227" s="66" t="s">
        <v>465</v>
      </c>
      <c r="C227" s="67" t="s">
        <v>4454</v>
      </c>
      <c r="D227" s="68">
        <v>5</v>
      </c>
      <c r="E227" s="69"/>
      <c r="F227" s="70">
        <v>20</v>
      </c>
      <c r="G227" s="67"/>
      <c r="H227" s="71"/>
      <c r="I227" s="72"/>
      <c r="J227" s="72"/>
      <c r="K227" s="34"/>
      <c r="L227" s="79">
        <v>227</v>
      </c>
      <c r="M227" s="79"/>
      <c r="N227" s="74"/>
      <c r="O227" s="81" t="s">
        <v>944</v>
      </c>
      <c r="P227">
        <v>1</v>
      </c>
      <c r="Q227" s="80" t="str">
        <f>REPLACE(INDEX(GroupVertices[Group],MATCH(Edges[[#This Row],[Vertex 1]],GroupVertices[Vertex],0)),1,1,"")</f>
        <v>1</v>
      </c>
      <c r="R227" s="80" t="e">
        <f>REPLACE(INDEX(GroupVertices[Group],MATCH(Edges[[#This Row],[Vertex 2]],GroupVertices[Vertex],0)),1,1,"")</f>
        <v>#N/A</v>
      </c>
      <c r="S227" s="34"/>
      <c r="T227" s="34"/>
      <c r="U227" s="34"/>
      <c r="V227" s="34"/>
      <c r="W227" s="34"/>
      <c r="X227" s="34"/>
      <c r="Y227" s="34"/>
      <c r="Z227" s="34"/>
      <c r="AA227" s="34"/>
    </row>
    <row r="228" spans="1:27" ht="15">
      <c r="A228" s="66" t="s">
        <v>225</v>
      </c>
      <c r="B228" s="66" t="s">
        <v>466</v>
      </c>
      <c r="C228" s="67" t="s">
        <v>4454</v>
      </c>
      <c r="D228" s="68">
        <v>5</v>
      </c>
      <c r="E228" s="69"/>
      <c r="F228" s="70">
        <v>20</v>
      </c>
      <c r="G228" s="67"/>
      <c r="H228" s="71"/>
      <c r="I228" s="72"/>
      <c r="J228" s="72"/>
      <c r="K228" s="34" t="s">
        <v>65</v>
      </c>
      <c r="L228" s="79">
        <v>228</v>
      </c>
      <c r="M228" s="79"/>
      <c r="N228" s="74"/>
      <c r="O228" s="81" t="s">
        <v>944</v>
      </c>
      <c r="P228">
        <v>1</v>
      </c>
      <c r="Q228" s="80" t="str">
        <f>REPLACE(INDEX(GroupVertices[Group],MATCH(Edges[[#This Row],[Vertex 1]],GroupVertices[Vertex],0)),1,1,"")</f>
        <v>1</v>
      </c>
      <c r="R228" s="80" t="str">
        <f>REPLACE(INDEX(GroupVertices[Group],MATCH(Edges[[#This Row],[Vertex 2]],GroupVertices[Vertex],0)),1,1,"")</f>
        <v>1</v>
      </c>
      <c r="S228" s="34"/>
      <c r="T228" s="34"/>
      <c r="U228" s="34"/>
      <c r="V228" s="34"/>
      <c r="W228" s="34"/>
      <c r="X228" s="34"/>
      <c r="Y228" s="34"/>
      <c r="Z228" s="34"/>
      <c r="AA228" s="34"/>
    </row>
    <row r="229" spans="1:27" ht="15">
      <c r="A229" s="66" t="s">
        <v>229</v>
      </c>
      <c r="B229" s="66" t="s">
        <v>466</v>
      </c>
      <c r="C229" s="67" t="s">
        <v>4454</v>
      </c>
      <c r="D229" s="68">
        <v>5</v>
      </c>
      <c r="E229" s="69"/>
      <c r="F229" s="70">
        <v>20</v>
      </c>
      <c r="G229" s="67"/>
      <c r="H229" s="71"/>
      <c r="I229" s="72"/>
      <c r="J229" s="72"/>
      <c r="K229" s="34" t="s">
        <v>65</v>
      </c>
      <c r="L229" s="79">
        <v>229</v>
      </c>
      <c r="M229" s="79"/>
      <c r="N229" s="74"/>
      <c r="O229" s="81" t="s">
        <v>944</v>
      </c>
      <c r="P229">
        <v>1</v>
      </c>
      <c r="Q229" s="80" t="str">
        <f>REPLACE(INDEX(GroupVertices[Group],MATCH(Edges[[#This Row],[Vertex 1]],GroupVertices[Vertex],0)),1,1,"")</f>
        <v>1</v>
      </c>
      <c r="R229" s="80" t="str">
        <f>REPLACE(INDEX(GroupVertices[Group],MATCH(Edges[[#This Row],[Vertex 2]],GroupVertices[Vertex],0)),1,1,"")</f>
        <v>1</v>
      </c>
      <c r="S229" s="34"/>
      <c r="T229" s="34"/>
      <c r="U229" s="34"/>
      <c r="V229" s="34"/>
      <c r="W229" s="34"/>
      <c r="X229" s="34"/>
      <c r="Y229" s="34"/>
      <c r="Z229" s="34"/>
      <c r="AA229" s="34"/>
    </row>
    <row r="230" spans="1:27" ht="15">
      <c r="A230" s="66" t="s">
        <v>229</v>
      </c>
      <c r="B230" s="66" t="s">
        <v>467</v>
      </c>
      <c r="C230" s="67" t="s">
        <v>4454</v>
      </c>
      <c r="D230" s="68">
        <v>5</v>
      </c>
      <c r="E230" s="69"/>
      <c r="F230" s="70">
        <v>20</v>
      </c>
      <c r="G230" s="67"/>
      <c r="H230" s="71"/>
      <c r="I230" s="72"/>
      <c r="J230" s="72"/>
      <c r="K230" s="34"/>
      <c r="L230" s="79">
        <v>230</v>
      </c>
      <c r="M230" s="79"/>
      <c r="N230" s="74"/>
      <c r="O230" s="81" t="s">
        <v>944</v>
      </c>
      <c r="P230">
        <v>1</v>
      </c>
      <c r="Q230" s="80" t="str">
        <f>REPLACE(INDEX(GroupVertices[Group],MATCH(Edges[[#This Row],[Vertex 1]],GroupVertices[Vertex],0)),1,1,"")</f>
        <v>1</v>
      </c>
      <c r="R230" s="80" t="e">
        <f>REPLACE(INDEX(GroupVertices[Group],MATCH(Edges[[#This Row],[Vertex 2]],GroupVertices[Vertex],0)),1,1,"")</f>
        <v>#N/A</v>
      </c>
      <c r="S230" s="34"/>
      <c r="T230" s="34"/>
      <c r="U230" s="34"/>
      <c r="V230" s="34"/>
      <c r="W230" s="34"/>
      <c r="X230" s="34"/>
      <c r="Y230" s="34"/>
      <c r="Z230" s="34"/>
      <c r="AA230" s="34"/>
    </row>
    <row r="231" spans="1:27" ht="15">
      <c r="A231" s="66" t="s">
        <v>229</v>
      </c>
      <c r="B231" s="66" t="s">
        <v>468</v>
      </c>
      <c r="C231" s="67" t="s">
        <v>4454</v>
      </c>
      <c r="D231" s="68">
        <v>5</v>
      </c>
      <c r="E231" s="69"/>
      <c r="F231" s="70">
        <v>20</v>
      </c>
      <c r="G231" s="67"/>
      <c r="H231" s="71"/>
      <c r="I231" s="72"/>
      <c r="J231" s="72"/>
      <c r="K231" s="34"/>
      <c r="L231" s="79">
        <v>231</v>
      </c>
      <c r="M231" s="79"/>
      <c r="N231" s="74"/>
      <c r="O231" s="81" t="s">
        <v>944</v>
      </c>
      <c r="P231">
        <v>1</v>
      </c>
      <c r="Q231" s="80" t="str">
        <f>REPLACE(INDEX(GroupVertices[Group],MATCH(Edges[[#This Row],[Vertex 1]],GroupVertices[Vertex],0)),1,1,"")</f>
        <v>1</v>
      </c>
      <c r="R231" s="80" t="e">
        <f>REPLACE(INDEX(GroupVertices[Group],MATCH(Edges[[#This Row],[Vertex 2]],GroupVertices[Vertex],0)),1,1,"")</f>
        <v>#N/A</v>
      </c>
      <c r="S231" s="34"/>
      <c r="T231" s="34"/>
      <c r="U231" s="34"/>
      <c r="V231" s="34"/>
      <c r="W231" s="34"/>
      <c r="X231" s="34"/>
      <c r="Y231" s="34"/>
      <c r="Z231" s="34"/>
      <c r="AA231" s="34"/>
    </row>
    <row r="232" spans="1:27" ht="15">
      <c r="A232" s="66" t="s">
        <v>229</v>
      </c>
      <c r="B232" s="66" t="s">
        <v>469</v>
      </c>
      <c r="C232" s="67" t="s">
        <v>4454</v>
      </c>
      <c r="D232" s="68">
        <v>5</v>
      </c>
      <c r="E232" s="69"/>
      <c r="F232" s="70">
        <v>20</v>
      </c>
      <c r="G232" s="67"/>
      <c r="H232" s="71"/>
      <c r="I232" s="72"/>
      <c r="J232" s="72"/>
      <c r="K232" s="34"/>
      <c r="L232" s="79">
        <v>232</v>
      </c>
      <c r="M232" s="79"/>
      <c r="N232" s="74"/>
      <c r="O232" s="81" t="s">
        <v>944</v>
      </c>
      <c r="P232">
        <v>1</v>
      </c>
      <c r="Q232" s="80" t="str">
        <f>REPLACE(INDEX(GroupVertices[Group],MATCH(Edges[[#This Row],[Vertex 1]],GroupVertices[Vertex],0)),1,1,"")</f>
        <v>1</v>
      </c>
      <c r="R232" s="80" t="e">
        <f>REPLACE(INDEX(GroupVertices[Group],MATCH(Edges[[#This Row],[Vertex 2]],GroupVertices[Vertex],0)),1,1,"")</f>
        <v>#N/A</v>
      </c>
      <c r="S232" s="34"/>
      <c r="T232" s="34"/>
      <c r="U232" s="34"/>
      <c r="V232" s="34"/>
      <c r="W232" s="34"/>
      <c r="X232" s="34"/>
      <c r="Y232" s="34"/>
      <c r="Z232" s="34"/>
      <c r="AA232" s="34"/>
    </row>
    <row r="233" spans="1:27" ht="15">
      <c r="A233" s="66" t="s">
        <v>225</v>
      </c>
      <c r="B233" s="66" t="s">
        <v>470</v>
      </c>
      <c r="C233" s="67" t="s">
        <v>4454</v>
      </c>
      <c r="D233" s="68">
        <v>5</v>
      </c>
      <c r="E233" s="69"/>
      <c r="F233" s="70">
        <v>20</v>
      </c>
      <c r="G233" s="67"/>
      <c r="H233" s="71"/>
      <c r="I233" s="72"/>
      <c r="J233" s="72"/>
      <c r="K233" s="34" t="s">
        <v>65</v>
      </c>
      <c r="L233" s="79">
        <v>233</v>
      </c>
      <c r="M233" s="79"/>
      <c r="N233" s="74"/>
      <c r="O233" s="81" t="s">
        <v>944</v>
      </c>
      <c r="P233">
        <v>1</v>
      </c>
      <c r="Q233" s="80" t="str">
        <f>REPLACE(INDEX(GroupVertices[Group],MATCH(Edges[[#This Row],[Vertex 1]],GroupVertices[Vertex],0)),1,1,"")</f>
        <v>1</v>
      </c>
      <c r="R233" s="80" t="str">
        <f>REPLACE(INDEX(GroupVertices[Group],MATCH(Edges[[#This Row],[Vertex 2]],GroupVertices[Vertex],0)),1,1,"")</f>
        <v>1</v>
      </c>
      <c r="S233" s="34"/>
      <c r="T233" s="34"/>
      <c r="U233" s="34"/>
      <c r="V233" s="34"/>
      <c r="W233" s="34"/>
      <c r="X233" s="34"/>
      <c r="Y233" s="34"/>
      <c r="Z233" s="34"/>
      <c r="AA233" s="34"/>
    </row>
    <row r="234" spans="1:27" ht="15">
      <c r="A234" s="66" t="s">
        <v>227</v>
      </c>
      <c r="B234" s="66" t="s">
        <v>470</v>
      </c>
      <c r="C234" s="67" t="s">
        <v>4454</v>
      </c>
      <c r="D234" s="68">
        <v>5</v>
      </c>
      <c r="E234" s="69"/>
      <c r="F234" s="70">
        <v>20</v>
      </c>
      <c r="G234" s="67"/>
      <c r="H234" s="71"/>
      <c r="I234" s="72"/>
      <c r="J234" s="72"/>
      <c r="K234" s="34" t="s">
        <v>65</v>
      </c>
      <c r="L234" s="79">
        <v>234</v>
      </c>
      <c r="M234" s="79"/>
      <c r="N234" s="74"/>
      <c r="O234" s="81" t="s">
        <v>944</v>
      </c>
      <c r="P234">
        <v>1</v>
      </c>
      <c r="Q234" s="80" t="str">
        <f>REPLACE(INDEX(GroupVertices[Group],MATCH(Edges[[#This Row],[Vertex 1]],GroupVertices[Vertex],0)),1,1,"")</f>
        <v>3</v>
      </c>
      <c r="R234" s="80" t="str">
        <f>REPLACE(INDEX(GroupVertices[Group],MATCH(Edges[[#This Row],[Vertex 2]],GroupVertices[Vertex],0)),1,1,"")</f>
        <v>1</v>
      </c>
      <c r="S234" s="34"/>
      <c r="T234" s="34"/>
      <c r="U234" s="34"/>
      <c r="V234" s="34"/>
      <c r="W234" s="34"/>
      <c r="X234" s="34"/>
      <c r="Y234" s="34"/>
      <c r="Z234" s="34"/>
      <c r="AA234" s="34"/>
    </row>
    <row r="235" spans="1:27" ht="15">
      <c r="A235" s="66" t="s">
        <v>229</v>
      </c>
      <c r="B235" s="66" t="s">
        <v>470</v>
      </c>
      <c r="C235" s="67" t="s">
        <v>4454</v>
      </c>
      <c r="D235" s="68">
        <v>5</v>
      </c>
      <c r="E235" s="69"/>
      <c r="F235" s="70">
        <v>20</v>
      </c>
      <c r="G235" s="67"/>
      <c r="H235" s="71"/>
      <c r="I235" s="72"/>
      <c r="J235" s="72"/>
      <c r="K235" s="34" t="s">
        <v>65</v>
      </c>
      <c r="L235" s="79">
        <v>235</v>
      </c>
      <c r="M235" s="79"/>
      <c r="N235" s="74"/>
      <c r="O235" s="81" t="s">
        <v>944</v>
      </c>
      <c r="P235">
        <v>1</v>
      </c>
      <c r="Q235" s="80" t="str">
        <f>REPLACE(INDEX(GroupVertices[Group],MATCH(Edges[[#This Row],[Vertex 1]],GroupVertices[Vertex],0)),1,1,"")</f>
        <v>1</v>
      </c>
      <c r="R235" s="80" t="str">
        <f>REPLACE(INDEX(GroupVertices[Group],MATCH(Edges[[#This Row],[Vertex 2]],GroupVertices[Vertex],0)),1,1,"")</f>
        <v>1</v>
      </c>
      <c r="S235" s="34"/>
      <c r="T235" s="34"/>
      <c r="U235" s="34"/>
      <c r="V235" s="34"/>
      <c r="W235" s="34"/>
      <c r="X235" s="34"/>
      <c r="Y235" s="34"/>
      <c r="Z235" s="34"/>
      <c r="AA235" s="34"/>
    </row>
    <row r="236" spans="1:27" ht="15">
      <c r="A236" s="66" t="s">
        <v>229</v>
      </c>
      <c r="B236" s="66" t="s">
        <v>471</v>
      </c>
      <c r="C236" s="67" t="s">
        <v>4454</v>
      </c>
      <c r="D236" s="68">
        <v>5</v>
      </c>
      <c r="E236" s="69"/>
      <c r="F236" s="70">
        <v>20</v>
      </c>
      <c r="G236" s="67"/>
      <c r="H236" s="71"/>
      <c r="I236" s="72"/>
      <c r="J236" s="72"/>
      <c r="K236" s="34"/>
      <c r="L236" s="79">
        <v>236</v>
      </c>
      <c r="M236" s="79"/>
      <c r="N236" s="74"/>
      <c r="O236" s="81" t="s">
        <v>944</v>
      </c>
      <c r="P236">
        <v>1</v>
      </c>
      <c r="Q236" s="80" t="str">
        <f>REPLACE(INDEX(GroupVertices[Group],MATCH(Edges[[#This Row],[Vertex 1]],GroupVertices[Vertex],0)),1,1,"")</f>
        <v>1</v>
      </c>
      <c r="R236" s="80" t="e">
        <f>REPLACE(INDEX(GroupVertices[Group],MATCH(Edges[[#This Row],[Vertex 2]],GroupVertices[Vertex],0)),1,1,"")</f>
        <v>#N/A</v>
      </c>
      <c r="S236" s="34"/>
      <c r="T236" s="34"/>
      <c r="U236" s="34"/>
      <c r="V236" s="34"/>
      <c r="W236" s="34"/>
      <c r="X236" s="34"/>
      <c r="Y236" s="34"/>
      <c r="Z236" s="34"/>
      <c r="AA236" s="34"/>
    </row>
    <row r="237" spans="1:27" ht="15">
      <c r="A237" s="66" t="s">
        <v>225</v>
      </c>
      <c r="B237" s="66" t="s">
        <v>472</v>
      </c>
      <c r="C237" s="67" t="s">
        <v>4454</v>
      </c>
      <c r="D237" s="68">
        <v>5</v>
      </c>
      <c r="E237" s="69"/>
      <c r="F237" s="70">
        <v>20</v>
      </c>
      <c r="G237" s="67"/>
      <c r="H237" s="71"/>
      <c r="I237" s="72"/>
      <c r="J237" s="72"/>
      <c r="K237" s="34" t="s">
        <v>65</v>
      </c>
      <c r="L237" s="79">
        <v>237</v>
      </c>
      <c r="M237" s="79"/>
      <c r="N237" s="74"/>
      <c r="O237" s="81" t="s">
        <v>944</v>
      </c>
      <c r="P237">
        <v>1</v>
      </c>
      <c r="Q237" s="80" t="str">
        <f>REPLACE(INDEX(GroupVertices[Group],MATCH(Edges[[#This Row],[Vertex 1]],GroupVertices[Vertex],0)),1,1,"")</f>
        <v>1</v>
      </c>
      <c r="R237" s="80" t="str">
        <f>REPLACE(INDEX(GroupVertices[Group],MATCH(Edges[[#This Row],[Vertex 2]],GroupVertices[Vertex],0)),1,1,"")</f>
        <v>1</v>
      </c>
      <c r="S237" s="34"/>
      <c r="T237" s="34"/>
      <c r="U237" s="34"/>
      <c r="V237" s="34"/>
      <c r="W237" s="34"/>
      <c r="X237" s="34"/>
      <c r="Y237" s="34"/>
      <c r="Z237" s="34"/>
      <c r="AA237" s="34"/>
    </row>
    <row r="238" spans="1:27" ht="15">
      <c r="A238" s="66" t="s">
        <v>229</v>
      </c>
      <c r="B238" s="66" t="s">
        <v>472</v>
      </c>
      <c r="C238" s="67" t="s">
        <v>4454</v>
      </c>
      <c r="D238" s="68">
        <v>5</v>
      </c>
      <c r="E238" s="69"/>
      <c r="F238" s="70">
        <v>20</v>
      </c>
      <c r="G238" s="67"/>
      <c r="H238" s="71"/>
      <c r="I238" s="72"/>
      <c r="J238" s="72"/>
      <c r="K238" s="34" t="s">
        <v>65</v>
      </c>
      <c r="L238" s="79">
        <v>238</v>
      </c>
      <c r="M238" s="79"/>
      <c r="N238" s="74"/>
      <c r="O238" s="81" t="s">
        <v>944</v>
      </c>
      <c r="P238">
        <v>1</v>
      </c>
      <c r="Q238" s="80" t="str">
        <f>REPLACE(INDEX(GroupVertices[Group],MATCH(Edges[[#This Row],[Vertex 1]],GroupVertices[Vertex],0)),1,1,"")</f>
        <v>1</v>
      </c>
      <c r="R238" s="80" t="str">
        <f>REPLACE(INDEX(GroupVertices[Group],MATCH(Edges[[#This Row],[Vertex 2]],GroupVertices[Vertex],0)),1,1,"")</f>
        <v>1</v>
      </c>
      <c r="S238" s="34"/>
      <c r="T238" s="34"/>
      <c r="U238" s="34"/>
      <c r="V238" s="34"/>
      <c r="W238" s="34"/>
      <c r="X238" s="34"/>
      <c r="Y238" s="34"/>
      <c r="Z238" s="34"/>
      <c r="AA238" s="34"/>
    </row>
    <row r="239" spans="1:27" ht="15">
      <c r="A239" s="66" t="s">
        <v>229</v>
      </c>
      <c r="B239" s="66" t="s">
        <v>473</v>
      </c>
      <c r="C239" s="67" t="s">
        <v>4454</v>
      </c>
      <c r="D239" s="68">
        <v>5</v>
      </c>
      <c r="E239" s="69"/>
      <c r="F239" s="70">
        <v>20</v>
      </c>
      <c r="G239" s="67"/>
      <c r="H239" s="71"/>
      <c r="I239" s="72"/>
      <c r="J239" s="72"/>
      <c r="K239" s="34"/>
      <c r="L239" s="79">
        <v>239</v>
      </c>
      <c r="M239" s="79"/>
      <c r="N239" s="74"/>
      <c r="O239" s="81" t="s">
        <v>944</v>
      </c>
      <c r="P239">
        <v>1</v>
      </c>
      <c r="Q239" s="80" t="str">
        <f>REPLACE(INDEX(GroupVertices[Group],MATCH(Edges[[#This Row],[Vertex 1]],GroupVertices[Vertex],0)),1,1,"")</f>
        <v>1</v>
      </c>
      <c r="R239" s="80" t="e">
        <f>REPLACE(INDEX(GroupVertices[Group],MATCH(Edges[[#This Row],[Vertex 2]],GroupVertices[Vertex],0)),1,1,"")</f>
        <v>#N/A</v>
      </c>
      <c r="S239" s="34"/>
      <c r="T239" s="34"/>
      <c r="U239" s="34"/>
      <c r="V239" s="34"/>
      <c r="W239" s="34"/>
      <c r="X239" s="34"/>
      <c r="Y239" s="34"/>
      <c r="Z239" s="34"/>
      <c r="AA239" s="34"/>
    </row>
    <row r="240" spans="1:27" ht="15">
      <c r="A240" s="66" t="s">
        <v>218</v>
      </c>
      <c r="B240" s="66" t="s">
        <v>474</v>
      </c>
      <c r="C240" s="67" t="s">
        <v>4454</v>
      </c>
      <c r="D240" s="68">
        <v>5</v>
      </c>
      <c r="E240" s="69"/>
      <c r="F240" s="70">
        <v>20</v>
      </c>
      <c r="G240" s="67"/>
      <c r="H240" s="71"/>
      <c r="I240" s="72"/>
      <c r="J240" s="72"/>
      <c r="K240" s="34"/>
      <c r="L240" s="79">
        <v>240</v>
      </c>
      <c r="M240" s="79"/>
      <c r="N240" s="74"/>
      <c r="O240" s="81" t="s">
        <v>944</v>
      </c>
      <c r="P240">
        <v>1</v>
      </c>
      <c r="Q240" s="80" t="e">
        <f>REPLACE(INDEX(GroupVertices[Group],MATCH(Edges[[#This Row],[Vertex 1]],GroupVertices[Vertex],0)),1,1,"")</f>
        <v>#N/A</v>
      </c>
      <c r="R240" s="80" t="str">
        <f>REPLACE(INDEX(GroupVertices[Group],MATCH(Edges[[#This Row],[Vertex 2]],GroupVertices[Vertex],0)),1,1,"")</f>
        <v>1</v>
      </c>
      <c r="S240" s="34"/>
      <c r="T240" s="34"/>
      <c r="U240" s="34"/>
      <c r="V240" s="34"/>
      <c r="W240" s="34"/>
      <c r="X240" s="34"/>
      <c r="Y240" s="34"/>
      <c r="Z240" s="34"/>
      <c r="AA240" s="34"/>
    </row>
    <row r="241" spans="1:27" ht="15">
      <c r="A241" s="66" t="s">
        <v>225</v>
      </c>
      <c r="B241" s="66" t="s">
        <v>474</v>
      </c>
      <c r="C241" s="67" t="s">
        <v>4454</v>
      </c>
      <c r="D241" s="68">
        <v>5</v>
      </c>
      <c r="E241" s="69"/>
      <c r="F241" s="70">
        <v>20</v>
      </c>
      <c r="G241" s="67"/>
      <c r="H241" s="71"/>
      <c r="I241" s="72"/>
      <c r="J241" s="72"/>
      <c r="K241" s="34" t="s">
        <v>65</v>
      </c>
      <c r="L241" s="79">
        <v>241</v>
      </c>
      <c r="M241" s="79"/>
      <c r="N241" s="74"/>
      <c r="O241" s="81" t="s">
        <v>944</v>
      </c>
      <c r="P241">
        <v>1</v>
      </c>
      <c r="Q241" s="80" t="str">
        <f>REPLACE(INDEX(GroupVertices[Group],MATCH(Edges[[#This Row],[Vertex 1]],GroupVertices[Vertex],0)),1,1,"")</f>
        <v>1</v>
      </c>
      <c r="R241" s="80" t="str">
        <f>REPLACE(INDEX(GroupVertices[Group],MATCH(Edges[[#This Row],[Vertex 2]],GroupVertices[Vertex],0)),1,1,"")</f>
        <v>1</v>
      </c>
      <c r="S241" s="34"/>
      <c r="T241" s="34"/>
      <c r="U241" s="34"/>
      <c r="V241" s="34"/>
      <c r="W241" s="34"/>
      <c r="X241" s="34"/>
      <c r="Y241" s="34"/>
      <c r="Z241" s="34"/>
      <c r="AA241" s="34"/>
    </row>
    <row r="242" spans="1:27" ht="15">
      <c r="A242" s="66" t="s">
        <v>229</v>
      </c>
      <c r="B242" s="66" t="s">
        <v>474</v>
      </c>
      <c r="C242" s="67" t="s">
        <v>4454</v>
      </c>
      <c r="D242" s="68">
        <v>5</v>
      </c>
      <c r="E242" s="69"/>
      <c r="F242" s="70">
        <v>20</v>
      </c>
      <c r="G242" s="67"/>
      <c r="H242" s="71"/>
      <c r="I242" s="72"/>
      <c r="J242" s="72"/>
      <c r="K242" s="34" t="s">
        <v>65</v>
      </c>
      <c r="L242" s="79">
        <v>242</v>
      </c>
      <c r="M242" s="79"/>
      <c r="N242" s="74"/>
      <c r="O242" s="81" t="s">
        <v>944</v>
      </c>
      <c r="P242">
        <v>1</v>
      </c>
      <c r="Q242" s="80" t="str">
        <f>REPLACE(INDEX(GroupVertices[Group],MATCH(Edges[[#This Row],[Vertex 1]],GroupVertices[Vertex],0)),1,1,"")</f>
        <v>1</v>
      </c>
      <c r="R242" s="80" t="str">
        <f>REPLACE(INDEX(GroupVertices[Group],MATCH(Edges[[#This Row],[Vertex 2]],GroupVertices[Vertex],0)),1,1,"")</f>
        <v>1</v>
      </c>
      <c r="S242" s="34"/>
      <c r="T242" s="34"/>
      <c r="U242" s="34"/>
      <c r="V242" s="34"/>
      <c r="W242" s="34"/>
      <c r="X242" s="34"/>
      <c r="Y242" s="34"/>
      <c r="Z242" s="34"/>
      <c r="AA242" s="34"/>
    </row>
    <row r="243" spans="1:27" ht="15">
      <c r="A243" s="66" t="s">
        <v>229</v>
      </c>
      <c r="B243" s="66" t="s">
        <v>475</v>
      </c>
      <c r="C243" s="67" t="s">
        <v>4454</v>
      </c>
      <c r="D243" s="68">
        <v>5</v>
      </c>
      <c r="E243" s="69"/>
      <c r="F243" s="70">
        <v>20</v>
      </c>
      <c r="G243" s="67"/>
      <c r="H243" s="71"/>
      <c r="I243" s="72"/>
      <c r="J243" s="72"/>
      <c r="K243" s="34"/>
      <c r="L243" s="79">
        <v>243</v>
      </c>
      <c r="M243" s="79"/>
      <c r="N243" s="74"/>
      <c r="O243" s="81" t="s">
        <v>944</v>
      </c>
      <c r="P243">
        <v>1</v>
      </c>
      <c r="Q243" s="80" t="str">
        <f>REPLACE(INDEX(GroupVertices[Group],MATCH(Edges[[#This Row],[Vertex 1]],GroupVertices[Vertex],0)),1,1,"")</f>
        <v>1</v>
      </c>
      <c r="R243" s="80" t="e">
        <f>REPLACE(INDEX(GroupVertices[Group],MATCH(Edges[[#This Row],[Vertex 2]],GroupVertices[Vertex],0)),1,1,"")</f>
        <v>#N/A</v>
      </c>
      <c r="S243" s="34"/>
      <c r="T243" s="34"/>
      <c r="U243" s="34"/>
      <c r="V243" s="34"/>
      <c r="W243" s="34"/>
      <c r="X243" s="34"/>
      <c r="Y243" s="34"/>
      <c r="Z243" s="34"/>
      <c r="AA243" s="34"/>
    </row>
    <row r="244" spans="1:27" ht="15">
      <c r="A244" s="66" t="s">
        <v>229</v>
      </c>
      <c r="B244" s="66" t="s">
        <v>476</v>
      </c>
      <c r="C244" s="67" t="s">
        <v>4454</v>
      </c>
      <c r="D244" s="68">
        <v>5</v>
      </c>
      <c r="E244" s="69"/>
      <c r="F244" s="70">
        <v>20</v>
      </c>
      <c r="G244" s="67"/>
      <c r="H244" s="71"/>
      <c r="I244" s="72"/>
      <c r="J244" s="72"/>
      <c r="K244" s="34"/>
      <c r="L244" s="79">
        <v>244</v>
      </c>
      <c r="M244" s="79"/>
      <c r="N244" s="74"/>
      <c r="O244" s="81" t="s">
        <v>944</v>
      </c>
      <c r="P244">
        <v>1</v>
      </c>
      <c r="Q244" s="80" t="str">
        <f>REPLACE(INDEX(GroupVertices[Group],MATCH(Edges[[#This Row],[Vertex 1]],GroupVertices[Vertex],0)),1,1,"")</f>
        <v>1</v>
      </c>
      <c r="R244" s="80" t="e">
        <f>REPLACE(INDEX(GroupVertices[Group],MATCH(Edges[[#This Row],[Vertex 2]],GroupVertices[Vertex],0)),1,1,"")</f>
        <v>#N/A</v>
      </c>
      <c r="S244" s="34"/>
      <c r="T244" s="34"/>
      <c r="U244" s="34"/>
      <c r="V244" s="34"/>
      <c r="W244" s="34"/>
      <c r="X244" s="34"/>
      <c r="Y244" s="34"/>
      <c r="Z244" s="34"/>
      <c r="AA244" s="34"/>
    </row>
    <row r="245" spans="1:27" ht="15">
      <c r="A245" s="66" t="s">
        <v>229</v>
      </c>
      <c r="B245" s="66" t="s">
        <v>477</v>
      </c>
      <c r="C245" s="67" t="s">
        <v>4454</v>
      </c>
      <c r="D245" s="68">
        <v>5</v>
      </c>
      <c r="E245" s="69"/>
      <c r="F245" s="70">
        <v>20</v>
      </c>
      <c r="G245" s="67"/>
      <c r="H245" s="71"/>
      <c r="I245" s="72"/>
      <c r="J245" s="72"/>
      <c r="K245" s="34"/>
      <c r="L245" s="79">
        <v>245</v>
      </c>
      <c r="M245" s="79"/>
      <c r="N245" s="74"/>
      <c r="O245" s="81" t="s">
        <v>944</v>
      </c>
      <c r="P245">
        <v>1</v>
      </c>
      <c r="Q245" s="80" t="str">
        <f>REPLACE(INDEX(GroupVertices[Group],MATCH(Edges[[#This Row],[Vertex 1]],GroupVertices[Vertex],0)),1,1,"")</f>
        <v>1</v>
      </c>
      <c r="R245" s="80" t="e">
        <f>REPLACE(INDEX(GroupVertices[Group],MATCH(Edges[[#This Row],[Vertex 2]],GroupVertices[Vertex],0)),1,1,"")</f>
        <v>#N/A</v>
      </c>
      <c r="S245" s="34"/>
      <c r="T245" s="34"/>
      <c r="U245" s="34"/>
      <c r="V245" s="34"/>
      <c r="W245" s="34"/>
      <c r="X245" s="34"/>
      <c r="Y245" s="34"/>
      <c r="Z245" s="34"/>
      <c r="AA245" s="34"/>
    </row>
    <row r="246" spans="1:27" ht="15">
      <c r="A246" s="66" t="s">
        <v>218</v>
      </c>
      <c r="B246" s="66" t="s">
        <v>225</v>
      </c>
      <c r="C246" s="67" t="s">
        <v>4454</v>
      </c>
      <c r="D246" s="68">
        <v>5</v>
      </c>
      <c r="E246" s="69"/>
      <c r="F246" s="70">
        <v>20</v>
      </c>
      <c r="G246" s="67"/>
      <c r="H246" s="71"/>
      <c r="I246" s="72"/>
      <c r="J246" s="72"/>
      <c r="K246" s="34"/>
      <c r="L246" s="79">
        <v>246</v>
      </c>
      <c r="M246" s="79"/>
      <c r="N246" s="74"/>
      <c r="O246" s="81" t="s">
        <v>944</v>
      </c>
      <c r="P246">
        <v>1</v>
      </c>
      <c r="Q246" s="80" t="e">
        <f>REPLACE(INDEX(GroupVertices[Group],MATCH(Edges[[#This Row],[Vertex 1]],GroupVertices[Vertex],0)),1,1,"")</f>
        <v>#N/A</v>
      </c>
      <c r="R246" s="80" t="str">
        <f>REPLACE(INDEX(GroupVertices[Group],MATCH(Edges[[#This Row],[Vertex 2]],GroupVertices[Vertex],0)),1,1,"")</f>
        <v>1</v>
      </c>
      <c r="S246" s="34"/>
      <c r="T246" s="34"/>
      <c r="U246" s="34"/>
      <c r="V246" s="34"/>
      <c r="W246" s="34"/>
      <c r="X246" s="34"/>
      <c r="Y246" s="34"/>
      <c r="Z246" s="34"/>
      <c r="AA246" s="34"/>
    </row>
    <row r="247" spans="1:27" ht="15">
      <c r="A247" s="66" t="s">
        <v>225</v>
      </c>
      <c r="B247" s="66" t="s">
        <v>236</v>
      </c>
      <c r="C247" s="67" t="s">
        <v>4454</v>
      </c>
      <c r="D247" s="68">
        <v>5</v>
      </c>
      <c r="E247" s="69"/>
      <c r="F247" s="70">
        <v>20</v>
      </c>
      <c r="G247" s="67"/>
      <c r="H247" s="71"/>
      <c r="I247" s="72"/>
      <c r="J247" s="72"/>
      <c r="K247" s="34" t="s">
        <v>65</v>
      </c>
      <c r="L247" s="79">
        <v>247</v>
      </c>
      <c r="M247" s="79"/>
      <c r="N247" s="74"/>
      <c r="O247" s="81" t="s">
        <v>944</v>
      </c>
      <c r="P247">
        <v>1</v>
      </c>
      <c r="Q247" s="80" t="str">
        <f>REPLACE(INDEX(GroupVertices[Group],MATCH(Edges[[#This Row],[Vertex 1]],GroupVertices[Vertex],0)),1,1,"")</f>
        <v>1</v>
      </c>
      <c r="R247" s="80" t="str">
        <f>REPLACE(INDEX(GroupVertices[Group],MATCH(Edges[[#This Row],[Vertex 2]],GroupVertices[Vertex],0)),1,1,"")</f>
        <v>1</v>
      </c>
      <c r="S247" s="34"/>
      <c r="T247" s="34"/>
      <c r="U247" s="34"/>
      <c r="V247" s="34"/>
      <c r="W247" s="34"/>
      <c r="X247" s="34"/>
      <c r="Y247" s="34"/>
      <c r="Z247" s="34"/>
      <c r="AA247" s="34"/>
    </row>
    <row r="248" spans="1:27" ht="15">
      <c r="A248" s="66" t="s">
        <v>225</v>
      </c>
      <c r="B248" s="66" t="s">
        <v>478</v>
      </c>
      <c r="C248" s="67" t="s">
        <v>4454</v>
      </c>
      <c r="D248" s="68">
        <v>5</v>
      </c>
      <c r="E248" s="69"/>
      <c r="F248" s="70">
        <v>20</v>
      </c>
      <c r="G248" s="67"/>
      <c r="H248" s="71"/>
      <c r="I248" s="72"/>
      <c r="J248" s="72"/>
      <c r="K248" s="34" t="s">
        <v>65</v>
      </c>
      <c r="L248" s="79">
        <v>248</v>
      </c>
      <c r="M248" s="79"/>
      <c r="N248" s="74"/>
      <c r="O248" s="81" t="s">
        <v>944</v>
      </c>
      <c r="P248">
        <v>1</v>
      </c>
      <c r="Q248" s="80" t="str">
        <f>REPLACE(INDEX(GroupVertices[Group],MATCH(Edges[[#This Row],[Vertex 1]],GroupVertices[Vertex],0)),1,1,"")</f>
        <v>1</v>
      </c>
      <c r="R248" s="80" t="str">
        <f>REPLACE(INDEX(GroupVertices[Group],MATCH(Edges[[#This Row],[Vertex 2]],GroupVertices[Vertex],0)),1,1,"")</f>
        <v>3</v>
      </c>
      <c r="S248" s="34"/>
      <c r="T248" s="34"/>
      <c r="U248" s="34"/>
      <c r="V248" s="34"/>
      <c r="W248" s="34"/>
      <c r="X248" s="34"/>
      <c r="Y248" s="34"/>
      <c r="Z248" s="34"/>
      <c r="AA248" s="34"/>
    </row>
    <row r="249" spans="1:27" ht="15">
      <c r="A249" s="66" t="s">
        <v>225</v>
      </c>
      <c r="B249" s="66" t="s">
        <v>479</v>
      </c>
      <c r="C249" s="67" t="s">
        <v>4454</v>
      </c>
      <c r="D249" s="68">
        <v>5</v>
      </c>
      <c r="E249" s="69"/>
      <c r="F249" s="70">
        <v>20</v>
      </c>
      <c r="G249" s="67"/>
      <c r="H249" s="71"/>
      <c r="I249" s="72"/>
      <c r="J249" s="72"/>
      <c r="K249" s="34" t="s">
        <v>65</v>
      </c>
      <c r="L249" s="79">
        <v>249</v>
      </c>
      <c r="M249" s="79"/>
      <c r="N249" s="74"/>
      <c r="O249" s="81" t="s">
        <v>944</v>
      </c>
      <c r="P249">
        <v>1</v>
      </c>
      <c r="Q249" s="80" t="str">
        <f>REPLACE(INDEX(GroupVertices[Group],MATCH(Edges[[#This Row],[Vertex 1]],GroupVertices[Vertex],0)),1,1,"")</f>
        <v>1</v>
      </c>
      <c r="R249" s="80" t="str">
        <f>REPLACE(INDEX(GroupVertices[Group],MATCH(Edges[[#This Row],[Vertex 2]],GroupVertices[Vertex],0)),1,1,"")</f>
        <v>2</v>
      </c>
      <c r="S249" s="34"/>
      <c r="T249" s="34"/>
      <c r="U249" s="34"/>
      <c r="V249" s="34"/>
      <c r="W249" s="34"/>
      <c r="X249" s="34"/>
      <c r="Y249" s="34"/>
      <c r="Z249" s="34"/>
      <c r="AA249" s="34"/>
    </row>
    <row r="250" spans="1:27" ht="15">
      <c r="A250" s="66" t="s">
        <v>225</v>
      </c>
      <c r="B250" s="66" t="s">
        <v>480</v>
      </c>
      <c r="C250" s="67" t="s">
        <v>4454</v>
      </c>
      <c r="D250" s="68">
        <v>5</v>
      </c>
      <c r="E250" s="69"/>
      <c r="F250" s="70">
        <v>20</v>
      </c>
      <c r="G250" s="67"/>
      <c r="H250" s="71"/>
      <c r="I250" s="72"/>
      <c r="J250" s="72"/>
      <c r="K250" s="34" t="s">
        <v>65</v>
      </c>
      <c r="L250" s="79">
        <v>250</v>
      </c>
      <c r="M250" s="79"/>
      <c r="N250" s="74"/>
      <c r="O250" s="81" t="s">
        <v>944</v>
      </c>
      <c r="P250">
        <v>1</v>
      </c>
      <c r="Q250" s="80" t="str">
        <f>REPLACE(INDEX(GroupVertices[Group],MATCH(Edges[[#This Row],[Vertex 1]],GroupVertices[Vertex],0)),1,1,"")</f>
        <v>1</v>
      </c>
      <c r="R250" s="80" t="str">
        <f>REPLACE(INDEX(GroupVertices[Group],MATCH(Edges[[#This Row],[Vertex 2]],GroupVertices[Vertex],0)),1,1,"")</f>
        <v>1</v>
      </c>
      <c r="S250" s="34"/>
      <c r="T250" s="34"/>
      <c r="U250" s="34"/>
      <c r="V250" s="34"/>
      <c r="W250" s="34"/>
      <c r="X250" s="34"/>
      <c r="Y250" s="34"/>
      <c r="Z250" s="34"/>
      <c r="AA250" s="34"/>
    </row>
    <row r="251" spans="1:27" ht="15">
      <c r="A251" s="66" t="s">
        <v>225</v>
      </c>
      <c r="B251" s="66" t="s">
        <v>481</v>
      </c>
      <c r="C251" s="67" t="s">
        <v>4454</v>
      </c>
      <c r="D251" s="68">
        <v>5</v>
      </c>
      <c r="E251" s="69"/>
      <c r="F251" s="70">
        <v>20</v>
      </c>
      <c r="G251" s="67"/>
      <c r="H251" s="71"/>
      <c r="I251" s="72"/>
      <c r="J251" s="72"/>
      <c r="K251" s="34" t="s">
        <v>65</v>
      </c>
      <c r="L251" s="79">
        <v>251</v>
      </c>
      <c r="M251" s="79"/>
      <c r="N251" s="74"/>
      <c r="O251" s="81" t="s">
        <v>944</v>
      </c>
      <c r="P251">
        <v>1</v>
      </c>
      <c r="Q251" s="80" t="str">
        <f>REPLACE(INDEX(GroupVertices[Group],MATCH(Edges[[#This Row],[Vertex 1]],GroupVertices[Vertex],0)),1,1,"")</f>
        <v>1</v>
      </c>
      <c r="R251" s="80" t="str">
        <f>REPLACE(INDEX(GroupVertices[Group],MATCH(Edges[[#This Row],[Vertex 2]],GroupVertices[Vertex],0)),1,1,"")</f>
        <v>1</v>
      </c>
      <c r="S251" s="34"/>
      <c r="T251" s="34"/>
      <c r="U251" s="34"/>
      <c r="V251" s="34"/>
      <c r="W251" s="34"/>
      <c r="X251" s="34"/>
      <c r="Y251" s="34"/>
      <c r="Z251" s="34"/>
      <c r="AA251" s="34"/>
    </row>
    <row r="252" spans="1:27" ht="15">
      <c r="A252" s="66" t="s">
        <v>225</v>
      </c>
      <c r="B252" s="66" t="s">
        <v>482</v>
      </c>
      <c r="C252" s="67" t="s">
        <v>4454</v>
      </c>
      <c r="D252" s="68">
        <v>5</v>
      </c>
      <c r="E252" s="69"/>
      <c r="F252" s="70">
        <v>20</v>
      </c>
      <c r="G252" s="67"/>
      <c r="H252" s="71"/>
      <c r="I252" s="72"/>
      <c r="J252" s="72"/>
      <c r="K252" s="34" t="s">
        <v>65</v>
      </c>
      <c r="L252" s="79">
        <v>252</v>
      </c>
      <c r="M252" s="79"/>
      <c r="N252" s="74"/>
      <c r="O252" s="81" t="s">
        <v>944</v>
      </c>
      <c r="P252">
        <v>1</v>
      </c>
      <c r="Q252" s="80" t="str">
        <f>REPLACE(INDEX(GroupVertices[Group],MATCH(Edges[[#This Row],[Vertex 1]],GroupVertices[Vertex],0)),1,1,"")</f>
        <v>1</v>
      </c>
      <c r="R252" s="80" t="str">
        <f>REPLACE(INDEX(GroupVertices[Group],MATCH(Edges[[#This Row],[Vertex 2]],GroupVertices[Vertex],0)),1,1,"")</f>
        <v>1</v>
      </c>
      <c r="S252" s="34"/>
      <c r="T252" s="34"/>
      <c r="U252" s="34"/>
      <c r="V252" s="34"/>
      <c r="W252" s="34"/>
      <c r="X252" s="34"/>
      <c r="Y252" s="34"/>
      <c r="Z252" s="34"/>
      <c r="AA252" s="34"/>
    </row>
    <row r="253" spans="1:27" ht="15">
      <c r="A253" s="66" t="s">
        <v>225</v>
      </c>
      <c r="B253" s="66" t="s">
        <v>483</v>
      </c>
      <c r="C253" s="67" t="s">
        <v>4454</v>
      </c>
      <c r="D253" s="68">
        <v>5</v>
      </c>
      <c r="E253" s="69"/>
      <c r="F253" s="70">
        <v>20</v>
      </c>
      <c r="G253" s="67"/>
      <c r="H253" s="71"/>
      <c r="I253" s="72"/>
      <c r="J253" s="72"/>
      <c r="K253" s="34" t="s">
        <v>65</v>
      </c>
      <c r="L253" s="79">
        <v>253</v>
      </c>
      <c r="M253" s="79"/>
      <c r="N253" s="74"/>
      <c r="O253" s="81" t="s">
        <v>944</v>
      </c>
      <c r="P253">
        <v>1</v>
      </c>
      <c r="Q253" s="80" t="str">
        <f>REPLACE(INDEX(GroupVertices[Group],MATCH(Edges[[#This Row],[Vertex 1]],GroupVertices[Vertex],0)),1,1,"")</f>
        <v>1</v>
      </c>
      <c r="R253" s="80" t="str">
        <f>REPLACE(INDEX(GroupVertices[Group],MATCH(Edges[[#This Row],[Vertex 2]],GroupVertices[Vertex],0)),1,1,"")</f>
        <v>4</v>
      </c>
      <c r="S253" s="34"/>
      <c r="T253" s="34"/>
      <c r="U253" s="34"/>
      <c r="V253" s="34"/>
      <c r="W253" s="34"/>
      <c r="X253" s="34"/>
      <c r="Y253" s="34"/>
      <c r="Z253" s="34"/>
      <c r="AA253" s="34"/>
    </row>
    <row r="254" spans="1:27" ht="15">
      <c r="A254" s="66" t="s">
        <v>225</v>
      </c>
      <c r="B254" s="66" t="s">
        <v>484</v>
      </c>
      <c r="C254" s="67" t="s">
        <v>4454</v>
      </c>
      <c r="D254" s="68">
        <v>5</v>
      </c>
      <c r="E254" s="69"/>
      <c r="F254" s="70">
        <v>20</v>
      </c>
      <c r="G254" s="67"/>
      <c r="H254" s="71"/>
      <c r="I254" s="72"/>
      <c r="J254" s="72"/>
      <c r="K254" s="34" t="s">
        <v>65</v>
      </c>
      <c r="L254" s="79">
        <v>254</v>
      </c>
      <c r="M254" s="79"/>
      <c r="N254" s="74"/>
      <c r="O254" s="81" t="s">
        <v>944</v>
      </c>
      <c r="P254">
        <v>1</v>
      </c>
      <c r="Q254" s="80" t="str">
        <f>REPLACE(INDEX(GroupVertices[Group],MATCH(Edges[[#This Row],[Vertex 1]],GroupVertices[Vertex],0)),1,1,"")</f>
        <v>1</v>
      </c>
      <c r="R254" s="80" t="str">
        <f>REPLACE(INDEX(GroupVertices[Group],MATCH(Edges[[#This Row],[Vertex 2]],GroupVertices[Vertex],0)),1,1,"")</f>
        <v>1</v>
      </c>
      <c r="S254" s="34"/>
      <c r="T254" s="34"/>
      <c r="U254" s="34"/>
      <c r="V254" s="34"/>
      <c r="W254" s="34"/>
      <c r="X254" s="34"/>
      <c r="Y254" s="34"/>
      <c r="Z254" s="34"/>
      <c r="AA254" s="34"/>
    </row>
    <row r="255" spans="1:27" ht="15">
      <c r="A255" s="66" t="s">
        <v>225</v>
      </c>
      <c r="B255" s="66" t="s">
        <v>261</v>
      </c>
      <c r="C255" s="67" t="s">
        <v>4454</v>
      </c>
      <c r="D255" s="68">
        <v>5</v>
      </c>
      <c r="E255" s="69"/>
      <c r="F255" s="70">
        <v>20</v>
      </c>
      <c r="G255" s="67"/>
      <c r="H255" s="71"/>
      <c r="I255" s="72"/>
      <c r="J255" s="72"/>
      <c r="K255" s="34" t="s">
        <v>65</v>
      </c>
      <c r="L255" s="79">
        <v>255</v>
      </c>
      <c r="M255" s="79"/>
      <c r="N255" s="74"/>
      <c r="O255" s="81" t="s">
        <v>944</v>
      </c>
      <c r="P255">
        <v>1</v>
      </c>
      <c r="Q255" s="80" t="str">
        <f>REPLACE(INDEX(GroupVertices[Group],MATCH(Edges[[#This Row],[Vertex 1]],GroupVertices[Vertex],0)),1,1,"")</f>
        <v>1</v>
      </c>
      <c r="R255" s="80" t="str">
        <f>REPLACE(INDEX(GroupVertices[Group],MATCH(Edges[[#This Row],[Vertex 2]],GroupVertices[Vertex],0)),1,1,"")</f>
        <v>1</v>
      </c>
      <c r="S255" s="34"/>
      <c r="T255" s="34"/>
      <c r="U255" s="34"/>
      <c r="V255" s="34"/>
      <c r="W255" s="34"/>
      <c r="X255" s="34"/>
      <c r="Y255" s="34"/>
      <c r="Z255" s="34"/>
      <c r="AA255" s="34"/>
    </row>
    <row r="256" spans="1:27" ht="15">
      <c r="A256" s="66" t="s">
        <v>225</v>
      </c>
      <c r="B256" s="66" t="s">
        <v>252</v>
      </c>
      <c r="C256" s="67" t="s">
        <v>4454</v>
      </c>
      <c r="D256" s="68">
        <v>5</v>
      </c>
      <c r="E256" s="69"/>
      <c r="F256" s="70">
        <v>20</v>
      </c>
      <c r="G256" s="67"/>
      <c r="H256" s="71"/>
      <c r="I256" s="72"/>
      <c r="J256" s="72"/>
      <c r="K256" s="34" t="s">
        <v>65</v>
      </c>
      <c r="L256" s="79">
        <v>256</v>
      </c>
      <c r="M256" s="79"/>
      <c r="N256" s="74"/>
      <c r="O256" s="81" t="s">
        <v>944</v>
      </c>
      <c r="P256">
        <v>1</v>
      </c>
      <c r="Q256" s="80" t="str">
        <f>REPLACE(INDEX(GroupVertices[Group],MATCH(Edges[[#This Row],[Vertex 1]],GroupVertices[Vertex],0)),1,1,"")</f>
        <v>1</v>
      </c>
      <c r="R256" s="80" t="str">
        <f>REPLACE(INDEX(GroupVertices[Group],MATCH(Edges[[#This Row],[Vertex 2]],GroupVertices[Vertex],0)),1,1,"")</f>
        <v>1</v>
      </c>
      <c r="S256" s="34"/>
      <c r="T256" s="34"/>
      <c r="U256" s="34"/>
      <c r="V256" s="34"/>
      <c r="W256" s="34"/>
      <c r="X256" s="34"/>
      <c r="Y256" s="34"/>
      <c r="Z256" s="34"/>
      <c r="AA256" s="34"/>
    </row>
    <row r="257" spans="1:27" ht="15">
      <c r="A257" s="66" t="s">
        <v>225</v>
      </c>
      <c r="B257" s="66" t="s">
        <v>485</v>
      </c>
      <c r="C257" s="67" t="s">
        <v>4454</v>
      </c>
      <c r="D257" s="68">
        <v>5</v>
      </c>
      <c r="E257" s="69"/>
      <c r="F257" s="70">
        <v>20</v>
      </c>
      <c r="G257" s="67"/>
      <c r="H257" s="71"/>
      <c r="I257" s="72"/>
      <c r="J257" s="72"/>
      <c r="K257" s="34" t="s">
        <v>65</v>
      </c>
      <c r="L257" s="79">
        <v>257</v>
      </c>
      <c r="M257" s="79"/>
      <c r="N257" s="74"/>
      <c r="O257" s="81" t="s">
        <v>944</v>
      </c>
      <c r="P257">
        <v>1</v>
      </c>
      <c r="Q257" s="80" t="str">
        <f>REPLACE(INDEX(GroupVertices[Group],MATCH(Edges[[#This Row],[Vertex 1]],GroupVertices[Vertex],0)),1,1,"")</f>
        <v>1</v>
      </c>
      <c r="R257" s="80" t="str">
        <f>REPLACE(INDEX(GroupVertices[Group],MATCH(Edges[[#This Row],[Vertex 2]],GroupVertices[Vertex],0)),1,1,"")</f>
        <v>1</v>
      </c>
      <c r="S257" s="34"/>
      <c r="T257" s="34"/>
      <c r="U257" s="34"/>
      <c r="V257" s="34"/>
      <c r="W257" s="34"/>
      <c r="X257" s="34"/>
      <c r="Y257" s="34"/>
      <c r="Z257" s="34"/>
      <c r="AA257" s="34"/>
    </row>
    <row r="258" spans="1:27" ht="15">
      <c r="A258" s="66" t="s">
        <v>225</v>
      </c>
      <c r="B258" s="66" t="s">
        <v>486</v>
      </c>
      <c r="C258" s="67" t="s">
        <v>4454</v>
      </c>
      <c r="D258" s="68">
        <v>5</v>
      </c>
      <c r="E258" s="69"/>
      <c r="F258" s="70">
        <v>20</v>
      </c>
      <c r="G258" s="67"/>
      <c r="H258" s="71"/>
      <c r="I258" s="72"/>
      <c r="J258" s="72"/>
      <c r="K258" s="34" t="s">
        <v>65</v>
      </c>
      <c r="L258" s="79">
        <v>258</v>
      </c>
      <c r="M258" s="79"/>
      <c r="N258" s="74"/>
      <c r="O258" s="81" t="s">
        <v>944</v>
      </c>
      <c r="P258">
        <v>1</v>
      </c>
      <c r="Q258" s="80" t="str">
        <f>REPLACE(INDEX(GroupVertices[Group],MATCH(Edges[[#This Row],[Vertex 1]],GroupVertices[Vertex],0)),1,1,"")</f>
        <v>1</v>
      </c>
      <c r="R258" s="80" t="str">
        <f>REPLACE(INDEX(GroupVertices[Group],MATCH(Edges[[#This Row],[Vertex 2]],GroupVertices[Vertex],0)),1,1,"")</f>
        <v>2</v>
      </c>
      <c r="S258" s="34"/>
      <c r="T258" s="34"/>
      <c r="U258" s="34"/>
      <c r="V258" s="34"/>
      <c r="W258" s="34"/>
      <c r="X258" s="34"/>
      <c r="Y258" s="34"/>
      <c r="Z258" s="34"/>
      <c r="AA258" s="34"/>
    </row>
    <row r="259" spans="1:27" ht="15">
      <c r="A259" s="66" t="s">
        <v>225</v>
      </c>
      <c r="B259" s="66" t="s">
        <v>253</v>
      </c>
      <c r="C259" s="67" t="s">
        <v>4454</v>
      </c>
      <c r="D259" s="68">
        <v>5</v>
      </c>
      <c r="E259" s="69"/>
      <c r="F259" s="70">
        <v>20</v>
      </c>
      <c r="G259" s="67"/>
      <c r="H259" s="71"/>
      <c r="I259" s="72"/>
      <c r="J259" s="72"/>
      <c r="K259" s="34" t="s">
        <v>65</v>
      </c>
      <c r="L259" s="79">
        <v>259</v>
      </c>
      <c r="M259" s="79"/>
      <c r="N259" s="74"/>
      <c r="O259" s="81" t="s">
        <v>944</v>
      </c>
      <c r="P259">
        <v>1</v>
      </c>
      <c r="Q259" s="80" t="str">
        <f>REPLACE(INDEX(GroupVertices[Group],MATCH(Edges[[#This Row],[Vertex 1]],GroupVertices[Vertex],0)),1,1,"")</f>
        <v>1</v>
      </c>
      <c r="R259" s="80" t="str">
        <f>REPLACE(INDEX(GroupVertices[Group],MATCH(Edges[[#This Row],[Vertex 2]],GroupVertices[Vertex],0)),1,1,"")</f>
        <v>1</v>
      </c>
      <c r="S259" s="34"/>
      <c r="T259" s="34"/>
      <c r="U259" s="34"/>
      <c r="V259" s="34"/>
      <c r="W259" s="34"/>
      <c r="X259" s="34"/>
      <c r="Y259" s="34"/>
      <c r="Z259" s="34"/>
      <c r="AA259" s="34"/>
    </row>
    <row r="260" spans="1:27" ht="15">
      <c r="A260" s="66" t="s">
        <v>225</v>
      </c>
      <c r="B260" s="66" t="s">
        <v>229</v>
      </c>
      <c r="C260" s="67" t="s">
        <v>4454</v>
      </c>
      <c r="D260" s="68">
        <v>5</v>
      </c>
      <c r="E260" s="69"/>
      <c r="F260" s="70">
        <v>20</v>
      </c>
      <c r="G260" s="67"/>
      <c r="H260" s="71"/>
      <c r="I260" s="72"/>
      <c r="J260" s="72"/>
      <c r="K260" s="34" t="s">
        <v>66</v>
      </c>
      <c r="L260" s="79">
        <v>260</v>
      </c>
      <c r="M260" s="79"/>
      <c r="N260" s="74"/>
      <c r="O260" s="81" t="s">
        <v>944</v>
      </c>
      <c r="P260">
        <v>1</v>
      </c>
      <c r="Q260" s="80" t="str">
        <f>REPLACE(INDEX(GroupVertices[Group],MATCH(Edges[[#This Row],[Vertex 1]],GroupVertices[Vertex],0)),1,1,"")</f>
        <v>1</v>
      </c>
      <c r="R260" s="80" t="str">
        <f>REPLACE(INDEX(GroupVertices[Group],MATCH(Edges[[#This Row],[Vertex 2]],GroupVertices[Vertex],0)),1,1,"")</f>
        <v>1</v>
      </c>
      <c r="S260" s="34"/>
      <c r="T260" s="34"/>
      <c r="U260" s="34"/>
      <c r="V260" s="34"/>
      <c r="W260" s="34"/>
      <c r="X260" s="34"/>
      <c r="Y260" s="34"/>
      <c r="Z260" s="34"/>
      <c r="AA260" s="34"/>
    </row>
    <row r="261" spans="1:27" ht="15">
      <c r="A261" s="66" t="s">
        <v>229</v>
      </c>
      <c r="B261" s="66" t="s">
        <v>225</v>
      </c>
      <c r="C261" s="67" t="s">
        <v>4454</v>
      </c>
      <c r="D261" s="68">
        <v>5</v>
      </c>
      <c r="E261" s="69"/>
      <c r="F261" s="70">
        <v>20</v>
      </c>
      <c r="G261" s="67"/>
      <c r="H261" s="71"/>
      <c r="I261" s="72"/>
      <c r="J261" s="72"/>
      <c r="K261" s="34" t="s">
        <v>66</v>
      </c>
      <c r="L261" s="79">
        <v>261</v>
      </c>
      <c r="M261" s="79"/>
      <c r="N261" s="74"/>
      <c r="O261" s="81" t="s">
        <v>944</v>
      </c>
      <c r="P261">
        <v>1</v>
      </c>
      <c r="Q261" s="80" t="str">
        <f>REPLACE(INDEX(GroupVertices[Group],MATCH(Edges[[#This Row],[Vertex 1]],GroupVertices[Vertex],0)),1,1,"")</f>
        <v>1</v>
      </c>
      <c r="R261" s="80" t="str">
        <f>REPLACE(INDEX(GroupVertices[Group],MATCH(Edges[[#This Row],[Vertex 2]],GroupVertices[Vertex],0)),1,1,"")</f>
        <v>1</v>
      </c>
      <c r="S261" s="34"/>
      <c r="T261" s="34"/>
      <c r="U261" s="34"/>
      <c r="V261" s="34"/>
      <c r="W261" s="34"/>
      <c r="X261" s="34"/>
      <c r="Y261" s="34"/>
      <c r="Z261" s="34"/>
      <c r="AA261" s="34"/>
    </row>
    <row r="262" spans="1:27" ht="15">
      <c r="A262" s="66" t="s">
        <v>219</v>
      </c>
      <c r="B262" s="66" t="s">
        <v>487</v>
      </c>
      <c r="C262" s="67" t="s">
        <v>4454</v>
      </c>
      <c r="D262" s="68">
        <v>5</v>
      </c>
      <c r="E262" s="69"/>
      <c r="F262" s="70">
        <v>20</v>
      </c>
      <c r="G262" s="67"/>
      <c r="H262" s="71"/>
      <c r="I262" s="72"/>
      <c r="J262" s="72"/>
      <c r="K262" s="34" t="s">
        <v>65</v>
      </c>
      <c r="L262" s="79">
        <v>262</v>
      </c>
      <c r="M262" s="79"/>
      <c r="N262" s="74"/>
      <c r="O262" s="81" t="s">
        <v>944</v>
      </c>
      <c r="P262">
        <v>1</v>
      </c>
      <c r="Q262" s="80" t="str">
        <f>REPLACE(INDEX(GroupVertices[Group],MATCH(Edges[[#This Row],[Vertex 1]],GroupVertices[Vertex],0)),1,1,"")</f>
        <v>3</v>
      </c>
      <c r="R262" s="80" t="str">
        <f>REPLACE(INDEX(GroupVertices[Group],MATCH(Edges[[#This Row],[Vertex 2]],GroupVertices[Vertex],0)),1,1,"")</f>
        <v>3</v>
      </c>
      <c r="S262" s="34"/>
      <c r="T262" s="34"/>
      <c r="U262" s="34"/>
      <c r="V262" s="34"/>
      <c r="W262" s="34"/>
      <c r="X262" s="34"/>
      <c r="Y262" s="34"/>
      <c r="Z262" s="34"/>
      <c r="AA262" s="34"/>
    </row>
    <row r="263" spans="1:27" ht="15">
      <c r="A263" s="66" t="s">
        <v>230</v>
      </c>
      <c r="B263" s="66" t="s">
        <v>487</v>
      </c>
      <c r="C263" s="67" t="s">
        <v>4454</v>
      </c>
      <c r="D263" s="68">
        <v>5</v>
      </c>
      <c r="E263" s="69"/>
      <c r="F263" s="70">
        <v>20</v>
      </c>
      <c r="G263" s="67"/>
      <c r="H263" s="71"/>
      <c r="I263" s="72"/>
      <c r="J263" s="72"/>
      <c r="K263" s="34" t="s">
        <v>65</v>
      </c>
      <c r="L263" s="79">
        <v>263</v>
      </c>
      <c r="M263" s="79"/>
      <c r="N263" s="74"/>
      <c r="O263" s="81" t="s">
        <v>944</v>
      </c>
      <c r="P263">
        <v>1</v>
      </c>
      <c r="Q263" s="80" t="str">
        <f>REPLACE(INDEX(GroupVertices[Group],MATCH(Edges[[#This Row],[Vertex 1]],GroupVertices[Vertex],0)),1,1,"")</f>
        <v>2</v>
      </c>
      <c r="R263" s="80" t="str">
        <f>REPLACE(INDEX(GroupVertices[Group],MATCH(Edges[[#This Row],[Vertex 2]],GroupVertices[Vertex],0)),1,1,"")</f>
        <v>3</v>
      </c>
      <c r="S263" s="34"/>
      <c r="T263" s="34"/>
      <c r="U263" s="34"/>
      <c r="V263" s="34"/>
      <c r="W263" s="34"/>
      <c r="X263" s="34"/>
      <c r="Y263" s="34"/>
      <c r="Z263" s="34"/>
      <c r="AA263" s="34"/>
    </row>
    <row r="264" spans="1:27" ht="15">
      <c r="A264" s="66" t="s">
        <v>230</v>
      </c>
      <c r="B264" s="66" t="s">
        <v>488</v>
      </c>
      <c r="C264" s="67" t="s">
        <v>4454</v>
      </c>
      <c r="D264" s="68">
        <v>5</v>
      </c>
      <c r="E264" s="69"/>
      <c r="F264" s="70">
        <v>20</v>
      </c>
      <c r="G264" s="67"/>
      <c r="H264" s="71"/>
      <c r="I264" s="72"/>
      <c r="J264" s="72"/>
      <c r="K264" s="34"/>
      <c r="L264" s="79">
        <v>264</v>
      </c>
      <c r="M264" s="79"/>
      <c r="N264" s="74"/>
      <c r="O264" s="81" t="s">
        <v>944</v>
      </c>
      <c r="P264">
        <v>1</v>
      </c>
      <c r="Q264" s="80" t="str">
        <f>REPLACE(INDEX(GroupVertices[Group],MATCH(Edges[[#This Row],[Vertex 1]],GroupVertices[Vertex],0)),1,1,"")</f>
        <v>2</v>
      </c>
      <c r="R264" s="80" t="e">
        <f>REPLACE(INDEX(GroupVertices[Group],MATCH(Edges[[#This Row],[Vertex 2]],GroupVertices[Vertex],0)),1,1,"")</f>
        <v>#N/A</v>
      </c>
      <c r="S264" s="34"/>
      <c r="T264" s="34"/>
      <c r="U264" s="34"/>
      <c r="V264" s="34"/>
      <c r="W264" s="34"/>
      <c r="X264" s="34"/>
      <c r="Y264" s="34"/>
      <c r="Z264" s="34"/>
      <c r="AA264" s="34"/>
    </row>
    <row r="265" spans="1:27" ht="15">
      <c r="A265" s="66" t="s">
        <v>230</v>
      </c>
      <c r="B265" s="66" t="s">
        <v>489</v>
      </c>
      <c r="C265" s="67" t="s">
        <v>4454</v>
      </c>
      <c r="D265" s="68">
        <v>5</v>
      </c>
      <c r="E265" s="69"/>
      <c r="F265" s="70">
        <v>20</v>
      </c>
      <c r="G265" s="67"/>
      <c r="H265" s="71"/>
      <c r="I265" s="72"/>
      <c r="J265" s="72"/>
      <c r="K265" s="34"/>
      <c r="L265" s="79">
        <v>265</v>
      </c>
      <c r="M265" s="79"/>
      <c r="N265" s="74"/>
      <c r="O265" s="81" t="s">
        <v>944</v>
      </c>
      <c r="P265">
        <v>1</v>
      </c>
      <c r="Q265" s="80" t="str">
        <f>REPLACE(INDEX(GroupVertices[Group],MATCH(Edges[[#This Row],[Vertex 1]],GroupVertices[Vertex],0)),1,1,"")</f>
        <v>2</v>
      </c>
      <c r="R265" s="80" t="e">
        <f>REPLACE(INDEX(GroupVertices[Group],MATCH(Edges[[#This Row],[Vertex 2]],GroupVertices[Vertex],0)),1,1,"")</f>
        <v>#N/A</v>
      </c>
      <c r="S265" s="34"/>
      <c r="T265" s="34"/>
      <c r="U265" s="34"/>
      <c r="V265" s="34"/>
      <c r="W265" s="34"/>
      <c r="X265" s="34"/>
      <c r="Y265" s="34"/>
      <c r="Z265" s="34"/>
      <c r="AA265" s="34"/>
    </row>
    <row r="266" spans="1:27" ht="15">
      <c r="A266" s="66" t="s">
        <v>230</v>
      </c>
      <c r="B266" s="66" t="s">
        <v>490</v>
      </c>
      <c r="C266" s="67" t="s">
        <v>4454</v>
      </c>
      <c r="D266" s="68">
        <v>5</v>
      </c>
      <c r="E266" s="69"/>
      <c r="F266" s="70">
        <v>20</v>
      </c>
      <c r="G266" s="67"/>
      <c r="H266" s="71"/>
      <c r="I266" s="72"/>
      <c r="J266" s="72"/>
      <c r="K266" s="34"/>
      <c r="L266" s="79">
        <v>266</v>
      </c>
      <c r="M266" s="79"/>
      <c r="N266" s="74"/>
      <c r="O266" s="81" t="s">
        <v>944</v>
      </c>
      <c r="P266">
        <v>1</v>
      </c>
      <c r="Q266" s="80" t="str">
        <f>REPLACE(INDEX(GroupVertices[Group],MATCH(Edges[[#This Row],[Vertex 1]],GroupVertices[Vertex],0)),1,1,"")</f>
        <v>2</v>
      </c>
      <c r="R266" s="80" t="e">
        <f>REPLACE(INDEX(GroupVertices[Group],MATCH(Edges[[#This Row],[Vertex 2]],GroupVertices[Vertex],0)),1,1,"")</f>
        <v>#N/A</v>
      </c>
      <c r="S266" s="34"/>
      <c r="T266" s="34"/>
      <c r="U266" s="34"/>
      <c r="V266" s="34"/>
      <c r="W266" s="34"/>
      <c r="X266" s="34"/>
      <c r="Y266" s="34"/>
      <c r="Z266" s="34"/>
      <c r="AA266" s="34"/>
    </row>
    <row r="267" spans="1:27" ht="15">
      <c r="A267" s="66" t="s">
        <v>230</v>
      </c>
      <c r="B267" s="66" t="s">
        <v>491</v>
      </c>
      <c r="C267" s="67" t="s">
        <v>4454</v>
      </c>
      <c r="D267" s="68">
        <v>5</v>
      </c>
      <c r="E267" s="69"/>
      <c r="F267" s="70">
        <v>20</v>
      </c>
      <c r="G267" s="67"/>
      <c r="H267" s="71"/>
      <c r="I267" s="72"/>
      <c r="J267" s="72"/>
      <c r="K267" s="34"/>
      <c r="L267" s="79">
        <v>267</v>
      </c>
      <c r="M267" s="79"/>
      <c r="N267" s="74"/>
      <c r="O267" s="81" t="s">
        <v>944</v>
      </c>
      <c r="P267">
        <v>1</v>
      </c>
      <c r="Q267" s="80" t="str">
        <f>REPLACE(INDEX(GroupVertices[Group],MATCH(Edges[[#This Row],[Vertex 1]],GroupVertices[Vertex],0)),1,1,"")</f>
        <v>2</v>
      </c>
      <c r="R267" s="80" t="e">
        <f>REPLACE(INDEX(GroupVertices[Group],MATCH(Edges[[#This Row],[Vertex 2]],GroupVertices[Vertex],0)),1,1,"")</f>
        <v>#N/A</v>
      </c>
      <c r="S267" s="34"/>
      <c r="T267" s="34"/>
      <c r="U267" s="34"/>
      <c r="V267" s="34"/>
      <c r="W267" s="34"/>
      <c r="X267" s="34"/>
      <c r="Y267" s="34"/>
      <c r="Z267" s="34"/>
      <c r="AA267" s="34"/>
    </row>
    <row r="268" spans="1:27" ht="15">
      <c r="A268" s="66" t="s">
        <v>230</v>
      </c>
      <c r="B268" s="66" t="s">
        <v>492</v>
      </c>
      <c r="C268" s="67" t="s">
        <v>4454</v>
      </c>
      <c r="D268" s="68">
        <v>5</v>
      </c>
      <c r="E268" s="69"/>
      <c r="F268" s="70">
        <v>20</v>
      </c>
      <c r="G268" s="67"/>
      <c r="H268" s="71"/>
      <c r="I268" s="72"/>
      <c r="J268" s="72"/>
      <c r="K268" s="34"/>
      <c r="L268" s="79">
        <v>268</v>
      </c>
      <c r="M268" s="79"/>
      <c r="N268" s="74"/>
      <c r="O268" s="81" t="s">
        <v>944</v>
      </c>
      <c r="P268">
        <v>1</v>
      </c>
      <c r="Q268" s="80" t="str">
        <f>REPLACE(INDEX(GroupVertices[Group],MATCH(Edges[[#This Row],[Vertex 1]],GroupVertices[Vertex],0)),1,1,"")</f>
        <v>2</v>
      </c>
      <c r="R268" s="80" t="e">
        <f>REPLACE(INDEX(GroupVertices[Group],MATCH(Edges[[#This Row],[Vertex 2]],GroupVertices[Vertex],0)),1,1,"")</f>
        <v>#N/A</v>
      </c>
      <c r="S268" s="34"/>
      <c r="T268" s="34"/>
      <c r="U268" s="34"/>
      <c r="V268" s="34"/>
      <c r="W268" s="34"/>
      <c r="X268" s="34"/>
      <c r="Y268" s="34"/>
      <c r="Z268" s="34"/>
      <c r="AA268" s="34"/>
    </row>
    <row r="269" spans="1:27" ht="15">
      <c r="A269" s="66" t="s">
        <v>230</v>
      </c>
      <c r="B269" s="66" t="s">
        <v>493</v>
      </c>
      <c r="C269" s="67" t="s">
        <v>4454</v>
      </c>
      <c r="D269" s="68">
        <v>5</v>
      </c>
      <c r="E269" s="69"/>
      <c r="F269" s="70">
        <v>20</v>
      </c>
      <c r="G269" s="67"/>
      <c r="H269" s="71"/>
      <c r="I269" s="72"/>
      <c r="J269" s="72"/>
      <c r="K269" s="34"/>
      <c r="L269" s="79">
        <v>269</v>
      </c>
      <c r="M269" s="79"/>
      <c r="N269" s="74"/>
      <c r="O269" s="81" t="s">
        <v>944</v>
      </c>
      <c r="P269">
        <v>1</v>
      </c>
      <c r="Q269" s="80" t="str">
        <f>REPLACE(INDEX(GroupVertices[Group],MATCH(Edges[[#This Row],[Vertex 1]],GroupVertices[Vertex],0)),1,1,"")</f>
        <v>2</v>
      </c>
      <c r="R269" s="80" t="e">
        <f>REPLACE(INDEX(GroupVertices[Group],MATCH(Edges[[#This Row],[Vertex 2]],GroupVertices[Vertex],0)),1,1,"")</f>
        <v>#N/A</v>
      </c>
      <c r="S269" s="34"/>
      <c r="T269" s="34"/>
      <c r="U269" s="34"/>
      <c r="V269" s="34"/>
      <c r="W269" s="34"/>
      <c r="X269" s="34"/>
      <c r="Y269" s="34"/>
      <c r="Z269" s="34"/>
      <c r="AA269" s="34"/>
    </row>
    <row r="270" spans="1:27" ht="15">
      <c r="A270" s="66" t="s">
        <v>230</v>
      </c>
      <c r="B270" s="66" t="s">
        <v>494</v>
      </c>
      <c r="C270" s="67" t="s">
        <v>4454</v>
      </c>
      <c r="D270" s="68">
        <v>5</v>
      </c>
      <c r="E270" s="69"/>
      <c r="F270" s="70">
        <v>20</v>
      </c>
      <c r="G270" s="67"/>
      <c r="H270" s="71"/>
      <c r="I270" s="72"/>
      <c r="J270" s="72"/>
      <c r="K270" s="34"/>
      <c r="L270" s="79">
        <v>270</v>
      </c>
      <c r="M270" s="79"/>
      <c r="N270" s="74"/>
      <c r="O270" s="81" t="s">
        <v>944</v>
      </c>
      <c r="P270">
        <v>1</v>
      </c>
      <c r="Q270" s="80" t="str">
        <f>REPLACE(INDEX(GroupVertices[Group],MATCH(Edges[[#This Row],[Vertex 1]],GroupVertices[Vertex],0)),1,1,"")</f>
        <v>2</v>
      </c>
      <c r="R270" s="80" t="e">
        <f>REPLACE(INDEX(GroupVertices[Group],MATCH(Edges[[#This Row],[Vertex 2]],GroupVertices[Vertex],0)),1,1,"")</f>
        <v>#N/A</v>
      </c>
      <c r="S270" s="34"/>
      <c r="T270" s="34"/>
      <c r="U270" s="34"/>
      <c r="V270" s="34"/>
      <c r="W270" s="34"/>
      <c r="X270" s="34"/>
      <c r="Y270" s="34"/>
      <c r="Z270" s="34"/>
      <c r="AA270" s="34"/>
    </row>
    <row r="271" spans="1:27" ht="15">
      <c r="A271" s="66" t="s">
        <v>230</v>
      </c>
      <c r="B271" s="66" t="s">
        <v>495</v>
      </c>
      <c r="C271" s="67" t="s">
        <v>4454</v>
      </c>
      <c r="D271" s="68">
        <v>5</v>
      </c>
      <c r="E271" s="69"/>
      <c r="F271" s="70">
        <v>20</v>
      </c>
      <c r="G271" s="67"/>
      <c r="H271" s="71"/>
      <c r="I271" s="72"/>
      <c r="J271" s="72"/>
      <c r="K271" s="34"/>
      <c r="L271" s="79">
        <v>271</v>
      </c>
      <c r="M271" s="79"/>
      <c r="N271" s="74"/>
      <c r="O271" s="81" t="s">
        <v>944</v>
      </c>
      <c r="P271">
        <v>1</v>
      </c>
      <c r="Q271" s="80" t="str">
        <f>REPLACE(INDEX(GroupVertices[Group],MATCH(Edges[[#This Row],[Vertex 1]],GroupVertices[Vertex],0)),1,1,"")</f>
        <v>2</v>
      </c>
      <c r="R271" s="80" t="e">
        <f>REPLACE(INDEX(GroupVertices[Group],MATCH(Edges[[#This Row],[Vertex 2]],GroupVertices[Vertex],0)),1,1,"")</f>
        <v>#N/A</v>
      </c>
      <c r="S271" s="34"/>
      <c r="T271" s="34"/>
      <c r="U271" s="34"/>
      <c r="V271" s="34"/>
      <c r="W271" s="34"/>
      <c r="X271" s="34"/>
      <c r="Y271" s="34"/>
      <c r="Z271" s="34"/>
      <c r="AA271" s="34"/>
    </row>
    <row r="272" spans="1:27" ht="15">
      <c r="A272" s="66" t="s">
        <v>230</v>
      </c>
      <c r="B272" s="66" t="s">
        <v>496</v>
      </c>
      <c r="C272" s="67" t="s">
        <v>4454</v>
      </c>
      <c r="D272" s="68">
        <v>5</v>
      </c>
      <c r="E272" s="69"/>
      <c r="F272" s="70">
        <v>20</v>
      </c>
      <c r="G272" s="67"/>
      <c r="H272" s="71"/>
      <c r="I272" s="72"/>
      <c r="J272" s="72"/>
      <c r="K272" s="34"/>
      <c r="L272" s="79">
        <v>272</v>
      </c>
      <c r="M272" s="79"/>
      <c r="N272" s="74"/>
      <c r="O272" s="81" t="s">
        <v>944</v>
      </c>
      <c r="P272">
        <v>1</v>
      </c>
      <c r="Q272" s="80" t="str">
        <f>REPLACE(INDEX(GroupVertices[Group],MATCH(Edges[[#This Row],[Vertex 1]],GroupVertices[Vertex],0)),1,1,"")</f>
        <v>2</v>
      </c>
      <c r="R272" s="80" t="e">
        <f>REPLACE(INDEX(GroupVertices[Group],MATCH(Edges[[#This Row],[Vertex 2]],GroupVertices[Vertex],0)),1,1,"")</f>
        <v>#N/A</v>
      </c>
      <c r="S272" s="34"/>
      <c r="T272" s="34"/>
      <c r="U272" s="34"/>
      <c r="V272" s="34"/>
      <c r="W272" s="34"/>
      <c r="X272" s="34"/>
      <c r="Y272" s="34"/>
      <c r="Z272" s="34"/>
      <c r="AA272" s="34"/>
    </row>
    <row r="273" spans="1:27" ht="15">
      <c r="A273" s="66" t="s">
        <v>230</v>
      </c>
      <c r="B273" s="66" t="s">
        <v>497</v>
      </c>
      <c r="C273" s="67" t="s">
        <v>4454</v>
      </c>
      <c r="D273" s="68">
        <v>5</v>
      </c>
      <c r="E273" s="69"/>
      <c r="F273" s="70">
        <v>20</v>
      </c>
      <c r="G273" s="67"/>
      <c r="H273" s="71"/>
      <c r="I273" s="72"/>
      <c r="J273" s="72"/>
      <c r="K273" s="34"/>
      <c r="L273" s="79">
        <v>273</v>
      </c>
      <c r="M273" s="79"/>
      <c r="N273" s="74"/>
      <c r="O273" s="81" t="s">
        <v>944</v>
      </c>
      <c r="P273">
        <v>1</v>
      </c>
      <c r="Q273" s="80" t="str">
        <f>REPLACE(INDEX(GroupVertices[Group],MATCH(Edges[[#This Row],[Vertex 1]],GroupVertices[Vertex],0)),1,1,"")</f>
        <v>2</v>
      </c>
      <c r="R273" s="80" t="e">
        <f>REPLACE(INDEX(GroupVertices[Group],MATCH(Edges[[#This Row],[Vertex 2]],GroupVertices[Vertex],0)),1,1,"")</f>
        <v>#N/A</v>
      </c>
      <c r="S273" s="34"/>
      <c r="T273" s="34"/>
      <c r="U273" s="34"/>
      <c r="V273" s="34"/>
      <c r="W273" s="34"/>
      <c r="X273" s="34"/>
      <c r="Y273" s="34"/>
      <c r="Z273" s="34"/>
      <c r="AA273" s="34"/>
    </row>
    <row r="274" spans="1:27" ht="15">
      <c r="A274" s="66" t="s">
        <v>230</v>
      </c>
      <c r="B274" s="66" t="s">
        <v>498</v>
      </c>
      <c r="C274" s="67" t="s">
        <v>4454</v>
      </c>
      <c r="D274" s="68">
        <v>5</v>
      </c>
      <c r="E274" s="69"/>
      <c r="F274" s="70">
        <v>20</v>
      </c>
      <c r="G274" s="67"/>
      <c r="H274" s="71"/>
      <c r="I274" s="72"/>
      <c r="J274" s="72"/>
      <c r="K274" s="34"/>
      <c r="L274" s="79">
        <v>274</v>
      </c>
      <c r="M274" s="79"/>
      <c r="N274" s="74"/>
      <c r="O274" s="81" t="s">
        <v>944</v>
      </c>
      <c r="P274">
        <v>1</v>
      </c>
      <c r="Q274" s="80" t="str">
        <f>REPLACE(INDEX(GroupVertices[Group],MATCH(Edges[[#This Row],[Vertex 1]],GroupVertices[Vertex],0)),1,1,"")</f>
        <v>2</v>
      </c>
      <c r="R274" s="80" t="e">
        <f>REPLACE(INDEX(GroupVertices[Group],MATCH(Edges[[#This Row],[Vertex 2]],GroupVertices[Vertex],0)),1,1,"")</f>
        <v>#N/A</v>
      </c>
      <c r="S274" s="34"/>
      <c r="T274" s="34"/>
      <c r="U274" s="34"/>
      <c r="V274" s="34"/>
      <c r="W274" s="34"/>
      <c r="X274" s="34"/>
      <c r="Y274" s="34"/>
      <c r="Z274" s="34"/>
      <c r="AA274" s="34"/>
    </row>
    <row r="275" spans="1:27" ht="15">
      <c r="A275" s="66" t="s">
        <v>230</v>
      </c>
      <c r="B275" s="66" t="s">
        <v>499</v>
      </c>
      <c r="C275" s="67" t="s">
        <v>4454</v>
      </c>
      <c r="D275" s="68">
        <v>5</v>
      </c>
      <c r="E275" s="69"/>
      <c r="F275" s="70">
        <v>20</v>
      </c>
      <c r="G275" s="67"/>
      <c r="H275" s="71"/>
      <c r="I275" s="72"/>
      <c r="J275" s="72"/>
      <c r="K275" s="34"/>
      <c r="L275" s="79">
        <v>275</v>
      </c>
      <c r="M275" s="79"/>
      <c r="N275" s="74"/>
      <c r="O275" s="81" t="s">
        <v>944</v>
      </c>
      <c r="P275">
        <v>1</v>
      </c>
      <c r="Q275" s="80" t="str">
        <f>REPLACE(INDEX(GroupVertices[Group],MATCH(Edges[[#This Row],[Vertex 1]],GroupVertices[Vertex],0)),1,1,"")</f>
        <v>2</v>
      </c>
      <c r="R275" s="80" t="e">
        <f>REPLACE(INDEX(GroupVertices[Group],MATCH(Edges[[#This Row],[Vertex 2]],GroupVertices[Vertex],0)),1,1,"")</f>
        <v>#N/A</v>
      </c>
      <c r="S275" s="34"/>
      <c r="T275" s="34"/>
      <c r="U275" s="34"/>
      <c r="V275" s="34"/>
      <c r="W275" s="34"/>
      <c r="X275" s="34"/>
      <c r="Y275" s="34"/>
      <c r="Z275" s="34"/>
      <c r="AA275" s="34"/>
    </row>
    <row r="276" spans="1:27" ht="15">
      <c r="A276" s="66" t="s">
        <v>230</v>
      </c>
      <c r="B276" s="66" t="s">
        <v>500</v>
      </c>
      <c r="C276" s="67" t="s">
        <v>4454</v>
      </c>
      <c r="D276" s="68">
        <v>5</v>
      </c>
      <c r="E276" s="69"/>
      <c r="F276" s="70">
        <v>20</v>
      </c>
      <c r="G276" s="67"/>
      <c r="H276" s="71"/>
      <c r="I276" s="72"/>
      <c r="J276" s="72"/>
      <c r="K276" s="34"/>
      <c r="L276" s="79">
        <v>276</v>
      </c>
      <c r="M276" s="79"/>
      <c r="N276" s="74"/>
      <c r="O276" s="81" t="s">
        <v>944</v>
      </c>
      <c r="P276">
        <v>1</v>
      </c>
      <c r="Q276" s="80" t="str">
        <f>REPLACE(INDEX(GroupVertices[Group],MATCH(Edges[[#This Row],[Vertex 1]],GroupVertices[Vertex],0)),1,1,"")</f>
        <v>2</v>
      </c>
      <c r="R276" s="80" t="e">
        <f>REPLACE(INDEX(GroupVertices[Group],MATCH(Edges[[#This Row],[Vertex 2]],GroupVertices[Vertex],0)),1,1,"")</f>
        <v>#N/A</v>
      </c>
      <c r="S276" s="34"/>
      <c r="T276" s="34"/>
      <c r="U276" s="34"/>
      <c r="V276" s="34"/>
      <c r="W276" s="34"/>
      <c r="X276" s="34"/>
      <c r="Y276" s="34"/>
      <c r="Z276" s="34"/>
      <c r="AA276" s="34"/>
    </row>
    <row r="277" spans="1:27" ht="15">
      <c r="A277" s="66" t="s">
        <v>230</v>
      </c>
      <c r="B277" s="66" t="s">
        <v>501</v>
      </c>
      <c r="C277" s="67" t="s">
        <v>4454</v>
      </c>
      <c r="D277" s="68">
        <v>5</v>
      </c>
      <c r="E277" s="69"/>
      <c r="F277" s="70">
        <v>20</v>
      </c>
      <c r="G277" s="67"/>
      <c r="H277" s="71"/>
      <c r="I277" s="72"/>
      <c r="J277" s="72"/>
      <c r="K277" s="34"/>
      <c r="L277" s="79">
        <v>277</v>
      </c>
      <c r="M277" s="79"/>
      <c r="N277" s="74"/>
      <c r="O277" s="81" t="s">
        <v>944</v>
      </c>
      <c r="P277">
        <v>1</v>
      </c>
      <c r="Q277" s="80" t="str">
        <f>REPLACE(INDEX(GroupVertices[Group],MATCH(Edges[[#This Row],[Vertex 1]],GroupVertices[Vertex],0)),1,1,"")</f>
        <v>2</v>
      </c>
      <c r="R277" s="80" t="e">
        <f>REPLACE(INDEX(GroupVertices[Group],MATCH(Edges[[#This Row],[Vertex 2]],GroupVertices[Vertex],0)),1,1,"")</f>
        <v>#N/A</v>
      </c>
      <c r="S277" s="34"/>
      <c r="T277" s="34"/>
      <c r="U277" s="34"/>
      <c r="V277" s="34"/>
      <c r="W277" s="34"/>
      <c r="X277" s="34"/>
      <c r="Y277" s="34"/>
      <c r="Z277" s="34"/>
      <c r="AA277" s="34"/>
    </row>
    <row r="278" spans="1:27" ht="15">
      <c r="A278" s="66" t="s">
        <v>230</v>
      </c>
      <c r="B278" s="66" t="s">
        <v>502</v>
      </c>
      <c r="C278" s="67" t="s">
        <v>4454</v>
      </c>
      <c r="D278" s="68">
        <v>5</v>
      </c>
      <c r="E278" s="69"/>
      <c r="F278" s="70">
        <v>20</v>
      </c>
      <c r="G278" s="67"/>
      <c r="H278" s="71"/>
      <c r="I278" s="72"/>
      <c r="J278" s="72"/>
      <c r="K278" s="34"/>
      <c r="L278" s="79">
        <v>278</v>
      </c>
      <c r="M278" s="79"/>
      <c r="N278" s="74"/>
      <c r="O278" s="81" t="s">
        <v>944</v>
      </c>
      <c r="P278">
        <v>1</v>
      </c>
      <c r="Q278" s="80" t="str">
        <f>REPLACE(INDEX(GroupVertices[Group],MATCH(Edges[[#This Row],[Vertex 1]],GroupVertices[Vertex],0)),1,1,"")</f>
        <v>2</v>
      </c>
      <c r="R278" s="80" t="e">
        <f>REPLACE(INDEX(GroupVertices[Group],MATCH(Edges[[#This Row],[Vertex 2]],GroupVertices[Vertex],0)),1,1,"")</f>
        <v>#N/A</v>
      </c>
      <c r="S278" s="34"/>
      <c r="T278" s="34"/>
      <c r="U278" s="34"/>
      <c r="V278" s="34"/>
      <c r="W278" s="34"/>
      <c r="X278" s="34"/>
      <c r="Y278" s="34"/>
      <c r="Z278" s="34"/>
      <c r="AA278" s="34"/>
    </row>
    <row r="279" spans="1:27" ht="15">
      <c r="A279" s="66" t="s">
        <v>230</v>
      </c>
      <c r="B279" s="66" t="s">
        <v>503</v>
      </c>
      <c r="C279" s="67" t="s">
        <v>4454</v>
      </c>
      <c r="D279" s="68">
        <v>5</v>
      </c>
      <c r="E279" s="69"/>
      <c r="F279" s="70">
        <v>20</v>
      </c>
      <c r="G279" s="67"/>
      <c r="H279" s="71"/>
      <c r="I279" s="72"/>
      <c r="J279" s="72"/>
      <c r="K279" s="34"/>
      <c r="L279" s="79">
        <v>279</v>
      </c>
      <c r="M279" s="79"/>
      <c r="N279" s="74"/>
      <c r="O279" s="81" t="s">
        <v>944</v>
      </c>
      <c r="P279">
        <v>1</v>
      </c>
      <c r="Q279" s="80" t="str">
        <f>REPLACE(INDEX(GroupVertices[Group],MATCH(Edges[[#This Row],[Vertex 1]],GroupVertices[Vertex],0)),1,1,"")</f>
        <v>2</v>
      </c>
      <c r="R279" s="80" t="e">
        <f>REPLACE(INDEX(GroupVertices[Group],MATCH(Edges[[#This Row],[Vertex 2]],GroupVertices[Vertex],0)),1,1,"")</f>
        <v>#N/A</v>
      </c>
      <c r="S279" s="34"/>
      <c r="T279" s="34"/>
      <c r="U279" s="34"/>
      <c r="V279" s="34"/>
      <c r="W279" s="34"/>
      <c r="X279" s="34"/>
      <c r="Y279" s="34"/>
      <c r="Z279" s="34"/>
      <c r="AA279" s="34"/>
    </row>
    <row r="280" spans="1:27" ht="15">
      <c r="A280" s="66" t="s">
        <v>230</v>
      </c>
      <c r="B280" s="66" t="s">
        <v>504</v>
      </c>
      <c r="C280" s="67" t="s">
        <v>4454</v>
      </c>
      <c r="D280" s="68">
        <v>5</v>
      </c>
      <c r="E280" s="69"/>
      <c r="F280" s="70">
        <v>20</v>
      </c>
      <c r="G280" s="67"/>
      <c r="H280" s="71"/>
      <c r="I280" s="72"/>
      <c r="J280" s="72"/>
      <c r="K280" s="34" t="s">
        <v>65</v>
      </c>
      <c r="L280" s="79">
        <v>280</v>
      </c>
      <c r="M280" s="79"/>
      <c r="N280" s="74"/>
      <c r="O280" s="81" t="s">
        <v>944</v>
      </c>
      <c r="P280">
        <v>1</v>
      </c>
      <c r="Q280" s="80" t="str">
        <f>REPLACE(INDEX(GroupVertices[Group],MATCH(Edges[[#This Row],[Vertex 1]],GroupVertices[Vertex],0)),1,1,"")</f>
        <v>2</v>
      </c>
      <c r="R280" s="80" t="str">
        <f>REPLACE(INDEX(GroupVertices[Group],MATCH(Edges[[#This Row],[Vertex 2]],GroupVertices[Vertex],0)),1,1,"")</f>
        <v>3</v>
      </c>
      <c r="S280" s="34"/>
      <c r="T280" s="34"/>
      <c r="U280" s="34"/>
      <c r="V280" s="34"/>
      <c r="W280" s="34"/>
      <c r="X280" s="34"/>
      <c r="Y280" s="34"/>
      <c r="Z280" s="34"/>
      <c r="AA280" s="34"/>
    </row>
    <row r="281" spans="1:27" ht="15">
      <c r="A281" s="66" t="s">
        <v>230</v>
      </c>
      <c r="B281" s="66" t="s">
        <v>505</v>
      </c>
      <c r="C281" s="67" t="s">
        <v>4454</v>
      </c>
      <c r="D281" s="68">
        <v>5</v>
      </c>
      <c r="E281" s="69"/>
      <c r="F281" s="70">
        <v>20</v>
      </c>
      <c r="G281" s="67"/>
      <c r="H281" s="71"/>
      <c r="I281" s="72"/>
      <c r="J281" s="72"/>
      <c r="K281" s="34" t="s">
        <v>65</v>
      </c>
      <c r="L281" s="79">
        <v>281</v>
      </c>
      <c r="M281" s="79"/>
      <c r="N281" s="74"/>
      <c r="O281" s="81" t="s">
        <v>944</v>
      </c>
      <c r="P281">
        <v>1</v>
      </c>
      <c r="Q281" s="80" t="str">
        <f>REPLACE(INDEX(GroupVertices[Group],MATCH(Edges[[#This Row],[Vertex 1]],GroupVertices[Vertex],0)),1,1,"")</f>
        <v>2</v>
      </c>
      <c r="R281" s="80" t="str">
        <f>REPLACE(INDEX(GroupVertices[Group],MATCH(Edges[[#This Row],[Vertex 2]],GroupVertices[Vertex],0)),1,1,"")</f>
        <v>1</v>
      </c>
      <c r="S281" s="34"/>
      <c r="T281" s="34"/>
      <c r="U281" s="34"/>
      <c r="V281" s="34"/>
      <c r="W281" s="34"/>
      <c r="X281" s="34"/>
      <c r="Y281" s="34"/>
      <c r="Z281" s="34"/>
      <c r="AA281" s="34"/>
    </row>
    <row r="282" spans="1:27" ht="15">
      <c r="A282" s="66" t="s">
        <v>230</v>
      </c>
      <c r="B282" s="66" t="s">
        <v>506</v>
      </c>
      <c r="C282" s="67" t="s">
        <v>4454</v>
      </c>
      <c r="D282" s="68">
        <v>5</v>
      </c>
      <c r="E282" s="69"/>
      <c r="F282" s="70">
        <v>20</v>
      </c>
      <c r="G282" s="67"/>
      <c r="H282" s="71"/>
      <c r="I282" s="72"/>
      <c r="J282" s="72"/>
      <c r="K282" s="34" t="s">
        <v>65</v>
      </c>
      <c r="L282" s="79">
        <v>282</v>
      </c>
      <c r="M282" s="79"/>
      <c r="N282" s="74"/>
      <c r="O282" s="81" t="s">
        <v>944</v>
      </c>
      <c r="P282">
        <v>1</v>
      </c>
      <c r="Q282" s="80" t="str">
        <f>REPLACE(INDEX(GroupVertices[Group],MATCH(Edges[[#This Row],[Vertex 1]],GroupVertices[Vertex],0)),1,1,"")</f>
        <v>2</v>
      </c>
      <c r="R282" s="80" t="str">
        <f>REPLACE(INDEX(GroupVertices[Group],MATCH(Edges[[#This Row],[Vertex 2]],GroupVertices[Vertex],0)),1,1,"")</f>
        <v>4</v>
      </c>
      <c r="S282" s="34"/>
      <c r="T282" s="34"/>
      <c r="U282" s="34"/>
      <c r="V282" s="34"/>
      <c r="W282" s="34"/>
      <c r="X282" s="34"/>
      <c r="Y282" s="34"/>
      <c r="Z282" s="34"/>
      <c r="AA282" s="34"/>
    </row>
    <row r="283" spans="1:27" ht="15">
      <c r="A283" s="66" t="s">
        <v>230</v>
      </c>
      <c r="B283" s="66" t="s">
        <v>507</v>
      </c>
      <c r="C283" s="67" t="s">
        <v>4454</v>
      </c>
      <c r="D283" s="68">
        <v>5</v>
      </c>
      <c r="E283" s="69"/>
      <c r="F283" s="70">
        <v>20</v>
      </c>
      <c r="G283" s="67"/>
      <c r="H283" s="71"/>
      <c r="I283" s="72"/>
      <c r="J283" s="72"/>
      <c r="K283" s="34" t="s">
        <v>65</v>
      </c>
      <c r="L283" s="79">
        <v>283</v>
      </c>
      <c r="M283" s="79"/>
      <c r="N283" s="74"/>
      <c r="O283" s="81" t="s">
        <v>944</v>
      </c>
      <c r="P283">
        <v>1</v>
      </c>
      <c r="Q283" s="80" t="str">
        <f>REPLACE(INDEX(GroupVertices[Group],MATCH(Edges[[#This Row],[Vertex 1]],GroupVertices[Vertex],0)),1,1,"")</f>
        <v>2</v>
      </c>
      <c r="R283" s="80" t="str">
        <f>REPLACE(INDEX(GroupVertices[Group],MATCH(Edges[[#This Row],[Vertex 2]],GroupVertices[Vertex],0)),1,1,"")</f>
        <v>4</v>
      </c>
      <c r="S283" s="34"/>
      <c r="T283" s="34"/>
      <c r="U283" s="34"/>
      <c r="V283" s="34"/>
      <c r="W283" s="34"/>
      <c r="X283" s="34"/>
      <c r="Y283" s="34"/>
      <c r="Z283" s="34"/>
      <c r="AA283" s="34"/>
    </row>
    <row r="284" spans="1:27" ht="15">
      <c r="A284" s="66" t="s">
        <v>230</v>
      </c>
      <c r="B284" s="66" t="s">
        <v>242</v>
      </c>
      <c r="C284" s="67" t="s">
        <v>4454</v>
      </c>
      <c r="D284" s="68">
        <v>5</v>
      </c>
      <c r="E284" s="69"/>
      <c r="F284" s="70">
        <v>20</v>
      </c>
      <c r="G284" s="67"/>
      <c r="H284" s="71"/>
      <c r="I284" s="72"/>
      <c r="J284" s="72"/>
      <c r="K284" s="34" t="s">
        <v>65</v>
      </c>
      <c r="L284" s="79">
        <v>284</v>
      </c>
      <c r="M284" s="79"/>
      <c r="N284" s="74"/>
      <c r="O284" s="81" t="s">
        <v>944</v>
      </c>
      <c r="P284">
        <v>1</v>
      </c>
      <c r="Q284" s="80" t="str">
        <f>REPLACE(INDEX(GroupVertices[Group],MATCH(Edges[[#This Row],[Vertex 1]],GroupVertices[Vertex],0)),1,1,"")</f>
        <v>2</v>
      </c>
      <c r="R284" s="80" t="str">
        <f>REPLACE(INDEX(GroupVertices[Group],MATCH(Edges[[#This Row],[Vertex 2]],GroupVertices[Vertex],0)),1,1,"")</f>
        <v>1</v>
      </c>
      <c r="S284" s="34"/>
      <c r="T284" s="34"/>
      <c r="U284" s="34"/>
      <c r="V284" s="34"/>
      <c r="W284" s="34"/>
      <c r="X284" s="34"/>
      <c r="Y284" s="34"/>
      <c r="Z284" s="34"/>
      <c r="AA284" s="34"/>
    </row>
    <row r="285" spans="1:27" ht="15">
      <c r="A285" s="66" t="s">
        <v>230</v>
      </c>
      <c r="B285" s="66" t="s">
        <v>246</v>
      </c>
      <c r="C285" s="67" t="s">
        <v>4454</v>
      </c>
      <c r="D285" s="68">
        <v>5</v>
      </c>
      <c r="E285" s="69"/>
      <c r="F285" s="70">
        <v>20</v>
      </c>
      <c r="G285" s="67"/>
      <c r="H285" s="71"/>
      <c r="I285" s="72"/>
      <c r="J285" s="72"/>
      <c r="K285" s="34" t="s">
        <v>65</v>
      </c>
      <c r="L285" s="79">
        <v>285</v>
      </c>
      <c r="M285" s="79"/>
      <c r="N285" s="74"/>
      <c r="O285" s="81" t="s">
        <v>944</v>
      </c>
      <c r="P285">
        <v>1</v>
      </c>
      <c r="Q285" s="80" t="str">
        <f>REPLACE(INDEX(GroupVertices[Group],MATCH(Edges[[#This Row],[Vertex 1]],GroupVertices[Vertex],0)),1,1,"")</f>
        <v>2</v>
      </c>
      <c r="R285" s="80" t="str">
        <f>REPLACE(INDEX(GroupVertices[Group],MATCH(Edges[[#This Row],[Vertex 2]],GroupVertices[Vertex],0)),1,1,"")</f>
        <v>2</v>
      </c>
      <c r="S285" s="34"/>
      <c r="T285" s="34"/>
      <c r="U285" s="34"/>
      <c r="V285" s="34"/>
      <c r="W285" s="34"/>
      <c r="X285" s="34"/>
      <c r="Y285" s="34"/>
      <c r="Z285" s="34"/>
      <c r="AA285" s="34"/>
    </row>
    <row r="286" spans="1:27" ht="15">
      <c r="A286" s="66" t="s">
        <v>230</v>
      </c>
      <c r="B286" s="66" t="s">
        <v>508</v>
      </c>
      <c r="C286" s="67" t="s">
        <v>4454</v>
      </c>
      <c r="D286" s="68">
        <v>5</v>
      </c>
      <c r="E286" s="69"/>
      <c r="F286" s="70">
        <v>20</v>
      </c>
      <c r="G286" s="67"/>
      <c r="H286" s="71"/>
      <c r="I286" s="72"/>
      <c r="J286" s="72"/>
      <c r="K286" s="34" t="s">
        <v>65</v>
      </c>
      <c r="L286" s="79">
        <v>286</v>
      </c>
      <c r="M286" s="79"/>
      <c r="N286" s="74"/>
      <c r="O286" s="81" t="s">
        <v>944</v>
      </c>
      <c r="P286">
        <v>1</v>
      </c>
      <c r="Q286" s="80" t="str">
        <f>REPLACE(INDEX(GroupVertices[Group],MATCH(Edges[[#This Row],[Vertex 1]],GroupVertices[Vertex],0)),1,1,"")</f>
        <v>2</v>
      </c>
      <c r="R286" s="80" t="str">
        <f>REPLACE(INDEX(GroupVertices[Group],MATCH(Edges[[#This Row],[Vertex 2]],GroupVertices[Vertex],0)),1,1,"")</f>
        <v>1</v>
      </c>
      <c r="S286" s="34"/>
      <c r="T286" s="34"/>
      <c r="U286" s="34"/>
      <c r="V286" s="34"/>
      <c r="W286" s="34"/>
      <c r="X286" s="34"/>
      <c r="Y286" s="34"/>
      <c r="Z286" s="34"/>
      <c r="AA286" s="34"/>
    </row>
    <row r="287" spans="1:27" ht="15">
      <c r="A287" s="66" t="s">
        <v>230</v>
      </c>
      <c r="B287" s="66" t="s">
        <v>258</v>
      </c>
      <c r="C287" s="67" t="s">
        <v>4454</v>
      </c>
      <c r="D287" s="68">
        <v>5</v>
      </c>
      <c r="E287" s="69"/>
      <c r="F287" s="70">
        <v>20</v>
      </c>
      <c r="G287" s="67"/>
      <c r="H287" s="71"/>
      <c r="I287" s="72"/>
      <c r="J287" s="72"/>
      <c r="K287" s="34" t="s">
        <v>65</v>
      </c>
      <c r="L287" s="79">
        <v>287</v>
      </c>
      <c r="M287" s="79"/>
      <c r="N287" s="74"/>
      <c r="O287" s="81" t="s">
        <v>944</v>
      </c>
      <c r="P287">
        <v>1</v>
      </c>
      <c r="Q287" s="80" t="str">
        <f>REPLACE(INDEX(GroupVertices[Group],MATCH(Edges[[#This Row],[Vertex 1]],GroupVertices[Vertex],0)),1,1,"")</f>
        <v>2</v>
      </c>
      <c r="R287" s="80" t="str">
        <f>REPLACE(INDEX(GroupVertices[Group],MATCH(Edges[[#This Row],[Vertex 2]],GroupVertices[Vertex],0)),1,1,"")</f>
        <v>1</v>
      </c>
      <c r="S287" s="34"/>
      <c r="T287" s="34"/>
      <c r="U287" s="34"/>
      <c r="V287" s="34"/>
      <c r="W287" s="34"/>
      <c r="X287" s="34"/>
      <c r="Y287" s="34"/>
      <c r="Z287" s="34"/>
      <c r="AA287" s="34"/>
    </row>
    <row r="288" spans="1:27" ht="15">
      <c r="A288" s="66" t="s">
        <v>230</v>
      </c>
      <c r="B288" s="66" t="s">
        <v>509</v>
      </c>
      <c r="C288" s="67" t="s">
        <v>4454</v>
      </c>
      <c r="D288" s="68">
        <v>5</v>
      </c>
      <c r="E288" s="69"/>
      <c r="F288" s="70">
        <v>20</v>
      </c>
      <c r="G288" s="67"/>
      <c r="H288" s="71"/>
      <c r="I288" s="72"/>
      <c r="J288" s="72"/>
      <c r="K288" s="34" t="s">
        <v>65</v>
      </c>
      <c r="L288" s="79">
        <v>288</v>
      </c>
      <c r="M288" s="79"/>
      <c r="N288" s="74"/>
      <c r="O288" s="81" t="s">
        <v>944</v>
      </c>
      <c r="P288">
        <v>1</v>
      </c>
      <c r="Q288" s="80" t="str">
        <f>REPLACE(INDEX(GroupVertices[Group],MATCH(Edges[[#This Row],[Vertex 1]],GroupVertices[Vertex],0)),1,1,"")</f>
        <v>2</v>
      </c>
      <c r="R288" s="80" t="str">
        <f>REPLACE(INDEX(GroupVertices[Group],MATCH(Edges[[#This Row],[Vertex 2]],GroupVertices[Vertex],0)),1,1,"")</f>
        <v>2</v>
      </c>
      <c r="S288" s="34"/>
      <c r="T288" s="34"/>
      <c r="U288" s="34"/>
      <c r="V288" s="34"/>
      <c r="W288" s="34"/>
      <c r="X288" s="34"/>
      <c r="Y288" s="34"/>
      <c r="Z288" s="34"/>
      <c r="AA288" s="34"/>
    </row>
    <row r="289" spans="1:27" ht="15">
      <c r="A289" s="66" t="s">
        <v>230</v>
      </c>
      <c r="B289" s="66" t="s">
        <v>257</v>
      </c>
      <c r="C289" s="67" t="s">
        <v>4454</v>
      </c>
      <c r="D289" s="68">
        <v>5</v>
      </c>
      <c r="E289" s="69"/>
      <c r="F289" s="70">
        <v>20</v>
      </c>
      <c r="G289" s="67"/>
      <c r="H289" s="71"/>
      <c r="I289" s="72"/>
      <c r="J289" s="72"/>
      <c r="K289" s="34" t="s">
        <v>65</v>
      </c>
      <c r="L289" s="79">
        <v>289</v>
      </c>
      <c r="M289" s="79"/>
      <c r="N289" s="74"/>
      <c r="O289" s="81" t="s">
        <v>944</v>
      </c>
      <c r="P289">
        <v>1</v>
      </c>
      <c r="Q289" s="80" t="str">
        <f>REPLACE(INDEX(GroupVertices[Group],MATCH(Edges[[#This Row],[Vertex 1]],GroupVertices[Vertex],0)),1,1,"")</f>
        <v>2</v>
      </c>
      <c r="R289" s="80" t="str">
        <f>REPLACE(INDEX(GroupVertices[Group],MATCH(Edges[[#This Row],[Vertex 2]],GroupVertices[Vertex],0)),1,1,"")</f>
        <v>2</v>
      </c>
      <c r="S289" s="34"/>
      <c r="T289" s="34"/>
      <c r="U289" s="34"/>
      <c r="V289" s="34"/>
      <c r="W289" s="34"/>
      <c r="X289" s="34"/>
      <c r="Y289" s="34"/>
      <c r="Z289" s="34"/>
      <c r="AA289" s="34"/>
    </row>
    <row r="290" spans="1:27" ht="15">
      <c r="A290" s="66" t="s">
        <v>230</v>
      </c>
      <c r="B290" s="66" t="s">
        <v>260</v>
      </c>
      <c r="C290" s="67" t="s">
        <v>4454</v>
      </c>
      <c r="D290" s="68">
        <v>5</v>
      </c>
      <c r="E290" s="69"/>
      <c r="F290" s="70">
        <v>20</v>
      </c>
      <c r="G290" s="67"/>
      <c r="H290" s="71"/>
      <c r="I290" s="72"/>
      <c r="J290" s="72"/>
      <c r="K290" s="34" t="s">
        <v>65</v>
      </c>
      <c r="L290" s="79">
        <v>290</v>
      </c>
      <c r="M290" s="79"/>
      <c r="N290" s="74"/>
      <c r="O290" s="81" t="s">
        <v>944</v>
      </c>
      <c r="P290">
        <v>1</v>
      </c>
      <c r="Q290" s="80" t="str">
        <f>REPLACE(INDEX(GroupVertices[Group],MATCH(Edges[[#This Row],[Vertex 1]],GroupVertices[Vertex],0)),1,1,"")</f>
        <v>2</v>
      </c>
      <c r="R290" s="80" t="str">
        <f>REPLACE(INDEX(GroupVertices[Group],MATCH(Edges[[#This Row],[Vertex 2]],GroupVertices[Vertex],0)),1,1,"")</f>
        <v>2</v>
      </c>
      <c r="S290" s="34"/>
      <c r="T290" s="34"/>
      <c r="U290" s="34"/>
      <c r="V290" s="34"/>
      <c r="W290" s="34"/>
      <c r="X290" s="34"/>
      <c r="Y290" s="34"/>
      <c r="Z290" s="34"/>
      <c r="AA290" s="34"/>
    </row>
    <row r="291" spans="1:27" ht="15">
      <c r="A291" s="66" t="s">
        <v>230</v>
      </c>
      <c r="B291" s="66" t="s">
        <v>247</v>
      </c>
      <c r="C291" s="67" t="s">
        <v>4454</v>
      </c>
      <c r="D291" s="68">
        <v>5</v>
      </c>
      <c r="E291" s="69"/>
      <c r="F291" s="70">
        <v>20</v>
      </c>
      <c r="G291" s="67"/>
      <c r="H291" s="71"/>
      <c r="I291" s="72"/>
      <c r="J291" s="72"/>
      <c r="K291" s="34" t="s">
        <v>65</v>
      </c>
      <c r="L291" s="79">
        <v>291</v>
      </c>
      <c r="M291" s="79"/>
      <c r="N291" s="74"/>
      <c r="O291" s="81" t="s">
        <v>944</v>
      </c>
      <c r="P291">
        <v>1</v>
      </c>
      <c r="Q291" s="80" t="str">
        <f>REPLACE(INDEX(GroupVertices[Group],MATCH(Edges[[#This Row],[Vertex 1]],GroupVertices[Vertex],0)),1,1,"")</f>
        <v>2</v>
      </c>
      <c r="R291" s="80" t="str">
        <f>REPLACE(INDEX(GroupVertices[Group],MATCH(Edges[[#This Row],[Vertex 2]],GroupVertices[Vertex],0)),1,1,"")</f>
        <v>2</v>
      </c>
      <c r="S291" s="34"/>
      <c r="T291" s="34"/>
      <c r="U291" s="34"/>
      <c r="V291" s="34"/>
      <c r="W291" s="34"/>
      <c r="X291" s="34"/>
      <c r="Y291" s="34"/>
      <c r="Z291" s="34"/>
      <c r="AA291" s="34"/>
    </row>
    <row r="292" spans="1:27" ht="15">
      <c r="A292" s="66" t="s">
        <v>230</v>
      </c>
      <c r="B292" s="66" t="s">
        <v>252</v>
      </c>
      <c r="C292" s="67" t="s">
        <v>4454</v>
      </c>
      <c r="D292" s="68">
        <v>5</v>
      </c>
      <c r="E292" s="69"/>
      <c r="F292" s="70">
        <v>20</v>
      </c>
      <c r="G292" s="67"/>
      <c r="H292" s="71"/>
      <c r="I292" s="72"/>
      <c r="J292" s="72"/>
      <c r="K292" s="34" t="s">
        <v>65</v>
      </c>
      <c r="L292" s="79">
        <v>292</v>
      </c>
      <c r="M292" s="79"/>
      <c r="N292" s="74"/>
      <c r="O292" s="81" t="s">
        <v>944</v>
      </c>
      <c r="P292">
        <v>1</v>
      </c>
      <c r="Q292" s="80" t="str">
        <f>REPLACE(INDEX(GroupVertices[Group],MATCH(Edges[[#This Row],[Vertex 1]],GroupVertices[Vertex],0)),1,1,"")</f>
        <v>2</v>
      </c>
      <c r="R292" s="80" t="str">
        <f>REPLACE(INDEX(GroupVertices[Group],MATCH(Edges[[#This Row],[Vertex 2]],GroupVertices[Vertex],0)),1,1,"")</f>
        <v>1</v>
      </c>
      <c r="S292" s="34"/>
      <c r="T292" s="34"/>
      <c r="U292" s="34"/>
      <c r="V292" s="34"/>
      <c r="W292" s="34"/>
      <c r="X292" s="34"/>
      <c r="Y292" s="34"/>
      <c r="Z292" s="34"/>
      <c r="AA292" s="34"/>
    </row>
    <row r="293" spans="1:27" ht="15">
      <c r="A293" s="66" t="s">
        <v>230</v>
      </c>
      <c r="B293" s="66" t="s">
        <v>510</v>
      </c>
      <c r="C293" s="67" t="s">
        <v>4454</v>
      </c>
      <c r="D293" s="68">
        <v>5</v>
      </c>
      <c r="E293" s="69"/>
      <c r="F293" s="70">
        <v>20</v>
      </c>
      <c r="G293" s="67"/>
      <c r="H293" s="71"/>
      <c r="I293" s="72"/>
      <c r="J293" s="72"/>
      <c r="K293" s="34" t="s">
        <v>65</v>
      </c>
      <c r="L293" s="79">
        <v>293</v>
      </c>
      <c r="M293" s="79"/>
      <c r="N293" s="74"/>
      <c r="O293" s="81" t="s">
        <v>944</v>
      </c>
      <c r="P293">
        <v>1</v>
      </c>
      <c r="Q293" s="80" t="str">
        <f>REPLACE(INDEX(GroupVertices[Group],MATCH(Edges[[#This Row],[Vertex 1]],GroupVertices[Vertex],0)),1,1,"")</f>
        <v>2</v>
      </c>
      <c r="R293" s="80" t="str">
        <f>REPLACE(INDEX(GroupVertices[Group],MATCH(Edges[[#This Row],[Vertex 2]],GroupVertices[Vertex],0)),1,1,"")</f>
        <v>2</v>
      </c>
      <c r="S293" s="34"/>
      <c r="T293" s="34"/>
      <c r="U293" s="34"/>
      <c r="V293" s="34"/>
      <c r="W293" s="34"/>
      <c r="X293" s="34"/>
      <c r="Y293" s="34"/>
      <c r="Z293" s="34"/>
      <c r="AA293" s="34"/>
    </row>
    <row r="294" spans="1:27" ht="15">
      <c r="A294" s="66" t="s">
        <v>230</v>
      </c>
      <c r="B294" s="66" t="s">
        <v>238</v>
      </c>
      <c r="C294" s="67" t="s">
        <v>4454</v>
      </c>
      <c r="D294" s="68">
        <v>5</v>
      </c>
      <c r="E294" s="69"/>
      <c r="F294" s="70">
        <v>20</v>
      </c>
      <c r="G294" s="67"/>
      <c r="H294" s="71"/>
      <c r="I294" s="72"/>
      <c r="J294" s="72"/>
      <c r="K294" s="34" t="s">
        <v>65</v>
      </c>
      <c r="L294" s="79">
        <v>294</v>
      </c>
      <c r="M294" s="79"/>
      <c r="N294" s="74"/>
      <c r="O294" s="81" t="s">
        <v>944</v>
      </c>
      <c r="P294">
        <v>1</v>
      </c>
      <c r="Q294" s="80" t="str">
        <f>REPLACE(INDEX(GroupVertices[Group],MATCH(Edges[[#This Row],[Vertex 1]],GroupVertices[Vertex],0)),1,1,"")</f>
        <v>2</v>
      </c>
      <c r="R294" s="80" t="str">
        <f>REPLACE(INDEX(GroupVertices[Group],MATCH(Edges[[#This Row],[Vertex 2]],GroupVertices[Vertex],0)),1,1,"")</f>
        <v>2</v>
      </c>
      <c r="S294" s="34"/>
      <c r="T294" s="34"/>
      <c r="U294" s="34"/>
      <c r="V294" s="34"/>
      <c r="W294" s="34"/>
      <c r="X294" s="34"/>
      <c r="Y294" s="34"/>
      <c r="Z294" s="34"/>
      <c r="AA294" s="34"/>
    </row>
    <row r="295" spans="1:27" ht="15">
      <c r="A295" s="66" t="s">
        <v>230</v>
      </c>
      <c r="B295" s="66" t="s">
        <v>511</v>
      </c>
      <c r="C295" s="67" t="s">
        <v>4454</v>
      </c>
      <c r="D295" s="68">
        <v>5</v>
      </c>
      <c r="E295" s="69"/>
      <c r="F295" s="70">
        <v>20</v>
      </c>
      <c r="G295" s="67"/>
      <c r="H295" s="71"/>
      <c r="I295" s="72"/>
      <c r="J295" s="72"/>
      <c r="K295" s="34" t="s">
        <v>65</v>
      </c>
      <c r="L295" s="79">
        <v>295</v>
      </c>
      <c r="M295" s="79"/>
      <c r="N295" s="74"/>
      <c r="O295" s="81" t="s">
        <v>944</v>
      </c>
      <c r="P295">
        <v>1</v>
      </c>
      <c r="Q295" s="80" t="str">
        <f>REPLACE(INDEX(GroupVertices[Group],MATCH(Edges[[#This Row],[Vertex 1]],GroupVertices[Vertex],0)),1,1,"")</f>
        <v>2</v>
      </c>
      <c r="R295" s="80" t="str">
        <f>REPLACE(INDEX(GroupVertices[Group],MATCH(Edges[[#This Row],[Vertex 2]],GroupVertices[Vertex],0)),1,1,"")</f>
        <v>2</v>
      </c>
      <c r="S295" s="34"/>
      <c r="T295" s="34"/>
      <c r="U295" s="34"/>
      <c r="V295" s="34"/>
      <c r="W295" s="34"/>
      <c r="X295" s="34"/>
      <c r="Y295" s="34"/>
      <c r="Z295" s="34"/>
      <c r="AA295" s="34"/>
    </row>
    <row r="296" spans="1:27" ht="15">
      <c r="A296" s="66" t="s">
        <v>230</v>
      </c>
      <c r="B296" s="66" t="s">
        <v>248</v>
      </c>
      <c r="C296" s="67" t="s">
        <v>4454</v>
      </c>
      <c r="D296" s="68">
        <v>5</v>
      </c>
      <c r="E296" s="69"/>
      <c r="F296" s="70">
        <v>20</v>
      </c>
      <c r="G296" s="67"/>
      <c r="H296" s="71"/>
      <c r="I296" s="72"/>
      <c r="J296" s="72"/>
      <c r="K296" s="34" t="s">
        <v>65</v>
      </c>
      <c r="L296" s="79">
        <v>296</v>
      </c>
      <c r="M296" s="79"/>
      <c r="N296" s="74"/>
      <c r="O296" s="81" t="s">
        <v>944</v>
      </c>
      <c r="P296">
        <v>1</v>
      </c>
      <c r="Q296" s="80" t="str">
        <f>REPLACE(INDEX(GroupVertices[Group],MATCH(Edges[[#This Row],[Vertex 1]],GroupVertices[Vertex],0)),1,1,"")</f>
        <v>2</v>
      </c>
      <c r="R296" s="80" t="str">
        <f>REPLACE(INDEX(GroupVertices[Group],MATCH(Edges[[#This Row],[Vertex 2]],GroupVertices[Vertex],0)),1,1,"")</f>
        <v>1</v>
      </c>
      <c r="S296" s="34"/>
      <c r="T296" s="34"/>
      <c r="U296" s="34"/>
      <c r="V296" s="34"/>
      <c r="W296" s="34"/>
      <c r="X296" s="34"/>
      <c r="Y296" s="34"/>
      <c r="Z296" s="34"/>
      <c r="AA296" s="34"/>
    </row>
    <row r="297" spans="1:27" ht="15">
      <c r="A297" s="66" t="s">
        <v>230</v>
      </c>
      <c r="B297" s="66" t="s">
        <v>261</v>
      </c>
      <c r="C297" s="67" t="s">
        <v>4454</v>
      </c>
      <c r="D297" s="68">
        <v>5</v>
      </c>
      <c r="E297" s="69"/>
      <c r="F297" s="70">
        <v>20</v>
      </c>
      <c r="G297" s="67"/>
      <c r="H297" s="71"/>
      <c r="I297" s="72"/>
      <c r="J297" s="72"/>
      <c r="K297" s="34" t="s">
        <v>65</v>
      </c>
      <c r="L297" s="79">
        <v>297</v>
      </c>
      <c r="M297" s="79"/>
      <c r="N297" s="74"/>
      <c r="O297" s="81" t="s">
        <v>944</v>
      </c>
      <c r="P297">
        <v>1</v>
      </c>
      <c r="Q297" s="80" t="str">
        <f>REPLACE(INDEX(GroupVertices[Group],MATCH(Edges[[#This Row],[Vertex 1]],GroupVertices[Vertex],0)),1,1,"")</f>
        <v>2</v>
      </c>
      <c r="R297" s="80" t="str">
        <f>REPLACE(INDEX(GroupVertices[Group],MATCH(Edges[[#This Row],[Vertex 2]],GroupVertices[Vertex],0)),1,1,"")</f>
        <v>1</v>
      </c>
      <c r="S297" s="34"/>
      <c r="T297" s="34"/>
      <c r="U297" s="34"/>
      <c r="V297" s="34"/>
      <c r="W297" s="34"/>
      <c r="X297" s="34"/>
      <c r="Y297" s="34"/>
      <c r="Z297" s="34"/>
      <c r="AA297" s="34"/>
    </row>
    <row r="298" spans="1:27" ht="15">
      <c r="A298" s="66" t="s">
        <v>230</v>
      </c>
      <c r="B298" s="66" t="s">
        <v>243</v>
      </c>
      <c r="C298" s="67" t="s">
        <v>4454</v>
      </c>
      <c r="D298" s="68">
        <v>5</v>
      </c>
      <c r="E298" s="69"/>
      <c r="F298" s="70">
        <v>20</v>
      </c>
      <c r="G298" s="67"/>
      <c r="H298" s="71"/>
      <c r="I298" s="72"/>
      <c r="J298" s="72"/>
      <c r="K298" s="34" t="s">
        <v>65</v>
      </c>
      <c r="L298" s="79">
        <v>298</v>
      </c>
      <c r="M298" s="79"/>
      <c r="N298" s="74"/>
      <c r="O298" s="81" t="s">
        <v>944</v>
      </c>
      <c r="P298">
        <v>1</v>
      </c>
      <c r="Q298" s="80" t="str">
        <f>REPLACE(INDEX(GroupVertices[Group],MATCH(Edges[[#This Row],[Vertex 1]],GroupVertices[Vertex],0)),1,1,"")</f>
        <v>2</v>
      </c>
      <c r="R298" s="80" t="str">
        <f>REPLACE(INDEX(GroupVertices[Group],MATCH(Edges[[#This Row],[Vertex 2]],GroupVertices[Vertex],0)),1,1,"")</f>
        <v>2</v>
      </c>
      <c r="S298" s="34"/>
      <c r="T298" s="34"/>
      <c r="U298" s="34"/>
      <c r="V298" s="34"/>
      <c r="W298" s="34"/>
      <c r="X298" s="34"/>
      <c r="Y298" s="34"/>
      <c r="Z298" s="34"/>
      <c r="AA298" s="34"/>
    </row>
    <row r="299" spans="1:27" ht="15">
      <c r="A299" s="66" t="s">
        <v>230</v>
      </c>
      <c r="B299" s="66" t="s">
        <v>224</v>
      </c>
      <c r="C299" s="67" t="s">
        <v>4454</v>
      </c>
      <c r="D299" s="68">
        <v>5</v>
      </c>
      <c r="E299" s="69"/>
      <c r="F299" s="70">
        <v>20</v>
      </c>
      <c r="G299" s="67"/>
      <c r="H299" s="71"/>
      <c r="I299" s="72"/>
      <c r="J299" s="72"/>
      <c r="K299" s="34" t="s">
        <v>65</v>
      </c>
      <c r="L299" s="79">
        <v>299</v>
      </c>
      <c r="M299" s="79"/>
      <c r="N299" s="74"/>
      <c r="O299" s="81" t="s">
        <v>944</v>
      </c>
      <c r="P299">
        <v>1</v>
      </c>
      <c r="Q299" s="80" t="str">
        <f>REPLACE(INDEX(GroupVertices[Group],MATCH(Edges[[#This Row],[Vertex 1]],GroupVertices[Vertex],0)),1,1,"")</f>
        <v>2</v>
      </c>
      <c r="R299" s="80" t="str">
        <f>REPLACE(INDEX(GroupVertices[Group],MATCH(Edges[[#This Row],[Vertex 2]],GroupVertices[Vertex],0)),1,1,"")</f>
        <v>2</v>
      </c>
      <c r="S299" s="34"/>
      <c r="T299" s="34"/>
      <c r="U299" s="34"/>
      <c r="V299" s="34"/>
      <c r="W299" s="34"/>
      <c r="X299" s="34"/>
      <c r="Y299" s="34"/>
      <c r="Z299" s="34"/>
      <c r="AA299" s="34"/>
    </row>
    <row r="300" spans="1:27" ht="15">
      <c r="A300" s="66" t="s">
        <v>230</v>
      </c>
      <c r="B300" s="66" t="s">
        <v>239</v>
      </c>
      <c r="C300" s="67" t="s">
        <v>4454</v>
      </c>
      <c r="D300" s="68">
        <v>5</v>
      </c>
      <c r="E300" s="69"/>
      <c r="F300" s="70">
        <v>20</v>
      </c>
      <c r="G300" s="67"/>
      <c r="H300" s="71"/>
      <c r="I300" s="72"/>
      <c r="J300" s="72"/>
      <c r="K300" s="34" t="s">
        <v>65</v>
      </c>
      <c r="L300" s="79">
        <v>300</v>
      </c>
      <c r="M300" s="79"/>
      <c r="N300" s="74"/>
      <c r="O300" s="81" t="s">
        <v>944</v>
      </c>
      <c r="P300">
        <v>1</v>
      </c>
      <c r="Q300" s="80" t="str">
        <f>REPLACE(INDEX(GroupVertices[Group],MATCH(Edges[[#This Row],[Vertex 1]],GroupVertices[Vertex],0)),1,1,"")</f>
        <v>2</v>
      </c>
      <c r="R300" s="80" t="str">
        <f>REPLACE(INDEX(GroupVertices[Group],MATCH(Edges[[#This Row],[Vertex 2]],GroupVertices[Vertex],0)),1,1,"")</f>
        <v>3</v>
      </c>
      <c r="S300" s="34"/>
      <c r="T300" s="34"/>
      <c r="U300" s="34"/>
      <c r="V300" s="34"/>
      <c r="W300" s="34"/>
      <c r="X300" s="34"/>
      <c r="Y300" s="34"/>
      <c r="Z300" s="34"/>
      <c r="AA300" s="34"/>
    </row>
    <row r="301" spans="1:27" ht="15">
      <c r="A301" s="66" t="s">
        <v>230</v>
      </c>
      <c r="B301" s="66" t="s">
        <v>222</v>
      </c>
      <c r="C301" s="67" t="s">
        <v>4454</v>
      </c>
      <c r="D301" s="68">
        <v>5</v>
      </c>
      <c r="E301" s="69"/>
      <c r="F301" s="70">
        <v>20</v>
      </c>
      <c r="G301" s="67"/>
      <c r="H301" s="71"/>
      <c r="I301" s="72"/>
      <c r="J301" s="72"/>
      <c r="K301" s="34" t="s">
        <v>65</v>
      </c>
      <c r="L301" s="79">
        <v>301</v>
      </c>
      <c r="M301" s="79"/>
      <c r="N301" s="74"/>
      <c r="O301" s="81" t="s">
        <v>944</v>
      </c>
      <c r="P301">
        <v>1</v>
      </c>
      <c r="Q301" s="80" t="str">
        <f>REPLACE(INDEX(GroupVertices[Group],MATCH(Edges[[#This Row],[Vertex 1]],GroupVertices[Vertex],0)),1,1,"")</f>
        <v>2</v>
      </c>
      <c r="R301" s="80" t="str">
        <f>REPLACE(INDEX(GroupVertices[Group],MATCH(Edges[[#This Row],[Vertex 2]],GroupVertices[Vertex],0)),1,1,"")</f>
        <v>2</v>
      </c>
      <c r="S301" s="34"/>
      <c r="T301" s="34"/>
      <c r="U301" s="34"/>
      <c r="V301" s="34"/>
      <c r="W301" s="34"/>
      <c r="X301" s="34"/>
      <c r="Y301" s="34"/>
      <c r="Z301" s="34"/>
      <c r="AA301" s="34"/>
    </row>
    <row r="302" spans="1:27" ht="15">
      <c r="A302" s="66" t="s">
        <v>230</v>
      </c>
      <c r="B302" s="66" t="s">
        <v>512</v>
      </c>
      <c r="C302" s="67" t="s">
        <v>4454</v>
      </c>
      <c r="D302" s="68">
        <v>5</v>
      </c>
      <c r="E302" s="69"/>
      <c r="F302" s="70">
        <v>20</v>
      </c>
      <c r="G302" s="67"/>
      <c r="H302" s="71"/>
      <c r="I302" s="72"/>
      <c r="J302" s="72"/>
      <c r="K302" s="34" t="s">
        <v>65</v>
      </c>
      <c r="L302" s="79">
        <v>302</v>
      </c>
      <c r="M302" s="79"/>
      <c r="N302" s="74"/>
      <c r="O302" s="81" t="s">
        <v>944</v>
      </c>
      <c r="P302">
        <v>1</v>
      </c>
      <c r="Q302" s="80" t="str">
        <f>REPLACE(INDEX(GroupVertices[Group],MATCH(Edges[[#This Row],[Vertex 1]],GroupVertices[Vertex],0)),1,1,"")</f>
        <v>2</v>
      </c>
      <c r="R302" s="80" t="str">
        <f>REPLACE(INDEX(GroupVertices[Group],MATCH(Edges[[#This Row],[Vertex 2]],GroupVertices[Vertex],0)),1,1,"")</f>
        <v>2</v>
      </c>
      <c r="S302" s="34"/>
      <c r="T302" s="34"/>
      <c r="U302" s="34"/>
      <c r="V302" s="34"/>
      <c r="W302" s="34"/>
      <c r="X302" s="34"/>
      <c r="Y302" s="34"/>
      <c r="Z302" s="34"/>
      <c r="AA302" s="34"/>
    </row>
    <row r="303" spans="1:27" ht="15">
      <c r="A303" s="66" t="s">
        <v>230</v>
      </c>
      <c r="B303" s="66" t="s">
        <v>254</v>
      </c>
      <c r="C303" s="67" t="s">
        <v>4454</v>
      </c>
      <c r="D303" s="68">
        <v>5</v>
      </c>
      <c r="E303" s="69"/>
      <c r="F303" s="70">
        <v>20</v>
      </c>
      <c r="G303" s="67"/>
      <c r="H303" s="71"/>
      <c r="I303" s="72"/>
      <c r="J303" s="72"/>
      <c r="K303" s="34" t="s">
        <v>65</v>
      </c>
      <c r="L303" s="79">
        <v>303</v>
      </c>
      <c r="M303" s="79"/>
      <c r="N303" s="74"/>
      <c r="O303" s="81" t="s">
        <v>944</v>
      </c>
      <c r="P303">
        <v>1</v>
      </c>
      <c r="Q303" s="80" t="str">
        <f>REPLACE(INDEX(GroupVertices[Group],MATCH(Edges[[#This Row],[Vertex 1]],GroupVertices[Vertex],0)),1,1,"")</f>
        <v>2</v>
      </c>
      <c r="R303" s="80" t="str">
        <f>REPLACE(INDEX(GroupVertices[Group],MATCH(Edges[[#This Row],[Vertex 2]],GroupVertices[Vertex],0)),1,1,"")</f>
        <v>3</v>
      </c>
      <c r="S303" s="34"/>
      <c r="T303" s="34"/>
      <c r="U303" s="34"/>
      <c r="V303" s="34"/>
      <c r="W303" s="34"/>
      <c r="X303" s="34"/>
      <c r="Y303" s="34"/>
      <c r="Z303" s="34"/>
      <c r="AA303" s="34"/>
    </row>
    <row r="304" spans="1:27" ht="15">
      <c r="A304" s="66" t="s">
        <v>230</v>
      </c>
      <c r="B304" s="66" t="s">
        <v>486</v>
      </c>
      <c r="C304" s="67" t="s">
        <v>4454</v>
      </c>
      <c r="D304" s="68">
        <v>5</v>
      </c>
      <c r="E304" s="69"/>
      <c r="F304" s="70">
        <v>20</v>
      </c>
      <c r="G304" s="67"/>
      <c r="H304" s="71"/>
      <c r="I304" s="72"/>
      <c r="J304" s="72"/>
      <c r="K304" s="34" t="s">
        <v>65</v>
      </c>
      <c r="L304" s="79">
        <v>304</v>
      </c>
      <c r="M304" s="79"/>
      <c r="N304" s="74"/>
      <c r="O304" s="81" t="s">
        <v>944</v>
      </c>
      <c r="P304">
        <v>1</v>
      </c>
      <c r="Q304" s="80" t="str">
        <f>REPLACE(INDEX(GroupVertices[Group],MATCH(Edges[[#This Row],[Vertex 1]],GroupVertices[Vertex],0)),1,1,"")</f>
        <v>2</v>
      </c>
      <c r="R304" s="80" t="str">
        <f>REPLACE(INDEX(GroupVertices[Group],MATCH(Edges[[#This Row],[Vertex 2]],GroupVertices[Vertex],0)),1,1,"")</f>
        <v>2</v>
      </c>
      <c r="S304" s="34"/>
      <c r="T304" s="34"/>
      <c r="U304" s="34"/>
      <c r="V304" s="34"/>
      <c r="W304" s="34"/>
      <c r="X304" s="34"/>
      <c r="Y304" s="34"/>
      <c r="Z304" s="34"/>
      <c r="AA304" s="34"/>
    </row>
    <row r="305" spans="1:27" ht="15">
      <c r="A305" s="66" t="s">
        <v>230</v>
      </c>
      <c r="B305" s="66" t="s">
        <v>259</v>
      </c>
      <c r="C305" s="67" t="s">
        <v>4454</v>
      </c>
      <c r="D305" s="68">
        <v>5</v>
      </c>
      <c r="E305" s="69"/>
      <c r="F305" s="70">
        <v>20</v>
      </c>
      <c r="G305" s="67"/>
      <c r="H305" s="71"/>
      <c r="I305" s="72"/>
      <c r="J305" s="72"/>
      <c r="K305" s="34" t="s">
        <v>65</v>
      </c>
      <c r="L305" s="79">
        <v>305</v>
      </c>
      <c r="M305" s="79"/>
      <c r="N305" s="74"/>
      <c r="O305" s="81" t="s">
        <v>944</v>
      </c>
      <c r="P305">
        <v>1</v>
      </c>
      <c r="Q305" s="80" t="str">
        <f>REPLACE(INDEX(GroupVertices[Group],MATCH(Edges[[#This Row],[Vertex 1]],GroupVertices[Vertex],0)),1,1,"")</f>
        <v>2</v>
      </c>
      <c r="R305" s="80" t="str">
        <f>REPLACE(INDEX(GroupVertices[Group],MATCH(Edges[[#This Row],[Vertex 2]],GroupVertices[Vertex],0)),1,1,"")</f>
        <v>2</v>
      </c>
      <c r="S305" s="34"/>
      <c r="T305" s="34"/>
      <c r="U305" s="34"/>
      <c r="V305" s="34"/>
      <c r="W305" s="34"/>
      <c r="X305" s="34"/>
      <c r="Y305" s="34"/>
      <c r="Z305" s="34"/>
      <c r="AA305" s="34"/>
    </row>
    <row r="306" spans="1:27" ht="15">
      <c r="A306" s="66" t="s">
        <v>230</v>
      </c>
      <c r="B306" s="66" t="s">
        <v>513</v>
      </c>
      <c r="C306" s="67" t="s">
        <v>4454</v>
      </c>
      <c r="D306" s="68">
        <v>5</v>
      </c>
      <c r="E306" s="69"/>
      <c r="F306" s="70">
        <v>20</v>
      </c>
      <c r="G306" s="67"/>
      <c r="H306" s="71"/>
      <c r="I306" s="72"/>
      <c r="J306" s="72"/>
      <c r="K306" s="34" t="s">
        <v>65</v>
      </c>
      <c r="L306" s="79">
        <v>306</v>
      </c>
      <c r="M306" s="79"/>
      <c r="N306" s="74"/>
      <c r="O306" s="81" t="s">
        <v>944</v>
      </c>
      <c r="P306">
        <v>1</v>
      </c>
      <c r="Q306" s="80" t="str">
        <f>REPLACE(INDEX(GroupVertices[Group],MATCH(Edges[[#This Row],[Vertex 1]],GroupVertices[Vertex],0)),1,1,"")</f>
        <v>2</v>
      </c>
      <c r="R306" s="80" t="str">
        <f>REPLACE(INDEX(GroupVertices[Group],MATCH(Edges[[#This Row],[Vertex 2]],GroupVertices[Vertex],0)),1,1,"")</f>
        <v>2</v>
      </c>
      <c r="S306" s="34"/>
      <c r="T306" s="34"/>
      <c r="U306" s="34"/>
      <c r="V306" s="34"/>
      <c r="W306" s="34"/>
      <c r="X306" s="34"/>
      <c r="Y306" s="34"/>
      <c r="Z306" s="34"/>
      <c r="AA306" s="34"/>
    </row>
    <row r="307" spans="1:27" ht="15">
      <c r="A307" s="66" t="s">
        <v>230</v>
      </c>
      <c r="B307" s="66" t="s">
        <v>249</v>
      </c>
      <c r="C307" s="67" t="s">
        <v>4454</v>
      </c>
      <c r="D307" s="68">
        <v>5</v>
      </c>
      <c r="E307" s="69"/>
      <c r="F307" s="70">
        <v>20</v>
      </c>
      <c r="G307" s="67"/>
      <c r="H307" s="71"/>
      <c r="I307" s="72"/>
      <c r="J307" s="72"/>
      <c r="K307" s="34" t="s">
        <v>65</v>
      </c>
      <c r="L307" s="79">
        <v>307</v>
      </c>
      <c r="M307" s="79"/>
      <c r="N307" s="74"/>
      <c r="O307" s="81" t="s">
        <v>944</v>
      </c>
      <c r="P307">
        <v>1</v>
      </c>
      <c r="Q307" s="80" t="str">
        <f>REPLACE(INDEX(GroupVertices[Group],MATCH(Edges[[#This Row],[Vertex 1]],GroupVertices[Vertex],0)),1,1,"")</f>
        <v>2</v>
      </c>
      <c r="R307" s="80" t="str">
        <f>REPLACE(INDEX(GroupVertices[Group],MATCH(Edges[[#This Row],[Vertex 2]],GroupVertices[Vertex],0)),1,1,"")</f>
        <v>2</v>
      </c>
      <c r="S307" s="34"/>
      <c r="T307" s="34"/>
      <c r="U307" s="34"/>
      <c r="V307" s="34"/>
      <c r="W307" s="34"/>
      <c r="X307" s="34"/>
      <c r="Y307" s="34"/>
      <c r="Z307" s="34"/>
      <c r="AA307" s="34"/>
    </row>
    <row r="308" spans="1:27" ht="15">
      <c r="A308" s="66" t="s">
        <v>230</v>
      </c>
      <c r="B308" s="66" t="s">
        <v>514</v>
      </c>
      <c r="C308" s="67" t="s">
        <v>4454</v>
      </c>
      <c r="D308" s="68">
        <v>5</v>
      </c>
      <c r="E308" s="69"/>
      <c r="F308" s="70">
        <v>20</v>
      </c>
      <c r="G308" s="67"/>
      <c r="H308" s="71"/>
      <c r="I308" s="72"/>
      <c r="J308" s="72"/>
      <c r="K308" s="34" t="s">
        <v>65</v>
      </c>
      <c r="L308" s="79">
        <v>308</v>
      </c>
      <c r="M308" s="79"/>
      <c r="N308" s="74"/>
      <c r="O308" s="81" t="s">
        <v>944</v>
      </c>
      <c r="P308">
        <v>1</v>
      </c>
      <c r="Q308" s="80" t="str">
        <f>REPLACE(INDEX(GroupVertices[Group],MATCH(Edges[[#This Row],[Vertex 1]],GroupVertices[Vertex],0)),1,1,"")</f>
        <v>2</v>
      </c>
      <c r="R308" s="80" t="str">
        <f>REPLACE(INDEX(GroupVertices[Group],MATCH(Edges[[#This Row],[Vertex 2]],GroupVertices[Vertex],0)),1,1,"")</f>
        <v>3</v>
      </c>
      <c r="S308" s="34"/>
      <c r="T308" s="34"/>
      <c r="U308" s="34"/>
      <c r="V308" s="34"/>
      <c r="W308" s="34"/>
      <c r="X308" s="34"/>
      <c r="Y308" s="34"/>
      <c r="Z308" s="34"/>
      <c r="AA308" s="34"/>
    </row>
    <row r="309" spans="1:27" ht="15">
      <c r="A309" s="66" t="s">
        <v>230</v>
      </c>
      <c r="B309" s="66" t="s">
        <v>220</v>
      </c>
      <c r="C309" s="67" t="s">
        <v>4454</v>
      </c>
      <c r="D309" s="68">
        <v>5</v>
      </c>
      <c r="E309" s="69"/>
      <c r="F309" s="70">
        <v>20</v>
      </c>
      <c r="G309" s="67"/>
      <c r="H309" s="71"/>
      <c r="I309" s="72"/>
      <c r="J309" s="72"/>
      <c r="K309" s="34" t="s">
        <v>65</v>
      </c>
      <c r="L309" s="79">
        <v>309</v>
      </c>
      <c r="M309" s="79"/>
      <c r="N309" s="74"/>
      <c r="O309" s="81" t="s">
        <v>944</v>
      </c>
      <c r="P309">
        <v>1</v>
      </c>
      <c r="Q309" s="80" t="str">
        <f>REPLACE(INDEX(GroupVertices[Group],MATCH(Edges[[#This Row],[Vertex 1]],GroupVertices[Vertex],0)),1,1,"")</f>
        <v>2</v>
      </c>
      <c r="R309" s="80" t="str">
        <f>REPLACE(INDEX(GroupVertices[Group],MATCH(Edges[[#This Row],[Vertex 2]],GroupVertices[Vertex],0)),1,1,"")</f>
        <v>2</v>
      </c>
      <c r="S309" s="34"/>
      <c r="T309" s="34"/>
      <c r="U309" s="34"/>
      <c r="V309" s="34"/>
      <c r="W309" s="34"/>
      <c r="X309" s="34"/>
      <c r="Y309" s="34"/>
      <c r="Z309" s="34"/>
      <c r="AA309" s="34"/>
    </row>
    <row r="310" spans="1:27" ht="15">
      <c r="A310" s="66" t="s">
        <v>230</v>
      </c>
      <c r="B310" s="66" t="s">
        <v>221</v>
      </c>
      <c r="C310" s="67" t="s">
        <v>4454</v>
      </c>
      <c r="D310" s="68">
        <v>5</v>
      </c>
      <c r="E310" s="69"/>
      <c r="F310" s="70">
        <v>20</v>
      </c>
      <c r="G310" s="67"/>
      <c r="H310" s="71"/>
      <c r="I310" s="72"/>
      <c r="J310" s="72"/>
      <c r="K310" s="34" t="s">
        <v>65</v>
      </c>
      <c r="L310" s="79">
        <v>310</v>
      </c>
      <c r="M310" s="79"/>
      <c r="N310" s="74"/>
      <c r="O310" s="81" t="s">
        <v>944</v>
      </c>
      <c r="P310">
        <v>1</v>
      </c>
      <c r="Q310" s="80" t="str">
        <f>REPLACE(INDEX(GroupVertices[Group],MATCH(Edges[[#This Row],[Vertex 1]],GroupVertices[Vertex],0)),1,1,"")</f>
        <v>2</v>
      </c>
      <c r="R310" s="80" t="str">
        <f>REPLACE(INDEX(GroupVertices[Group],MATCH(Edges[[#This Row],[Vertex 2]],GroupVertices[Vertex],0)),1,1,"")</f>
        <v>2</v>
      </c>
      <c r="S310" s="34"/>
      <c r="T310" s="34"/>
      <c r="U310" s="34"/>
      <c r="V310" s="34"/>
      <c r="W310" s="34"/>
      <c r="X310" s="34"/>
      <c r="Y310" s="34"/>
      <c r="Z310" s="34"/>
      <c r="AA310" s="34"/>
    </row>
    <row r="311" spans="1:27" ht="15">
      <c r="A311" s="66" t="s">
        <v>230</v>
      </c>
      <c r="B311" s="66" t="s">
        <v>250</v>
      </c>
      <c r="C311" s="67" t="s">
        <v>4454</v>
      </c>
      <c r="D311" s="68">
        <v>5</v>
      </c>
      <c r="E311" s="69"/>
      <c r="F311" s="70">
        <v>20</v>
      </c>
      <c r="G311" s="67"/>
      <c r="H311" s="71"/>
      <c r="I311" s="72"/>
      <c r="J311" s="72"/>
      <c r="K311" s="34" t="s">
        <v>65</v>
      </c>
      <c r="L311" s="79">
        <v>311</v>
      </c>
      <c r="M311" s="79"/>
      <c r="N311" s="74"/>
      <c r="O311" s="81" t="s">
        <v>944</v>
      </c>
      <c r="P311">
        <v>1</v>
      </c>
      <c r="Q311" s="80" t="str">
        <f>REPLACE(INDEX(GroupVertices[Group],MATCH(Edges[[#This Row],[Vertex 1]],GroupVertices[Vertex],0)),1,1,"")</f>
        <v>2</v>
      </c>
      <c r="R311" s="80" t="str">
        <f>REPLACE(INDEX(GroupVertices[Group],MATCH(Edges[[#This Row],[Vertex 2]],GroupVertices[Vertex],0)),1,1,"")</f>
        <v>2</v>
      </c>
      <c r="S311" s="34"/>
      <c r="T311" s="34"/>
      <c r="U311" s="34"/>
      <c r="V311" s="34"/>
      <c r="W311" s="34"/>
      <c r="X311" s="34"/>
      <c r="Y311" s="34"/>
      <c r="Z311" s="34"/>
      <c r="AA311" s="34"/>
    </row>
    <row r="312" spans="1:27" ht="15">
      <c r="A312" s="66" t="s">
        <v>230</v>
      </c>
      <c r="B312" s="66" t="s">
        <v>253</v>
      </c>
      <c r="C312" s="67" t="s">
        <v>4454</v>
      </c>
      <c r="D312" s="68">
        <v>5</v>
      </c>
      <c r="E312" s="69"/>
      <c r="F312" s="70">
        <v>20</v>
      </c>
      <c r="G312" s="67"/>
      <c r="H312" s="71"/>
      <c r="I312" s="72"/>
      <c r="J312" s="72"/>
      <c r="K312" s="34" t="s">
        <v>65</v>
      </c>
      <c r="L312" s="79">
        <v>312</v>
      </c>
      <c r="M312" s="79"/>
      <c r="N312" s="74"/>
      <c r="O312" s="81" t="s">
        <v>944</v>
      </c>
      <c r="P312">
        <v>1</v>
      </c>
      <c r="Q312" s="80" t="str">
        <f>REPLACE(INDEX(GroupVertices[Group],MATCH(Edges[[#This Row],[Vertex 1]],GroupVertices[Vertex],0)),1,1,"")</f>
        <v>2</v>
      </c>
      <c r="R312" s="80" t="str">
        <f>REPLACE(INDEX(GroupVertices[Group],MATCH(Edges[[#This Row],[Vertex 2]],GroupVertices[Vertex],0)),1,1,"")</f>
        <v>1</v>
      </c>
      <c r="S312" s="34"/>
      <c r="T312" s="34"/>
      <c r="U312" s="34"/>
      <c r="V312" s="34"/>
      <c r="W312" s="34"/>
      <c r="X312" s="34"/>
      <c r="Y312" s="34"/>
      <c r="Z312" s="34"/>
      <c r="AA312" s="34"/>
    </row>
    <row r="313" spans="1:27" ht="15">
      <c r="A313" s="66" t="s">
        <v>231</v>
      </c>
      <c r="B313" s="66" t="s">
        <v>515</v>
      </c>
      <c r="C313" s="67" t="s">
        <v>4454</v>
      </c>
      <c r="D313" s="68">
        <v>5</v>
      </c>
      <c r="E313" s="69"/>
      <c r="F313" s="70">
        <v>20</v>
      </c>
      <c r="G313" s="67"/>
      <c r="H313" s="71"/>
      <c r="I313" s="72"/>
      <c r="J313" s="72"/>
      <c r="K313" s="34"/>
      <c r="L313" s="79">
        <v>313</v>
      </c>
      <c r="M313" s="79"/>
      <c r="N313" s="74"/>
      <c r="O313" s="81" t="s">
        <v>944</v>
      </c>
      <c r="P313">
        <v>1</v>
      </c>
      <c r="Q313" s="80" t="str">
        <f>REPLACE(INDEX(GroupVertices[Group],MATCH(Edges[[#This Row],[Vertex 1]],GroupVertices[Vertex],0)),1,1,"")</f>
        <v>1</v>
      </c>
      <c r="R313" s="80" t="e">
        <f>REPLACE(INDEX(GroupVertices[Group],MATCH(Edges[[#This Row],[Vertex 2]],GroupVertices[Vertex],0)),1,1,"")</f>
        <v>#N/A</v>
      </c>
      <c r="S313" s="34"/>
      <c r="T313" s="34"/>
      <c r="U313" s="34"/>
      <c r="V313" s="34"/>
      <c r="W313" s="34"/>
      <c r="X313" s="34"/>
      <c r="Y313" s="34"/>
      <c r="Z313" s="34"/>
      <c r="AA313" s="34"/>
    </row>
    <row r="314" spans="1:27" ht="15">
      <c r="A314" s="66" t="s">
        <v>231</v>
      </c>
      <c r="B314" s="66" t="s">
        <v>516</v>
      </c>
      <c r="C314" s="67" t="s">
        <v>4454</v>
      </c>
      <c r="D314" s="68">
        <v>5</v>
      </c>
      <c r="E314" s="69"/>
      <c r="F314" s="70">
        <v>20</v>
      </c>
      <c r="G314" s="67"/>
      <c r="H314" s="71"/>
      <c r="I314" s="72"/>
      <c r="J314" s="72"/>
      <c r="K314" s="34"/>
      <c r="L314" s="79">
        <v>314</v>
      </c>
      <c r="M314" s="79"/>
      <c r="N314" s="74"/>
      <c r="O314" s="81" t="s">
        <v>944</v>
      </c>
      <c r="P314">
        <v>1</v>
      </c>
      <c r="Q314" s="80" t="str">
        <f>REPLACE(INDEX(GroupVertices[Group],MATCH(Edges[[#This Row],[Vertex 1]],GroupVertices[Vertex],0)),1,1,"")</f>
        <v>1</v>
      </c>
      <c r="R314" s="80" t="e">
        <f>REPLACE(INDEX(GroupVertices[Group],MATCH(Edges[[#This Row],[Vertex 2]],GroupVertices[Vertex],0)),1,1,"")</f>
        <v>#N/A</v>
      </c>
      <c r="S314" s="34"/>
      <c r="T314" s="34"/>
      <c r="U314" s="34"/>
      <c r="V314" s="34"/>
      <c r="W314" s="34"/>
      <c r="X314" s="34"/>
      <c r="Y314" s="34"/>
      <c r="Z314" s="34"/>
      <c r="AA314" s="34"/>
    </row>
    <row r="315" spans="1:27" ht="15">
      <c r="A315" s="66" t="s">
        <v>231</v>
      </c>
      <c r="B315" s="66" t="s">
        <v>517</v>
      </c>
      <c r="C315" s="67" t="s">
        <v>4454</v>
      </c>
      <c r="D315" s="68">
        <v>5</v>
      </c>
      <c r="E315" s="69"/>
      <c r="F315" s="70">
        <v>20</v>
      </c>
      <c r="G315" s="67"/>
      <c r="H315" s="71"/>
      <c r="I315" s="72"/>
      <c r="J315" s="72"/>
      <c r="K315" s="34"/>
      <c r="L315" s="79">
        <v>315</v>
      </c>
      <c r="M315" s="79"/>
      <c r="N315" s="74"/>
      <c r="O315" s="81" t="s">
        <v>944</v>
      </c>
      <c r="P315">
        <v>1</v>
      </c>
      <c r="Q315" s="80" t="str">
        <f>REPLACE(INDEX(GroupVertices[Group],MATCH(Edges[[#This Row],[Vertex 1]],GroupVertices[Vertex],0)),1,1,"")</f>
        <v>1</v>
      </c>
      <c r="R315" s="80" t="e">
        <f>REPLACE(INDEX(GroupVertices[Group],MATCH(Edges[[#This Row],[Vertex 2]],GroupVertices[Vertex],0)),1,1,"")</f>
        <v>#N/A</v>
      </c>
      <c r="S315" s="34"/>
      <c r="T315" s="34"/>
      <c r="U315" s="34"/>
      <c r="V315" s="34"/>
      <c r="W315" s="34"/>
      <c r="X315" s="34"/>
      <c r="Y315" s="34"/>
      <c r="Z315" s="34"/>
      <c r="AA315" s="34"/>
    </row>
    <row r="316" spans="1:27" ht="15">
      <c r="A316" s="66" t="s">
        <v>231</v>
      </c>
      <c r="B316" s="66" t="s">
        <v>518</v>
      </c>
      <c r="C316" s="67" t="s">
        <v>4454</v>
      </c>
      <c r="D316" s="68">
        <v>5</v>
      </c>
      <c r="E316" s="69"/>
      <c r="F316" s="70">
        <v>20</v>
      </c>
      <c r="G316" s="67"/>
      <c r="H316" s="71"/>
      <c r="I316" s="72"/>
      <c r="J316" s="72"/>
      <c r="K316" s="34"/>
      <c r="L316" s="79">
        <v>316</v>
      </c>
      <c r="M316" s="79"/>
      <c r="N316" s="74"/>
      <c r="O316" s="81" t="s">
        <v>944</v>
      </c>
      <c r="P316">
        <v>1</v>
      </c>
      <c r="Q316" s="80" t="str">
        <f>REPLACE(INDEX(GroupVertices[Group],MATCH(Edges[[#This Row],[Vertex 1]],GroupVertices[Vertex],0)),1,1,"")</f>
        <v>1</v>
      </c>
      <c r="R316" s="80" t="e">
        <f>REPLACE(INDEX(GroupVertices[Group],MATCH(Edges[[#This Row],[Vertex 2]],GroupVertices[Vertex],0)),1,1,"")</f>
        <v>#N/A</v>
      </c>
      <c r="S316" s="34"/>
      <c r="T316" s="34"/>
      <c r="U316" s="34"/>
      <c r="V316" s="34"/>
      <c r="W316" s="34"/>
      <c r="X316" s="34"/>
      <c r="Y316" s="34"/>
      <c r="Z316" s="34"/>
      <c r="AA316" s="34"/>
    </row>
    <row r="317" spans="1:27" ht="15">
      <c r="A317" s="66" t="s">
        <v>231</v>
      </c>
      <c r="B317" s="66" t="s">
        <v>519</v>
      </c>
      <c r="C317" s="67" t="s">
        <v>4454</v>
      </c>
      <c r="D317" s="68">
        <v>5</v>
      </c>
      <c r="E317" s="69"/>
      <c r="F317" s="70">
        <v>20</v>
      </c>
      <c r="G317" s="67"/>
      <c r="H317" s="71"/>
      <c r="I317" s="72"/>
      <c r="J317" s="72"/>
      <c r="K317" s="34"/>
      <c r="L317" s="79">
        <v>317</v>
      </c>
      <c r="M317" s="79"/>
      <c r="N317" s="74"/>
      <c r="O317" s="81" t="s">
        <v>944</v>
      </c>
      <c r="P317">
        <v>1</v>
      </c>
      <c r="Q317" s="80" t="str">
        <f>REPLACE(INDEX(GroupVertices[Group],MATCH(Edges[[#This Row],[Vertex 1]],GroupVertices[Vertex],0)),1,1,"")</f>
        <v>1</v>
      </c>
      <c r="R317" s="80" t="e">
        <f>REPLACE(INDEX(GroupVertices[Group],MATCH(Edges[[#This Row],[Vertex 2]],GroupVertices[Vertex],0)),1,1,"")</f>
        <v>#N/A</v>
      </c>
      <c r="S317" s="34"/>
      <c r="T317" s="34"/>
      <c r="U317" s="34"/>
      <c r="V317" s="34"/>
      <c r="W317" s="34"/>
      <c r="X317" s="34"/>
      <c r="Y317" s="34"/>
      <c r="Z317" s="34"/>
      <c r="AA317" s="34"/>
    </row>
    <row r="318" spans="1:27" ht="15">
      <c r="A318" s="66" t="s">
        <v>229</v>
      </c>
      <c r="B318" s="66" t="s">
        <v>520</v>
      </c>
      <c r="C318" s="67" t="s">
        <v>4454</v>
      </c>
      <c r="D318" s="68">
        <v>5</v>
      </c>
      <c r="E318" s="69"/>
      <c r="F318" s="70">
        <v>20</v>
      </c>
      <c r="G318" s="67"/>
      <c r="H318" s="71"/>
      <c r="I318" s="72"/>
      <c r="J318" s="72"/>
      <c r="K318" s="34" t="s">
        <v>65</v>
      </c>
      <c r="L318" s="79">
        <v>318</v>
      </c>
      <c r="M318" s="79"/>
      <c r="N318" s="74"/>
      <c r="O318" s="81" t="s">
        <v>944</v>
      </c>
      <c r="P318">
        <v>1</v>
      </c>
      <c r="Q318" s="80" t="str">
        <f>REPLACE(INDEX(GroupVertices[Group],MATCH(Edges[[#This Row],[Vertex 1]],GroupVertices[Vertex],0)),1,1,"")</f>
        <v>1</v>
      </c>
      <c r="R318" s="80" t="str">
        <f>REPLACE(INDEX(GroupVertices[Group],MATCH(Edges[[#This Row],[Vertex 2]],GroupVertices[Vertex],0)),1,1,"")</f>
        <v>1</v>
      </c>
      <c r="S318" s="34"/>
      <c r="T318" s="34"/>
      <c r="U318" s="34"/>
      <c r="V318" s="34"/>
      <c r="W318" s="34"/>
      <c r="X318" s="34"/>
      <c r="Y318" s="34"/>
      <c r="Z318" s="34"/>
      <c r="AA318" s="34"/>
    </row>
    <row r="319" spans="1:27" ht="15">
      <c r="A319" s="66" t="s">
        <v>231</v>
      </c>
      <c r="B319" s="66" t="s">
        <v>520</v>
      </c>
      <c r="C319" s="67" t="s">
        <v>4454</v>
      </c>
      <c r="D319" s="68">
        <v>5</v>
      </c>
      <c r="E319" s="69"/>
      <c r="F319" s="70">
        <v>20</v>
      </c>
      <c r="G319" s="67"/>
      <c r="H319" s="71"/>
      <c r="I319" s="72"/>
      <c r="J319" s="72"/>
      <c r="K319" s="34" t="s">
        <v>65</v>
      </c>
      <c r="L319" s="79">
        <v>319</v>
      </c>
      <c r="M319" s="79"/>
      <c r="N319" s="74"/>
      <c r="O319" s="81" t="s">
        <v>944</v>
      </c>
      <c r="P319">
        <v>1</v>
      </c>
      <c r="Q319" s="80" t="str">
        <f>REPLACE(INDEX(GroupVertices[Group],MATCH(Edges[[#This Row],[Vertex 1]],GroupVertices[Vertex],0)),1,1,"")</f>
        <v>1</v>
      </c>
      <c r="R319" s="80" t="str">
        <f>REPLACE(INDEX(GroupVertices[Group],MATCH(Edges[[#This Row],[Vertex 2]],GroupVertices[Vertex],0)),1,1,"")</f>
        <v>1</v>
      </c>
      <c r="S319" s="34"/>
      <c r="T319" s="34"/>
      <c r="U319" s="34"/>
      <c r="V319" s="34"/>
      <c r="W319" s="34"/>
      <c r="X319" s="34"/>
      <c r="Y319" s="34"/>
      <c r="Z319" s="34"/>
      <c r="AA319" s="34"/>
    </row>
    <row r="320" spans="1:27" ht="15">
      <c r="A320" s="66" t="s">
        <v>231</v>
      </c>
      <c r="B320" s="66" t="s">
        <v>521</v>
      </c>
      <c r="C320" s="67" t="s">
        <v>4454</v>
      </c>
      <c r="D320" s="68">
        <v>5</v>
      </c>
      <c r="E320" s="69"/>
      <c r="F320" s="70">
        <v>20</v>
      </c>
      <c r="G320" s="67"/>
      <c r="H320" s="71"/>
      <c r="I320" s="72"/>
      <c r="J320" s="72"/>
      <c r="K320" s="34"/>
      <c r="L320" s="79">
        <v>320</v>
      </c>
      <c r="M320" s="79"/>
      <c r="N320" s="74"/>
      <c r="O320" s="81" t="s">
        <v>944</v>
      </c>
      <c r="P320">
        <v>1</v>
      </c>
      <c r="Q320" s="80" t="str">
        <f>REPLACE(INDEX(GroupVertices[Group],MATCH(Edges[[#This Row],[Vertex 1]],GroupVertices[Vertex],0)),1,1,"")</f>
        <v>1</v>
      </c>
      <c r="R320" s="80" t="e">
        <f>REPLACE(INDEX(GroupVertices[Group],MATCH(Edges[[#This Row],[Vertex 2]],GroupVertices[Vertex],0)),1,1,"")</f>
        <v>#N/A</v>
      </c>
      <c r="S320" s="34"/>
      <c r="T320" s="34"/>
      <c r="U320" s="34"/>
      <c r="V320" s="34"/>
      <c r="W320" s="34"/>
      <c r="X320" s="34"/>
      <c r="Y320" s="34"/>
      <c r="Z320" s="34"/>
      <c r="AA320" s="34"/>
    </row>
    <row r="321" spans="1:27" ht="15">
      <c r="A321" s="66" t="s">
        <v>231</v>
      </c>
      <c r="B321" s="66" t="s">
        <v>522</v>
      </c>
      <c r="C321" s="67" t="s">
        <v>4454</v>
      </c>
      <c r="D321" s="68">
        <v>5</v>
      </c>
      <c r="E321" s="69"/>
      <c r="F321" s="70">
        <v>20</v>
      </c>
      <c r="G321" s="67"/>
      <c r="H321" s="71"/>
      <c r="I321" s="72"/>
      <c r="J321" s="72"/>
      <c r="K321" s="34"/>
      <c r="L321" s="79">
        <v>321</v>
      </c>
      <c r="M321" s="79"/>
      <c r="N321" s="74"/>
      <c r="O321" s="81" t="s">
        <v>944</v>
      </c>
      <c r="P321">
        <v>1</v>
      </c>
      <c r="Q321" s="80" t="str">
        <f>REPLACE(INDEX(GroupVertices[Group],MATCH(Edges[[#This Row],[Vertex 1]],GroupVertices[Vertex],0)),1,1,"")</f>
        <v>1</v>
      </c>
      <c r="R321" s="80" t="e">
        <f>REPLACE(INDEX(GroupVertices[Group],MATCH(Edges[[#This Row],[Vertex 2]],GroupVertices[Vertex],0)),1,1,"")</f>
        <v>#N/A</v>
      </c>
      <c r="S321" s="34"/>
      <c r="T321" s="34"/>
      <c r="U321" s="34"/>
      <c r="V321" s="34"/>
      <c r="W321" s="34"/>
      <c r="X321" s="34"/>
      <c r="Y321" s="34"/>
      <c r="Z321" s="34"/>
      <c r="AA321" s="34"/>
    </row>
    <row r="322" spans="1:27" ht="15">
      <c r="A322" s="66" t="s">
        <v>231</v>
      </c>
      <c r="B322" s="66" t="s">
        <v>523</v>
      </c>
      <c r="C322" s="67" t="s">
        <v>4454</v>
      </c>
      <c r="D322" s="68">
        <v>5</v>
      </c>
      <c r="E322" s="69"/>
      <c r="F322" s="70">
        <v>20</v>
      </c>
      <c r="G322" s="67"/>
      <c r="H322" s="71"/>
      <c r="I322" s="72"/>
      <c r="J322" s="72"/>
      <c r="K322" s="34"/>
      <c r="L322" s="79">
        <v>322</v>
      </c>
      <c r="M322" s="79"/>
      <c r="N322" s="74"/>
      <c r="O322" s="81" t="s">
        <v>944</v>
      </c>
      <c r="P322">
        <v>1</v>
      </c>
      <c r="Q322" s="80" t="str">
        <f>REPLACE(INDEX(GroupVertices[Group],MATCH(Edges[[#This Row],[Vertex 1]],GroupVertices[Vertex],0)),1,1,"")</f>
        <v>1</v>
      </c>
      <c r="R322" s="80" t="e">
        <f>REPLACE(INDEX(GroupVertices[Group],MATCH(Edges[[#This Row],[Vertex 2]],GroupVertices[Vertex],0)),1,1,"")</f>
        <v>#N/A</v>
      </c>
      <c r="S322" s="34"/>
      <c r="T322" s="34"/>
      <c r="U322" s="34"/>
      <c r="V322" s="34"/>
      <c r="W322" s="34"/>
      <c r="X322" s="34"/>
      <c r="Y322" s="34"/>
      <c r="Z322" s="34"/>
      <c r="AA322" s="34"/>
    </row>
    <row r="323" spans="1:27" ht="15">
      <c r="A323" s="66" t="s">
        <v>231</v>
      </c>
      <c r="B323" s="66" t="s">
        <v>524</v>
      </c>
      <c r="C323" s="67" t="s">
        <v>4454</v>
      </c>
      <c r="D323" s="68">
        <v>5</v>
      </c>
      <c r="E323" s="69"/>
      <c r="F323" s="70">
        <v>20</v>
      </c>
      <c r="G323" s="67"/>
      <c r="H323" s="71"/>
      <c r="I323" s="72"/>
      <c r="J323" s="72"/>
      <c r="K323" s="34"/>
      <c r="L323" s="79">
        <v>323</v>
      </c>
      <c r="M323" s="79"/>
      <c r="N323" s="74"/>
      <c r="O323" s="81" t="s">
        <v>944</v>
      </c>
      <c r="P323">
        <v>1</v>
      </c>
      <c r="Q323" s="80" t="str">
        <f>REPLACE(INDEX(GroupVertices[Group],MATCH(Edges[[#This Row],[Vertex 1]],GroupVertices[Vertex],0)),1,1,"")</f>
        <v>1</v>
      </c>
      <c r="R323" s="80" t="e">
        <f>REPLACE(INDEX(GroupVertices[Group],MATCH(Edges[[#This Row],[Vertex 2]],GroupVertices[Vertex],0)),1,1,"")</f>
        <v>#N/A</v>
      </c>
      <c r="S323" s="34"/>
      <c r="T323" s="34"/>
      <c r="U323" s="34"/>
      <c r="V323" s="34"/>
      <c r="W323" s="34"/>
      <c r="X323" s="34"/>
      <c r="Y323" s="34"/>
      <c r="Z323" s="34"/>
      <c r="AA323" s="34"/>
    </row>
    <row r="324" spans="1:27" ht="15">
      <c r="A324" s="66" t="s">
        <v>216</v>
      </c>
      <c r="B324" s="66" t="s">
        <v>525</v>
      </c>
      <c r="C324" s="67" t="s">
        <v>4454</v>
      </c>
      <c r="D324" s="68">
        <v>5</v>
      </c>
      <c r="E324" s="69"/>
      <c r="F324" s="70">
        <v>20</v>
      </c>
      <c r="G324" s="67"/>
      <c r="H324" s="71"/>
      <c r="I324" s="72"/>
      <c r="J324" s="72"/>
      <c r="K324" s="34" t="s">
        <v>65</v>
      </c>
      <c r="L324" s="79">
        <v>324</v>
      </c>
      <c r="M324" s="79"/>
      <c r="N324" s="74"/>
      <c r="O324" s="81" t="s">
        <v>944</v>
      </c>
      <c r="P324">
        <v>1</v>
      </c>
      <c r="Q324" s="80" t="str">
        <f>REPLACE(INDEX(GroupVertices[Group],MATCH(Edges[[#This Row],[Vertex 1]],GroupVertices[Vertex],0)),1,1,"")</f>
        <v>3</v>
      </c>
      <c r="R324" s="80" t="str">
        <f>REPLACE(INDEX(GroupVertices[Group],MATCH(Edges[[#This Row],[Vertex 2]],GroupVertices[Vertex],0)),1,1,"")</f>
        <v>3</v>
      </c>
      <c r="S324" s="34"/>
      <c r="T324" s="34"/>
      <c r="U324" s="34"/>
      <c r="V324" s="34"/>
      <c r="W324" s="34"/>
      <c r="X324" s="34"/>
      <c r="Y324" s="34"/>
      <c r="Z324" s="34"/>
      <c r="AA324" s="34"/>
    </row>
    <row r="325" spans="1:27" ht="15">
      <c r="A325" s="66" t="s">
        <v>231</v>
      </c>
      <c r="B325" s="66" t="s">
        <v>525</v>
      </c>
      <c r="C325" s="67" t="s">
        <v>4454</v>
      </c>
      <c r="D325" s="68">
        <v>5</v>
      </c>
      <c r="E325" s="69"/>
      <c r="F325" s="70">
        <v>20</v>
      </c>
      <c r="G325" s="67"/>
      <c r="H325" s="71"/>
      <c r="I325" s="72"/>
      <c r="J325" s="72"/>
      <c r="K325" s="34" t="s">
        <v>65</v>
      </c>
      <c r="L325" s="79">
        <v>325</v>
      </c>
      <c r="M325" s="79"/>
      <c r="N325" s="74"/>
      <c r="O325" s="81" t="s">
        <v>944</v>
      </c>
      <c r="P325">
        <v>1</v>
      </c>
      <c r="Q325" s="80" t="str">
        <f>REPLACE(INDEX(GroupVertices[Group],MATCH(Edges[[#This Row],[Vertex 1]],GroupVertices[Vertex],0)),1,1,"")</f>
        <v>1</v>
      </c>
      <c r="R325" s="80" t="str">
        <f>REPLACE(INDEX(GroupVertices[Group],MATCH(Edges[[#This Row],[Vertex 2]],GroupVertices[Vertex],0)),1,1,"")</f>
        <v>3</v>
      </c>
      <c r="S325" s="34"/>
      <c r="T325" s="34"/>
      <c r="U325" s="34"/>
      <c r="V325" s="34"/>
      <c r="W325" s="34"/>
      <c r="X325" s="34"/>
      <c r="Y325" s="34"/>
      <c r="Z325" s="34"/>
      <c r="AA325" s="34"/>
    </row>
    <row r="326" spans="1:27" ht="15">
      <c r="A326" s="66" t="s">
        <v>231</v>
      </c>
      <c r="B326" s="66" t="s">
        <v>526</v>
      </c>
      <c r="C326" s="67" t="s">
        <v>4454</v>
      </c>
      <c r="D326" s="68">
        <v>5</v>
      </c>
      <c r="E326" s="69"/>
      <c r="F326" s="70">
        <v>20</v>
      </c>
      <c r="G326" s="67"/>
      <c r="H326" s="71"/>
      <c r="I326" s="72"/>
      <c r="J326" s="72"/>
      <c r="K326" s="34"/>
      <c r="L326" s="79">
        <v>326</v>
      </c>
      <c r="M326" s="79"/>
      <c r="N326" s="74"/>
      <c r="O326" s="81" t="s">
        <v>944</v>
      </c>
      <c r="P326">
        <v>1</v>
      </c>
      <c r="Q326" s="80" t="str">
        <f>REPLACE(INDEX(GroupVertices[Group],MATCH(Edges[[#This Row],[Vertex 1]],GroupVertices[Vertex],0)),1,1,"")</f>
        <v>1</v>
      </c>
      <c r="R326" s="80" t="e">
        <f>REPLACE(INDEX(GroupVertices[Group],MATCH(Edges[[#This Row],[Vertex 2]],GroupVertices[Vertex],0)),1,1,"")</f>
        <v>#N/A</v>
      </c>
      <c r="S326" s="34"/>
      <c r="T326" s="34"/>
      <c r="U326" s="34"/>
      <c r="V326" s="34"/>
      <c r="W326" s="34"/>
      <c r="X326" s="34"/>
      <c r="Y326" s="34"/>
      <c r="Z326" s="34"/>
      <c r="AA326" s="34"/>
    </row>
    <row r="327" spans="1:27" ht="15">
      <c r="A327" s="66" t="s">
        <v>231</v>
      </c>
      <c r="B327" s="66" t="s">
        <v>527</v>
      </c>
      <c r="C327" s="67" t="s">
        <v>4454</v>
      </c>
      <c r="D327" s="68">
        <v>5</v>
      </c>
      <c r="E327" s="69"/>
      <c r="F327" s="70">
        <v>20</v>
      </c>
      <c r="G327" s="67"/>
      <c r="H327" s="71"/>
      <c r="I327" s="72"/>
      <c r="J327" s="72"/>
      <c r="K327" s="34"/>
      <c r="L327" s="79">
        <v>327</v>
      </c>
      <c r="M327" s="79"/>
      <c r="N327" s="74"/>
      <c r="O327" s="81" t="s">
        <v>944</v>
      </c>
      <c r="P327">
        <v>1</v>
      </c>
      <c r="Q327" s="80" t="str">
        <f>REPLACE(INDEX(GroupVertices[Group],MATCH(Edges[[#This Row],[Vertex 1]],GroupVertices[Vertex],0)),1,1,"")</f>
        <v>1</v>
      </c>
      <c r="R327" s="80" t="e">
        <f>REPLACE(INDEX(GroupVertices[Group],MATCH(Edges[[#This Row],[Vertex 2]],GroupVertices[Vertex],0)),1,1,"")</f>
        <v>#N/A</v>
      </c>
      <c r="S327" s="34"/>
      <c r="T327" s="34"/>
      <c r="U327" s="34"/>
      <c r="V327" s="34"/>
      <c r="W327" s="34"/>
      <c r="X327" s="34"/>
      <c r="Y327" s="34"/>
      <c r="Z327" s="34"/>
      <c r="AA327" s="34"/>
    </row>
    <row r="328" spans="1:27" ht="15">
      <c r="A328" s="66" t="s">
        <v>231</v>
      </c>
      <c r="B328" s="66" t="s">
        <v>528</v>
      </c>
      <c r="C328" s="67" t="s">
        <v>4454</v>
      </c>
      <c r="D328" s="68">
        <v>5</v>
      </c>
      <c r="E328" s="69"/>
      <c r="F328" s="70">
        <v>20</v>
      </c>
      <c r="G328" s="67"/>
      <c r="H328" s="71"/>
      <c r="I328" s="72"/>
      <c r="J328" s="72"/>
      <c r="K328" s="34"/>
      <c r="L328" s="79">
        <v>328</v>
      </c>
      <c r="M328" s="79"/>
      <c r="N328" s="74"/>
      <c r="O328" s="81" t="s">
        <v>944</v>
      </c>
      <c r="P328">
        <v>1</v>
      </c>
      <c r="Q328" s="80" t="str">
        <f>REPLACE(INDEX(GroupVertices[Group],MATCH(Edges[[#This Row],[Vertex 1]],GroupVertices[Vertex],0)),1,1,"")</f>
        <v>1</v>
      </c>
      <c r="R328" s="80" t="e">
        <f>REPLACE(INDEX(GroupVertices[Group],MATCH(Edges[[#This Row],[Vertex 2]],GroupVertices[Vertex],0)),1,1,"")</f>
        <v>#N/A</v>
      </c>
      <c r="S328" s="34"/>
      <c r="T328" s="34"/>
      <c r="U328" s="34"/>
      <c r="V328" s="34"/>
      <c r="W328" s="34"/>
      <c r="X328" s="34"/>
      <c r="Y328" s="34"/>
      <c r="Z328" s="34"/>
      <c r="AA328" s="34"/>
    </row>
    <row r="329" spans="1:27" ht="15">
      <c r="A329" s="66" t="s">
        <v>231</v>
      </c>
      <c r="B329" s="66" t="s">
        <v>529</v>
      </c>
      <c r="C329" s="67" t="s">
        <v>4454</v>
      </c>
      <c r="D329" s="68">
        <v>5</v>
      </c>
      <c r="E329" s="69"/>
      <c r="F329" s="70">
        <v>20</v>
      </c>
      <c r="G329" s="67"/>
      <c r="H329" s="71"/>
      <c r="I329" s="72"/>
      <c r="J329" s="72"/>
      <c r="K329" s="34"/>
      <c r="L329" s="79">
        <v>329</v>
      </c>
      <c r="M329" s="79"/>
      <c r="N329" s="74"/>
      <c r="O329" s="81" t="s">
        <v>944</v>
      </c>
      <c r="P329">
        <v>1</v>
      </c>
      <c r="Q329" s="80" t="str">
        <f>REPLACE(INDEX(GroupVertices[Group],MATCH(Edges[[#This Row],[Vertex 1]],GroupVertices[Vertex],0)),1,1,"")</f>
        <v>1</v>
      </c>
      <c r="R329" s="80" t="e">
        <f>REPLACE(INDEX(GroupVertices[Group],MATCH(Edges[[#This Row],[Vertex 2]],GroupVertices[Vertex],0)),1,1,"")</f>
        <v>#N/A</v>
      </c>
      <c r="S329" s="34"/>
      <c r="T329" s="34"/>
      <c r="U329" s="34"/>
      <c r="V329" s="34"/>
      <c r="W329" s="34"/>
      <c r="X329" s="34"/>
      <c r="Y329" s="34"/>
      <c r="Z329" s="34"/>
      <c r="AA329" s="34"/>
    </row>
    <row r="330" spans="1:27" ht="15">
      <c r="A330" s="66" t="s">
        <v>232</v>
      </c>
      <c r="B330" s="66" t="s">
        <v>530</v>
      </c>
      <c r="C330" s="67" t="s">
        <v>4454</v>
      </c>
      <c r="D330" s="68">
        <v>5</v>
      </c>
      <c r="E330" s="69"/>
      <c r="F330" s="70">
        <v>20</v>
      </c>
      <c r="G330" s="67"/>
      <c r="H330" s="71"/>
      <c r="I330" s="72"/>
      <c r="J330" s="72"/>
      <c r="K330" s="34"/>
      <c r="L330" s="79">
        <v>330</v>
      </c>
      <c r="M330" s="79"/>
      <c r="N330" s="74"/>
      <c r="O330" s="81" t="s">
        <v>944</v>
      </c>
      <c r="P330">
        <v>1</v>
      </c>
      <c r="Q330" s="80" t="str">
        <f>REPLACE(INDEX(GroupVertices[Group],MATCH(Edges[[#This Row],[Vertex 1]],GroupVertices[Vertex],0)),1,1,"")</f>
        <v>1</v>
      </c>
      <c r="R330" s="80" t="e">
        <f>REPLACE(INDEX(GroupVertices[Group],MATCH(Edges[[#This Row],[Vertex 2]],GroupVertices[Vertex],0)),1,1,"")</f>
        <v>#N/A</v>
      </c>
      <c r="S330" s="34"/>
      <c r="T330" s="34"/>
      <c r="U330" s="34"/>
      <c r="V330" s="34"/>
      <c r="W330" s="34"/>
      <c r="X330" s="34"/>
      <c r="Y330" s="34"/>
      <c r="Z330" s="34"/>
      <c r="AA330" s="34"/>
    </row>
    <row r="331" spans="1:27" ht="15">
      <c r="A331" s="66" t="s">
        <v>232</v>
      </c>
      <c r="B331" s="66" t="s">
        <v>531</v>
      </c>
      <c r="C331" s="67" t="s">
        <v>4454</v>
      </c>
      <c r="D331" s="68">
        <v>5</v>
      </c>
      <c r="E331" s="69"/>
      <c r="F331" s="70">
        <v>20</v>
      </c>
      <c r="G331" s="67"/>
      <c r="H331" s="71"/>
      <c r="I331" s="72"/>
      <c r="J331" s="72"/>
      <c r="K331" s="34"/>
      <c r="L331" s="79">
        <v>331</v>
      </c>
      <c r="M331" s="79"/>
      <c r="N331" s="74"/>
      <c r="O331" s="81" t="s">
        <v>944</v>
      </c>
      <c r="P331">
        <v>1</v>
      </c>
      <c r="Q331" s="80" t="str">
        <f>REPLACE(INDEX(GroupVertices[Group],MATCH(Edges[[#This Row],[Vertex 1]],GroupVertices[Vertex],0)),1,1,"")</f>
        <v>1</v>
      </c>
      <c r="R331" s="80" t="e">
        <f>REPLACE(INDEX(GroupVertices[Group],MATCH(Edges[[#This Row],[Vertex 2]],GroupVertices[Vertex],0)),1,1,"")</f>
        <v>#N/A</v>
      </c>
      <c r="S331" s="34"/>
      <c r="T331" s="34"/>
      <c r="U331" s="34"/>
      <c r="V331" s="34"/>
      <c r="W331" s="34"/>
      <c r="X331" s="34"/>
      <c r="Y331" s="34"/>
      <c r="Z331" s="34"/>
      <c r="AA331" s="34"/>
    </row>
    <row r="332" spans="1:27" ht="15">
      <c r="A332" s="66" t="s">
        <v>232</v>
      </c>
      <c r="B332" s="66" t="s">
        <v>532</v>
      </c>
      <c r="C332" s="67" t="s">
        <v>4454</v>
      </c>
      <c r="D332" s="68">
        <v>5</v>
      </c>
      <c r="E332" s="69"/>
      <c r="F332" s="70">
        <v>20</v>
      </c>
      <c r="G332" s="67"/>
      <c r="H332" s="71"/>
      <c r="I332" s="72"/>
      <c r="J332" s="72"/>
      <c r="K332" s="34"/>
      <c r="L332" s="79">
        <v>332</v>
      </c>
      <c r="M332" s="79"/>
      <c r="N332" s="74"/>
      <c r="O332" s="81" t="s">
        <v>944</v>
      </c>
      <c r="P332">
        <v>1</v>
      </c>
      <c r="Q332" s="80" t="str">
        <f>REPLACE(INDEX(GroupVertices[Group],MATCH(Edges[[#This Row],[Vertex 1]],GroupVertices[Vertex],0)),1,1,"")</f>
        <v>1</v>
      </c>
      <c r="R332" s="80" t="e">
        <f>REPLACE(INDEX(GroupVertices[Group],MATCH(Edges[[#This Row],[Vertex 2]],GroupVertices[Vertex],0)),1,1,"")</f>
        <v>#N/A</v>
      </c>
      <c r="S332" s="34"/>
      <c r="T332" s="34"/>
      <c r="U332" s="34"/>
      <c r="V332" s="34"/>
      <c r="W332" s="34"/>
      <c r="X332" s="34"/>
      <c r="Y332" s="34"/>
      <c r="Z332" s="34"/>
      <c r="AA332" s="34"/>
    </row>
    <row r="333" spans="1:27" ht="15">
      <c r="A333" s="66" t="s">
        <v>232</v>
      </c>
      <c r="B333" s="66" t="s">
        <v>533</v>
      </c>
      <c r="C333" s="67" t="s">
        <v>4454</v>
      </c>
      <c r="D333" s="68">
        <v>5</v>
      </c>
      <c r="E333" s="69"/>
      <c r="F333" s="70">
        <v>20</v>
      </c>
      <c r="G333" s="67"/>
      <c r="H333" s="71"/>
      <c r="I333" s="72"/>
      <c r="J333" s="72"/>
      <c r="K333" s="34"/>
      <c r="L333" s="79">
        <v>333</v>
      </c>
      <c r="M333" s="79"/>
      <c r="N333" s="74"/>
      <c r="O333" s="81" t="s">
        <v>944</v>
      </c>
      <c r="P333">
        <v>1</v>
      </c>
      <c r="Q333" s="80" t="str">
        <f>REPLACE(INDEX(GroupVertices[Group],MATCH(Edges[[#This Row],[Vertex 1]],GroupVertices[Vertex],0)),1,1,"")</f>
        <v>1</v>
      </c>
      <c r="R333" s="80" t="e">
        <f>REPLACE(INDEX(GroupVertices[Group],MATCH(Edges[[#This Row],[Vertex 2]],GroupVertices[Vertex],0)),1,1,"")</f>
        <v>#N/A</v>
      </c>
      <c r="S333" s="34"/>
      <c r="T333" s="34"/>
      <c r="U333" s="34"/>
      <c r="V333" s="34"/>
      <c r="W333" s="34"/>
      <c r="X333" s="34"/>
      <c r="Y333" s="34"/>
      <c r="Z333" s="34"/>
      <c r="AA333" s="34"/>
    </row>
    <row r="334" spans="1:27" ht="15">
      <c r="A334" s="66" t="s">
        <v>232</v>
      </c>
      <c r="B334" s="66" t="s">
        <v>534</v>
      </c>
      <c r="C334" s="67" t="s">
        <v>4454</v>
      </c>
      <c r="D334" s="68">
        <v>5</v>
      </c>
      <c r="E334" s="69"/>
      <c r="F334" s="70">
        <v>20</v>
      </c>
      <c r="G334" s="67"/>
      <c r="H334" s="71"/>
      <c r="I334" s="72"/>
      <c r="J334" s="72"/>
      <c r="K334" s="34"/>
      <c r="L334" s="79">
        <v>334</v>
      </c>
      <c r="M334" s="79"/>
      <c r="N334" s="74"/>
      <c r="O334" s="81" t="s">
        <v>944</v>
      </c>
      <c r="P334">
        <v>1</v>
      </c>
      <c r="Q334" s="80" t="str">
        <f>REPLACE(INDEX(GroupVertices[Group],MATCH(Edges[[#This Row],[Vertex 1]],GroupVertices[Vertex],0)),1,1,"")</f>
        <v>1</v>
      </c>
      <c r="R334" s="80" t="e">
        <f>REPLACE(INDEX(GroupVertices[Group],MATCH(Edges[[#This Row],[Vertex 2]],GroupVertices[Vertex],0)),1,1,"")</f>
        <v>#N/A</v>
      </c>
      <c r="S334" s="34"/>
      <c r="T334" s="34"/>
      <c r="U334" s="34"/>
      <c r="V334" s="34"/>
      <c r="W334" s="34"/>
      <c r="X334" s="34"/>
      <c r="Y334" s="34"/>
      <c r="Z334" s="34"/>
      <c r="AA334" s="34"/>
    </row>
    <row r="335" spans="1:27" ht="15">
      <c r="A335" s="66" t="s">
        <v>232</v>
      </c>
      <c r="B335" s="66" t="s">
        <v>535</v>
      </c>
      <c r="C335" s="67" t="s">
        <v>4454</v>
      </c>
      <c r="D335" s="68">
        <v>5</v>
      </c>
      <c r="E335" s="69"/>
      <c r="F335" s="70">
        <v>20</v>
      </c>
      <c r="G335" s="67"/>
      <c r="H335" s="71"/>
      <c r="I335" s="72"/>
      <c r="J335" s="72"/>
      <c r="K335" s="34"/>
      <c r="L335" s="79">
        <v>335</v>
      </c>
      <c r="M335" s="79"/>
      <c r="N335" s="74"/>
      <c r="O335" s="81" t="s">
        <v>944</v>
      </c>
      <c r="P335">
        <v>1</v>
      </c>
      <c r="Q335" s="80" t="str">
        <f>REPLACE(INDEX(GroupVertices[Group],MATCH(Edges[[#This Row],[Vertex 1]],GroupVertices[Vertex],0)),1,1,"")</f>
        <v>1</v>
      </c>
      <c r="R335" s="80" t="e">
        <f>REPLACE(INDEX(GroupVertices[Group],MATCH(Edges[[#This Row],[Vertex 2]],GroupVertices[Vertex],0)),1,1,"")</f>
        <v>#N/A</v>
      </c>
      <c r="S335" s="34"/>
      <c r="T335" s="34"/>
      <c r="U335" s="34"/>
      <c r="V335" s="34"/>
      <c r="W335" s="34"/>
      <c r="X335" s="34"/>
      <c r="Y335" s="34"/>
      <c r="Z335" s="34"/>
      <c r="AA335" s="34"/>
    </row>
    <row r="336" spans="1:27" ht="15">
      <c r="A336" s="66" t="s">
        <v>217</v>
      </c>
      <c r="B336" s="66" t="s">
        <v>536</v>
      </c>
      <c r="C336" s="67" t="s">
        <v>4454</v>
      </c>
      <c r="D336" s="68">
        <v>5</v>
      </c>
      <c r="E336" s="69"/>
      <c r="F336" s="70">
        <v>20</v>
      </c>
      <c r="G336" s="67"/>
      <c r="H336" s="71"/>
      <c r="I336" s="72"/>
      <c r="J336" s="72"/>
      <c r="K336" s="34" t="s">
        <v>65</v>
      </c>
      <c r="L336" s="79">
        <v>336</v>
      </c>
      <c r="M336" s="79"/>
      <c r="N336" s="74"/>
      <c r="O336" s="81" t="s">
        <v>944</v>
      </c>
      <c r="P336">
        <v>1</v>
      </c>
      <c r="Q336" s="80" t="str">
        <f>REPLACE(INDEX(GroupVertices[Group],MATCH(Edges[[#This Row],[Vertex 1]],GroupVertices[Vertex],0)),1,1,"")</f>
        <v>4</v>
      </c>
      <c r="R336" s="80" t="str">
        <f>REPLACE(INDEX(GroupVertices[Group],MATCH(Edges[[#This Row],[Vertex 2]],GroupVertices[Vertex],0)),1,1,"")</f>
        <v>4</v>
      </c>
      <c r="S336" s="34"/>
      <c r="T336" s="34"/>
      <c r="U336" s="34"/>
      <c r="V336" s="34"/>
      <c r="W336" s="34"/>
      <c r="X336" s="34"/>
      <c r="Y336" s="34"/>
      <c r="Z336" s="34"/>
      <c r="AA336" s="34"/>
    </row>
    <row r="337" spans="1:27" ht="15">
      <c r="A337" s="66" t="s">
        <v>232</v>
      </c>
      <c r="B337" s="66" t="s">
        <v>536</v>
      </c>
      <c r="C337" s="67" t="s">
        <v>4454</v>
      </c>
      <c r="D337" s="68">
        <v>5</v>
      </c>
      <c r="E337" s="69"/>
      <c r="F337" s="70">
        <v>20</v>
      </c>
      <c r="G337" s="67"/>
      <c r="H337" s="71"/>
      <c r="I337" s="72"/>
      <c r="J337" s="72"/>
      <c r="K337" s="34" t="s">
        <v>65</v>
      </c>
      <c r="L337" s="79">
        <v>337</v>
      </c>
      <c r="M337" s="79"/>
      <c r="N337" s="74"/>
      <c r="O337" s="81" t="s">
        <v>944</v>
      </c>
      <c r="P337">
        <v>1</v>
      </c>
      <c r="Q337" s="80" t="str">
        <f>REPLACE(INDEX(GroupVertices[Group],MATCH(Edges[[#This Row],[Vertex 1]],GroupVertices[Vertex],0)),1,1,"")</f>
        <v>1</v>
      </c>
      <c r="R337" s="80" t="str">
        <f>REPLACE(INDEX(GroupVertices[Group],MATCH(Edges[[#This Row],[Vertex 2]],GroupVertices[Vertex],0)),1,1,"")</f>
        <v>4</v>
      </c>
      <c r="S337" s="34"/>
      <c r="T337" s="34"/>
      <c r="U337" s="34"/>
      <c r="V337" s="34"/>
      <c r="W337" s="34"/>
      <c r="X337" s="34"/>
      <c r="Y337" s="34"/>
      <c r="Z337" s="34"/>
      <c r="AA337" s="34"/>
    </row>
    <row r="338" spans="1:27" ht="15">
      <c r="A338" s="66" t="s">
        <v>232</v>
      </c>
      <c r="B338" s="66" t="s">
        <v>537</v>
      </c>
      <c r="C338" s="67" t="s">
        <v>4454</v>
      </c>
      <c r="D338" s="68">
        <v>5</v>
      </c>
      <c r="E338" s="69"/>
      <c r="F338" s="70">
        <v>20</v>
      </c>
      <c r="G338" s="67"/>
      <c r="H338" s="71"/>
      <c r="I338" s="72"/>
      <c r="J338" s="72"/>
      <c r="K338" s="34"/>
      <c r="L338" s="79">
        <v>338</v>
      </c>
      <c r="M338" s="79"/>
      <c r="N338" s="74"/>
      <c r="O338" s="81" t="s">
        <v>944</v>
      </c>
      <c r="P338">
        <v>1</v>
      </c>
      <c r="Q338" s="80" t="str">
        <f>REPLACE(INDEX(GroupVertices[Group],MATCH(Edges[[#This Row],[Vertex 1]],GroupVertices[Vertex],0)),1,1,"")</f>
        <v>1</v>
      </c>
      <c r="R338" s="80" t="e">
        <f>REPLACE(INDEX(GroupVertices[Group],MATCH(Edges[[#This Row],[Vertex 2]],GroupVertices[Vertex],0)),1,1,"")</f>
        <v>#N/A</v>
      </c>
      <c r="S338" s="34"/>
      <c r="T338" s="34"/>
      <c r="U338" s="34"/>
      <c r="V338" s="34"/>
      <c r="W338" s="34"/>
      <c r="X338" s="34"/>
      <c r="Y338" s="34"/>
      <c r="Z338" s="34"/>
      <c r="AA338" s="34"/>
    </row>
    <row r="339" spans="1:27" ht="15">
      <c r="A339" s="66" t="s">
        <v>232</v>
      </c>
      <c r="B339" s="66" t="s">
        <v>538</v>
      </c>
      <c r="C339" s="67" t="s">
        <v>4454</v>
      </c>
      <c r="D339" s="68">
        <v>5</v>
      </c>
      <c r="E339" s="69"/>
      <c r="F339" s="70">
        <v>20</v>
      </c>
      <c r="G339" s="67"/>
      <c r="H339" s="71"/>
      <c r="I339" s="72"/>
      <c r="J339" s="72"/>
      <c r="K339" s="34"/>
      <c r="L339" s="79">
        <v>339</v>
      </c>
      <c r="M339" s="79"/>
      <c r="N339" s="74"/>
      <c r="O339" s="81" t="s">
        <v>944</v>
      </c>
      <c r="P339">
        <v>1</v>
      </c>
      <c r="Q339" s="80" t="str">
        <f>REPLACE(INDEX(GroupVertices[Group],MATCH(Edges[[#This Row],[Vertex 1]],GroupVertices[Vertex],0)),1,1,"")</f>
        <v>1</v>
      </c>
      <c r="R339" s="80" t="e">
        <f>REPLACE(INDEX(GroupVertices[Group],MATCH(Edges[[#This Row],[Vertex 2]],GroupVertices[Vertex],0)),1,1,"")</f>
        <v>#N/A</v>
      </c>
      <c r="S339" s="34"/>
      <c r="T339" s="34"/>
      <c r="U339" s="34"/>
      <c r="V339" s="34"/>
      <c r="W339" s="34"/>
      <c r="X339" s="34"/>
      <c r="Y339" s="34"/>
      <c r="Z339" s="34"/>
      <c r="AA339" s="34"/>
    </row>
    <row r="340" spans="1:27" ht="15">
      <c r="A340" s="66" t="s">
        <v>232</v>
      </c>
      <c r="B340" s="66" t="s">
        <v>539</v>
      </c>
      <c r="C340" s="67" t="s">
        <v>4454</v>
      </c>
      <c r="D340" s="68">
        <v>5</v>
      </c>
      <c r="E340" s="69"/>
      <c r="F340" s="70">
        <v>20</v>
      </c>
      <c r="G340" s="67"/>
      <c r="H340" s="71"/>
      <c r="I340" s="72"/>
      <c r="J340" s="72"/>
      <c r="K340" s="34"/>
      <c r="L340" s="79">
        <v>340</v>
      </c>
      <c r="M340" s="79"/>
      <c r="N340" s="74"/>
      <c r="O340" s="81" t="s">
        <v>944</v>
      </c>
      <c r="P340">
        <v>1</v>
      </c>
      <c r="Q340" s="80" t="str">
        <f>REPLACE(INDEX(GroupVertices[Group],MATCH(Edges[[#This Row],[Vertex 1]],GroupVertices[Vertex],0)),1,1,"")</f>
        <v>1</v>
      </c>
      <c r="R340" s="80" t="e">
        <f>REPLACE(INDEX(GroupVertices[Group],MATCH(Edges[[#This Row],[Vertex 2]],GroupVertices[Vertex],0)),1,1,"")</f>
        <v>#N/A</v>
      </c>
      <c r="S340" s="34"/>
      <c r="T340" s="34"/>
      <c r="U340" s="34"/>
      <c r="V340" s="34"/>
      <c r="W340" s="34"/>
      <c r="X340" s="34"/>
      <c r="Y340" s="34"/>
      <c r="Z340" s="34"/>
      <c r="AA340" s="34"/>
    </row>
    <row r="341" spans="1:27" ht="15">
      <c r="A341" s="66" t="s">
        <v>232</v>
      </c>
      <c r="B341" s="66" t="s">
        <v>540</v>
      </c>
      <c r="C341" s="67" t="s">
        <v>4454</v>
      </c>
      <c r="D341" s="68">
        <v>5</v>
      </c>
      <c r="E341" s="69"/>
      <c r="F341" s="70">
        <v>20</v>
      </c>
      <c r="G341" s="67"/>
      <c r="H341" s="71"/>
      <c r="I341" s="72"/>
      <c r="J341" s="72"/>
      <c r="K341" s="34"/>
      <c r="L341" s="79">
        <v>341</v>
      </c>
      <c r="M341" s="79"/>
      <c r="N341" s="74"/>
      <c r="O341" s="81" t="s">
        <v>944</v>
      </c>
      <c r="P341">
        <v>1</v>
      </c>
      <c r="Q341" s="80" t="str">
        <f>REPLACE(INDEX(GroupVertices[Group],MATCH(Edges[[#This Row],[Vertex 1]],GroupVertices[Vertex],0)),1,1,"")</f>
        <v>1</v>
      </c>
      <c r="R341" s="80" t="e">
        <f>REPLACE(INDEX(GroupVertices[Group],MATCH(Edges[[#This Row],[Vertex 2]],GroupVertices[Vertex],0)),1,1,"")</f>
        <v>#N/A</v>
      </c>
      <c r="S341" s="34"/>
      <c r="T341" s="34"/>
      <c r="U341" s="34"/>
      <c r="V341" s="34"/>
      <c r="W341" s="34"/>
      <c r="X341" s="34"/>
      <c r="Y341" s="34"/>
      <c r="Z341" s="34"/>
      <c r="AA341" s="34"/>
    </row>
    <row r="342" spans="1:27" ht="15">
      <c r="A342" s="66" t="s">
        <v>232</v>
      </c>
      <c r="B342" s="66" t="s">
        <v>541</v>
      </c>
      <c r="C342" s="67" t="s">
        <v>4454</v>
      </c>
      <c r="D342" s="68">
        <v>5</v>
      </c>
      <c r="E342" s="69"/>
      <c r="F342" s="70">
        <v>20</v>
      </c>
      <c r="G342" s="67"/>
      <c r="H342" s="71"/>
      <c r="I342" s="72"/>
      <c r="J342" s="72"/>
      <c r="K342" s="34"/>
      <c r="L342" s="79">
        <v>342</v>
      </c>
      <c r="M342" s="79"/>
      <c r="N342" s="74"/>
      <c r="O342" s="81" t="s">
        <v>944</v>
      </c>
      <c r="P342">
        <v>1</v>
      </c>
      <c r="Q342" s="80" t="str">
        <f>REPLACE(INDEX(GroupVertices[Group],MATCH(Edges[[#This Row],[Vertex 1]],GroupVertices[Vertex],0)),1,1,"")</f>
        <v>1</v>
      </c>
      <c r="R342" s="80" t="e">
        <f>REPLACE(INDEX(GroupVertices[Group],MATCH(Edges[[#This Row],[Vertex 2]],GroupVertices[Vertex],0)),1,1,"")</f>
        <v>#N/A</v>
      </c>
      <c r="S342" s="34"/>
      <c r="T342" s="34"/>
      <c r="U342" s="34"/>
      <c r="V342" s="34"/>
      <c r="W342" s="34"/>
      <c r="X342" s="34"/>
      <c r="Y342" s="34"/>
      <c r="Z342" s="34"/>
      <c r="AA342" s="34"/>
    </row>
    <row r="343" spans="1:27" ht="15">
      <c r="A343" s="66" t="s">
        <v>232</v>
      </c>
      <c r="B343" s="66" t="s">
        <v>542</v>
      </c>
      <c r="C343" s="67" t="s">
        <v>4454</v>
      </c>
      <c r="D343" s="68">
        <v>5</v>
      </c>
      <c r="E343" s="69"/>
      <c r="F343" s="70">
        <v>20</v>
      </c>
      <c r="G343" s="67"/>
      <c r="H343" s="71"/>
      <c r="I343" s="72"/>
      <c r="J343" s="72"/>
      <c r="K343" s="34"/>
      <c r="L343" s="79">
        <v>343</v>
      </c>
      <c r="M343" s="79"/>
      <c r="N343" s="74"/>
      <c r="O343" s="81" t="s">
        <v>944</v>
      </c>
      <c r="P343">
        <v>1</v>
      </c>
      <c r="Q343" s="80" t="str">
        <f>REPLACE(INDEX(GroupVertices[Group],MATCH(Edges[[#This Row],[Vertex 1]],GroupVertices[Vertex],0)),1,1,"")</f>
        <v>1</v>
      </c>
      <c r="R343" s="80" t="e">
        <f>REPLACE(INDEX(GroupVertices[Group],MATCH(Edges[[#This Row],[Vertex 2]],GroupVertices[Vertex],0)),1,1,"")</f>
        <v>#N/A</v>
      </c>
      <c r="S343" s="34"/>
      <c r="T343" s="34"/>
      <c r="U343" s="34"/>
      <c r="V343" s="34"/>
      <c r="W343" s="34"/>
      <c r="X343" s="34"/>
      <c r="Y343" s="34"/>
      <c r="Z343" s="34"/>
      <c r="AA343" s="34"/>
    </row>
    <row r="344" spans="1:27" ht="15">
      <c r="A344" s="66" t="s">
        <v>232</v>
      </c>
      <c r="B344" s="66" t="s">
        <v>543</v>
      </c>
      <c r="C344" s="67" t="s">
        <v>4454</v>
      </c>
      <c r="D344" s="68">
        <v>5</v>
      </c>
      <c r="E344" s="69"/>
      <c r="F344" s="70">
        <v>20</v>
      </c>
      <c r="G344" s="67"/>
      <c r="H344" s="71"/>
      <c r="I344" s="72"/>
      <c r="J344" s="72"/>
      <c r="K344" s="34"/>
      <c r="L344" s="79">
        <v>344</v>
      </c>
      <c r="M344" s="79"/>
      <c r="N344" s="74"/>
      <c r="O344" s="81" t="s">
        <v>944</v>
      </c>
      <c r="P344">
        <v>1</v>
      </c>
      <c r="Q344" s="80" t="str">
        <f>REPLACE(INDEX(GroupVertices[Group],MATCH(Edges[[#This Row],[Vertex 1]],GroupVertices[Vertex],0)),1,1,"")</f>
        <v>1</v>
      </c>
      <c r="R344" s="80" t="e">
        <f>REPLACE(INDEX(GroupVertices[Group],MATCH(Edges[[#This Row],[Vertex 2]],GroupVertices[Vertex],0)),1,1,"")</f>
        <v>#N/A</v>
      </c>
      <c r="S344" s="34"/>
      <c r="T344" s="34"/>
      <c r="U344" s="34"/>
      <c r="V344" s="34"/>
      <c r="W344" s="34"/>
      <c r="X344" s="34"/>
      <c r="Y344" s="34"/>
      <c r="Z344" s="34"/>
      <c r="AA344" s="34"/>
    </row>
    <row r="345" spans="1:27" ht="15">
      <c r="A345" s="66" t="s">
        <v>232</v>
      </c>
      <c r="B345" s="66" t="s">
        <v>544</v>
      </c>
      <c r="C345" s="67" t="s">
        <v>4454</v>
      </c>
      <c r="D345" s="68">
        <v>5</v>
      </c>
      <c r="E345" s="69"/>
      <c r="F345" s="70">
        <v>20</v>
      </c>
      <c r="G345" s="67"/>
      <c r="H345" s="71"/>
      <c r="I345" s="72"/>
      <c r="J345" s="72"/>
      <c r="K345" s="34"/>
      <c r="L345" s="79">
        <v>345</v>
      </c>
      <c r="M345" s="79"/>
      <c r="N345" s="74"/>
      <c r="O345" s="81" t="s">
        <v>944</v>
      </c>
      <c r="P345">
        <v>1</v>
      </c>
      <c r="Q345" s="80" t="str">
        <f>REPLACE(INDEX(GroupVertices[Group],MATCH(Edges[[#This Row],[Vertex 1]],GroupVertices[Vertex],0)),1,1,"")</f>
        <v>1</v>
      </c>
      <c r="R345" s="80" t="e">
        <f>REPLACE(INDEX(GroupVertices[Group],MATCH(Edges[[#This Row],[Vertex 2]],GroupVertices[Vertex],0)),1,1,"")</f>
        <v>#N/A</v>
      </c>
      <c r="S345" s="34"/>
      <c r="T345" s="34"/>
      <c r="U345" s="34"/>
      <c r="V345" s="34"/>
      <c r="W345" s="34"/>
      <c r="X345" s="34"/>
      <c r="Y345" s="34"/>
      <c r="Z345" s="34"/>
      <c r="AA345" s="34"/>
    </row>
    <row r="346" spans="1:27" ht="15">
      <c r="A346" s="66" t="s">
        <v>232</v>
      </c>
      <c r="B346" s="66" t="s">
        <v>545</v>
      </c>
      <c r="C346" s="67" t="s">
        <v>4454</v>
      </c>
      <c r="D346" s="68">
        <v>5</v>
      </c>
      <c r="E346" s="69"/>
      <c r="F346" s="70">
        <v>20</v>
      </c>
      <c r="G346" s="67"/>
      <c r="H346" s="71"/>
      <c r="I346" s="72"/>
      <c r="J346" s="72"/>
      <c r="K346" s="34"/>
      <c r="L346" s="79">
        <v>346</v>
      </c>
      <c r="M346" s="79"/>
      <c r="N346" s="74"/>
      <c r="O346" s="81" t="s">
        <v>944</v>
      </c>
      <c r="P346">
        <v>1</v>
      </c>
      <c r="Q346" s="80" t="str">
        <f>REPLACE(INDEX(GroupVertices[Group],MATCH(Edges[[#This Row],[Vertex 1]],GroupVertices[Vertex],0)),1,1,"")</f>
        <v>1</v>
      </c>
      <c r="R346" s="80" t="e">
        <f>REPLACE(INDEX(GroupVertices[Group],MATCH(Edges[[#This Row],[Vertex 2]],GroupVertices[Vertex],0)),1,1,"")</f>
        <v>#N/A</v>
      </c>
      <c r="S346" s="34"/>
      <c r="T346" s="34"/>
      <c r="U346" s="34"/>
      <c r="V346" s="34"/>
      <c r="W346" s="34"/>
      <c r="X346" s="34"/>
      <c r="Y346" s="34"/>
      <c r="Z346" s="34"/>
      <c r="AA346" s="34"/>
    </row>
    <row r="347" spans="1:27" ht="15">
      <c r="A347" s="66" t="s">
        <v>232</v>
      </c>
      <c r="B347" s="66" t="s">
        <v>546</v>
      </c>
      <c r="C347" s="67" t="s">
        <v>4454</v>
      </c>
      <c r="D347" s="68">
        <v>5</v>
      </c>
      <c r="E347" s="69"/>
      <c r="F347" s="70">
        <v>20</v>
      </c>
      <c r="G347" s="67"/>
      <c r="H347" s="71"/>
      <c r="I347" s="72"/>
      <c r="J347" s="72"/>
      <c r="K347" s="34"/>
      <c r="L347" s="79">
        <v>347</v>
      </c>
      <c r="M347" s="79"/>
      <c r="N347" s="74"/>
      <c r="O347" s="81" t="s">
        <v>944</v>
      </c>
      <c r="P347">
        <v>1</v>
      </c>
      <c r="Q347" s="80" t="str">
        <f>REPLACE(INDEX(GroupVertices[Group],MATCH(Edges[[#This Row],[Vertex 1]],GroupVertices[Vertex],0)),1,1,"")</f>
        <v>1</v>
      </c>
      <c r="R347" s="80" t="e">
        <f>REPLACE(INDEX(GroupVertices[Group],MATCH(Edges[[#This Row],[Vertex 2]],GroupVertices[Vertex],0)),1,1,"")</f>
        <v>#N/A</v>
      </c>
      <c r="S347" s="34"/>
      <c r="T347" s="34"/>
      <c r="U347" s="34"/>
      <c r="V347" s="34"/>
      <c r="W347" s="34"/>
      <c r="X347" s="34"/>
      <c r="Y347" s="34"/>
      <c r="Z347" s="34"/>
      <c r="AA347" s="34"/>
    </row>
    <row r="348" spans="1:27" ht="15">
      <c r="A348" s="66" t="s">
        <v>232</v>
      </c>
      <c r="B348" s="66" t="s">
        <v>547</v>
      </c>
      <c r="C348" s="67" t="s">
        <v>4454</v>
      </c>
      <c r="D348" s="68">
        <v>5</v>
      </c>
      <c r="E348" s="69"/>
      <c r="F348" s="70">
        <v>20</v>
      </c>
      <c r="G348" s="67"/>
      <c r="H348" s="71"/>
      <c r="I348" s="72"/>
      <c r="J348" s="72"/>
      <c r="K348" s="34"/>
      <c r="L348" s="79">
        <v>348</v>
      </c>
      <c r="M348" s="79"/>
      <c r="N348" s="74"/>
      <c r="O348" s="81" t="s">
        <v>944</v>
      </c>
      <c r="P348">
        <v>1</v>
      </c>
      <c r="Q348" s="80" t="str">
        <f>REPLACE(INDEX(GroupVertices[Group],MATCH(Edges[[#This Row],[Vertex 1]],GroupVertices[Vertex],0)),1,1,"")</f>
        <v>1</v>
      </c>
      <c r="R348" s="80" t="e">
        <f>REPLACE(INDEX(GroupVertices[Group],MATCH(Edges[[#This Row],[Vertex 2]],GroupVertices[Vertex],0)),1,1,"")</f>
        <v>#N/A</v>
      </c>
      <c r="S348" s="34"/>
      <c r="T348" s="34"/>
      <c r="U348" s="34"/>
      <c r="V348" s="34"/>
      <c r="W348" s="34"/>
      <c r="X348" s="34"/>
      <c r="Y348" s="34"/>
      <c r="Z348" s="34"/>
      <c r="AA348" s="34"/>
    </row>
    <row r="349" spans="1:27" ht="15">
      <c r="A349" s="66" t="s">
        <v>232</v>
      </c>
      <c r="B349" s="66" t="s">
        <v>548</v>
      </c>
      <c r="C349" s="67" t="s">
        <v>4454</v>
      </c>
      <c r="D349" s="68">
        <v>5</v>
      </c>
      <c r="E349" s="69"/>
      <c r="F349" s="70">
        <v>20</v>
      </c>
      <c r="G349" s="67"/>
      <c r="H349" s="71"/>
      <c r="I349" s="72"/>
      <c r="J349" s="72"/>
      <c r="K349" s="34"/>
      <c r="L349" s="79">
        <v>349</v>
      </c>
      <c r="M349" s="79"/>
      <c r="N349" s="74"/>
      <c r="O349" s="81" t="s">
        <v>944</v>
      </c>
      <c r="P349">
        <v>1</v>
      </c>
      <c r="Q349" s="80" t="str">
        <f>REPLACE(INDEX(GroupVertices[Group],MATCH(Edges[[#This Row],[Vertex 1]],GroupVertices[Vertex],0)),1,1,"")</f>
        <v>1</v>
      </c>
      <c r="R349" s="80" t="e">
        <f>REPLACE(INDEX(GroupVertices[Group],MATCH(Edges[[#This Row],[Vertex 2]],GroupVertices[Vertex],0)),1,1,"")</f>
        <v>#N/A</v>
      </c>
      <c r="S349" s="34"/>
      <c r="T349" s="34"/>
      <c r="U349" s="34"/>
      <c r="V349" s="34"/>
      <c r="W349" s="34"/>
      <c r="X349" s="34"/>
      <c r="Y349" s="34"/>
      <c r="Z349" s="34"/>
      <c r="AA349" s="34"/>
    </row>
    <row r="350" spans="1:27" ht="15">
      <c r="A350" s="66" t="s">
        <v>232</v>
      </c>
      <c r="B350" s="66" t="s">
        <v>549</v>
      </c>
      <c r="C350" s="67" t="s">
        <v>4454</v>
      </c>
      <c r="D350" s="68">
        <v>5</v>
      </c>
      <c r="E350" s="69"/>
      <c r="F350" s="70">
        <v>20</v>
      </c>
      <c r="G350" s="67"/>
      <c r="H350" s="71"/>
      <c r="I350" s="72"/>
      <c r="J350" s="72"/>
      <c r="K350" s="34"/>
      <c r="L350" s="79">
        <v>350</v>
      </c>
      <c r="M350" s="79"/>
      <c r="N350" s="74"/>
      <c r="O350" s="81" t="s">
        <v>944</v>
      </c>
      <c r="P350">
        <v>1</v>
      </c>
      <c r="Q350" s="80" t="str">
        <f>REPLACE(INDEX(GroupVertices[Group],MATCH(Edges[[#This Row],[Vertex 1]],GroupVertices[Vertex],0)),1,1,"")</f>
        <v>1</v>
      </c>
      <c r="R350" s="80" t="e">
        <f>REPLACE(INDEX(GroupVertices[Group],MATCH(Edges[[#This Row],[Vertex 2]],GroupVertices[Vertex],0)),1,1,"")</f>
        <v>#N/A</v>
      </c>
      <c r="S350" s="34"/>
      <c r="T350" s="34"/>
      <c r="U350" s="34"/>
      <c r="V350" s="34"/>
      <c r="W350" s="34"/>
      <c r="X350" s="34"/>
      <c r="Y350" s="34"/>
      <c r="Z350" s="34"/>
      <c r="AA350" s="34"/>
    </row>
    <row r="351" spans="1:27" ht="15">
      <c r="A351" s="66" t="s">
        <v>233</v>
      </c>
      <c r="B351" s="66" t="s">
        <v>550</v>
      </c>
      <c r="C351" s="67" t="s">
        <v>4454</v>
      </c>
      <c r="D351" s="68">
        <v>5</v>
      </c>
      <c r="E351" s="69"/>
      <c r="F351" s="70">
        <v>20</v>
      </c>
      <c r="G351" s="67"/>
      <c r="H351" s="71"/>
      <c r="I351" s="72"/>
      <c r="J351" s="72"/>
      <c r="K351" s="34"/>
      <c r="L351" s="79">
        <v>351</v>
      </c>
      <c r="M351" s="79"/>
      <c r="N351" s="74"/>
      <c r="O351" s="81" t="s">
        <v>944</v>
      </c>
      <c r="P351">
        <v>1</v>
      </c>
      <c r="Q351" s="80" t="str">
        <f>REPLACE(INDEX(GroupVertices[Group],MATCH(Edges[[#This Row],[Vertex 1]],GroupVertices[Vertex],0)),1,1,"")</f>
        <v>2</v>
      </c>
      <c r="R351" s="80" t="e">
        <f>REPLACE(INDEX(GroupVertices[Group],MATCH(Edges[[#This Row],[Vertex 2]],GroupVertices[Vertex],0)),1,1,"")</f>
        <v>#N/A</v>
      </c>
      <c r="S351" s="34"/>
      <c r="T351" s="34"/>
      <c r="U351" s="34"/>
      <c r="V351" s="34"/>
      <c r="W351" s="34"/>
      <c r="X351" s="34"/>
      <c r="Y351" s="34"/>
      <c r="Z351" s="34"/>
      <c r="AA351" s="34"/>
    </row>
    <row r="352" spans="1:27" ht="15">
      <c r="A352" s="66" t="s">
        <v>215</v>
      </c>
      <c r="B352" s="66" t="s">
        <v>551</v>
      </c>
      <c r="C352" s="67" t="s">
        <v>4454</v>
      </c>
      <c r="D352" s="68">
        <v>5</v>
      </c>
      <c r="E352" s="69"/>
      <c r="F352" s="70">
        <v>20</v>
      </c>
      <c r="G352" s="67"/>
      <c r="H352" s="71"/>
      <c r="I352" s="72"/>
      <c r="J352" s="72"/>
      <c r="K352" s="34" t="s">
        <v>65</v>
      </c>
      <c r="L352" s="79">
        <v>352</v>
      </c>
      <c r="M352" s="79"/>
      <c r="N352" s="74"/>
      <c r="O352" s="81" t="s">
        <v>944</v>
      </c>
      <c r="P352">
        <v>1</v>
      </c>
      <c r="Q352" s="80" t="str">
        <f>REPLACE(INDEX(GroupVertices[Group],MATCH(Edges[[#This Row],[Vertex 1]],GroupVertices[Vertex],0)),1,1,"")</f>
        <v>3</v>
      </c>
      <c r="R352" s="80" t="str">
        <f>REPLACE(INDEX(GroupVertices[Group],MATCH(Edges[[#This Row],[Vertex 2]],GroupVertices[Vertex],0)),1,1,"")</f>
        <v>3</v>
      </c>
      <c r="S352" s="34"/>
      <c r="T352" s="34"/>
      <c r="U352" s="34"/>
      <c r="V352" s="34"/>
      <c r="W352" s="34"/>
      <c r="X352" s="34"/>
      <c r="Y352" s="34"/>
      <c r="Z352" s="34"/>
      <c r="AA352" s="34"/>
    </row>
    <row r="353" spans="1:27" ht="15">
      <c r="A353" s="66" t="s">
        <v>223</v>
      </c>
      <c r="B353" s="66" t="s">
        <v>551</v>
      </c>
      <c r="C353" s="67" t="s">
        <v>4454</v>
      </c>
      <c r="D353" s="68">
        <v>5</v>
      </c>
      <c r="E353" s="69"/>
      <c r="F353" s="70">
        <v>20</v>
      </c>
      <c r="G353" s="67"/>
      <c r="H353" s="71"/>
      <c r="I353" s="72"/>
      <c r="J353" s="72"/>
      <c r="K353" s="34" t="s">
        <v>65</v>
      </c>
      <c r="L353" s="79">
        <v>353</v>
      </c>
      <c r="M353" s="79"/>
      <c r="N353" s="74"/>
      <c r="O353" s="81" t="s">
        <v>944</v>
      </c>
      <c r="P353">
        <v>1</v>
      </c>
      <c r="Q353" s="80" t="str">
        <f>REPLACE(INDEX(GroupVertices[Group],MATCH(Edges[[#This Row],[Vertex 1]],GroupVertices[Vertex],0)),1,1,"")</f>
        <v>3</v>
      </c>
      <c r="R353" s="80" t="str">
        <f>REPLACE(INDEX(GroupVertices[Group],MATCH(Edges[[#This Row],[Vertex 2]],GroupVertices[Vertex],0)),1,1,"")</f>
        <v>3</v>
      </c>
      <c r="S353" s="34"/>
      <c r="T353" s="34"/>
      <c r="U353" s="34"/>
      <c r="V353" s="34"/>
      <c r="W353" s="34"/>
      <c r="X353" s="34"/>
      <c r="Y353" s="34"/>
      <c r="Z353" s="34"/>
      <c r="AA353" s="34"/>
    </row>
    <row r="354" spans="1:27" ht="15">
      <c r="A354" s="66" t="s">
        <v>233</v>
      </c>
      <c r="B354" s="66" t="s">
        <v>551</v>
      </c>
      <c r="C354" s="67" t="s">
        <v>4454</v>
      </c>
      <c r="D354" s="68">
        <v>5</v>
      </c>
      <c r="E354" s="69"/>
      <c r="F354" s="70">
        <v>20</v>
      </c>
      <c r="G354" s="67"/>
      <c r="H354" s="71"/>
      <c r="I354" s="72"/>
      <c r="J354" s="72"/>
      <c r="K354" s="34" t="s">
        <v>65</v>
      </c>
      <c r="L354" s="79">
        <v>354</v>
      </c>
      <c r="M354" s="79"/>
      <c r="N354" s="74"/>
      <c r="O354" s="81" t="s">
        <v>944</v>
      </c>
      <c r="P354">
        <v>1</v>
      </c>
      <c r="Q354" s="80" t="str">
        <f>REPLACE(INDEX(GroupVertices[Group],MATCH(Edges[[#This Row],[Vertex 1]],GroupVertices[Vertex],0)),1,1,"")</f>
        <v>2</v>
      </c>
      <c r="R354" s="80" t="str">
        <f>REPLACE(INDEX(GroupVertices[Group],MATCH(Edges[[#This Row],[Vertex 2]],GroupVertices[Vertex],0)),1,1,"")</f>
        <v>3</v>
      </c>
      <c r="S354" s="34"/>
      <c r="T354" s="34"/>
      <c r="U354" s="34"/>
      <c r="V354" s="34"/>
      <c r="W354" s="34"/>
      <c r="X354" s="34"/>
      <c r="Y354" s="34"/>
      <c r="Z354" s="34"/>
      <c r="AA354" s="34"/>
    </row>
    <row r="355" spans="1:27" ht="15">
      <c r="A355" s="66" t="s">
        <v>224</v>
      </c>
      <c r="B355" s="66" t="s">
        <v>511</v>
      </c>
      <c r="C355" s="67" t="s">
        <v>4454</v>
      </c>
      <c r="D355" s="68">
        <v>5</v>
      </c>
      <c r="E355" s="69"/>
      <c r="F355" s="70">
        <v>20</v>
      </c>
      <c r="G355" s="67"/>
      <c r="H355" s="71"/>
      <c r="I355" s="72"/>
      <c r="J355" s="72"/>
      <c r="K355" s="34" t="s">
        <v>65</v>
      </c>
      <c r="L355" s="79">
        <v>355</v>
      </c>
      <c r="M355" s="79"/>
      <c r="N355" s="74"/>
      <c r="O355" s="81" t="s">
        <v>944</v>
      </c>
      <c r="P355">
        <v>1</v>
      </c>
      <c r="Q355" s="80" t="str">
        <f>REPLACE(INDEX(GroupVertices[Group],MATCH(Edges[[#This Row],[Vertex 1]],GroupVertices[Vertex],0)),1,1,"")</f>
        <v>2</v>
      </c>
      <c r="R355" s="80" t="str">
        <f>REPLACE(INDEX(GroupVertices[Group],MATCH(Edges[[#This Row],[Vertex 2]],GroupVertices[Vertex],0)),1,1,"")</f>
        <v>2</v>
      </c>
      <c r="S355" s="34"/>
      <c r="T355" s="34"/>
      <c r="U355" s="34"/>
      <c r="V355" s="34"/>
      <c r="W355" s="34"/>
      <c r="X355" s="34"/>
      <c r="Y355" s="34"/>
      <c r="Z355" s="34"/>
      <c r="AA355" s="34"/>
    </row>
    <row r="356" spans="1:27" ht="15">
      <c r="A356" s="66" t="s">
        <v>233</v>
      </c>
      <c r="B356" s="66" t="s">
        <v>511</v>
      </c>
      <c r="C356" s="67" t="s">
        <v>4454</v>
      </c>
      <c r="D356" s="68">
        <v>5</v>
      </c>
      <c r="E356" s="69"/>
      <c r="F356" s="70">
        <v>20</v>
      </c>
      <c r="G356" s="67"/>
      <c r="H356" s="71"/>
      <c r="I356" s="72"/>
      <c r="J356" s="72"/>
      <c r="K356" s="34" t="s">
        <v>65</v>
      </c>
      <c r="L356" s="79">
        <v>356</v>
      </c>
      <c r="M356" s="79"/>
      <c r="N356" s="74"/>
      <c r="O356" s="81" t="s">
        <v>944</v>
      </c>
      <c r="P356">
        <v>1</v>
      </c>
      <c r="Q356" s="80" t="str">
        <f>REPLACE(INDEX(GroupVertices[Group],MATCH(Edges[[#This Row],[Vertex 1]],GroupVertices[Vertex],0)),1,1,"")</f>
        <v>2</v>
      </c>
      <c r="R356" s="80" t="str">
        <f>REPLACE(INDEX(GroupVertices[Group],MATCH(Edges[[#This Row],[Vertex 2]],GroupVertices[Vertex],0)),1,1,"")</f>
        <v>2</v>
      </c>
      <c r="S356" s="34"/>
      <c r="T356" s="34"/>
      <c r="U356" s="34"/>
      <c r="V356" s="34"/>
      <c r="W356" s="34"/>
      <c r="X356" s="34"/>
      <c r="Y356" s="34"/>
      <c r="Z356" s="34"/>
      <c r="AA356" s="34"/>
    </row>
    <row r="357" spans="1:27" ht="15">
      <c r="A357" s="66" t="s">
        <v>233</v>
      </c>
      <c r="B357" s="66" t="s">
        <v>552</v>
      </c>
      <c r="C357" s="67" t="s">
        <v>4454</v>
      </c>
      <c r="D357" s="68">
        <v>5</v>
      </c>
      <c r="E357" s="69"/>
      <c r="F357" s="70">
        <v>20</v>
      </c>
      <c r="G357" s="67"/>
      <c r="H357" s="71"/>
      <c r="I357" s="72"/>
      <c r="J357" s="72"/>
      <c r="K357" s="34"/>
      <c r="L357" s="79">
        <v>357</v>
      </c>
      <c r="M357" s="79"/>
      <c r="N357" s="74"/>
      <c r="O357" s="81" t="s">
        <v>944</v>
      </c>
      <c r="P357">
        <v>1</v>
      </c>
      <c r="Q357" s="80" t="str">
        <f>REPLACE(INDEX(GroupVertices[Group],MATCH(Edges[[#This Row],[Vertex 1]],GroupVertices[Vertex],0)),1,1,"")</f>
        <v>2</v>
      </c>
      <c r="R357" s="80" t="e">
        <f>REPLACE(INDEX(GroupVertices[Group],MATCH(Edges[[#This Row],[Vertex 2]],GroupVertices[Vertex],0)),1,1,"")</f>
        <v>#N/A</v>
      </c>
      <c r="S357" s="34"/>
      <c r="T357" s="34"/>
      <c r="U357" s="34"/>
      <c r="V357" s="34"/>
      <c r="W357" s="34"/>
      <c r="X357" s="34"/>
      <c r="Y357" s="34"/>
      <c r="Z357" s="34"/>
      <c r="AA357" s="34"/>
    </row>
    <row r="358" spans="1:27" ht="15">
      <c r="A358" s="66" t="s">
        <v>234</v>
      </c>
      <c r="B358" s="66" t="s">
        <v>553</v>
      </c>
      <c r="C358" s="67" t="s">
        <v>4454</v>
      </c>
      <c r="D358" s="68">
        <v>5</v>
      </c>
      <c r="E358" s="69"/>
      <c r="F358" s="70">
        <v>20</v>
      </c>
      <c r="G358" s="67"/>
      <c r="H358" s="71"/>
      <c r="I358" s="72"/>
      <c r="J358" s="72"/>
      <c r="K358" s="34"/>
      <c r="L358" s="79">
        <v>358</v>
      </c>
      <c r="M358" s="79"/>
      <c r="N358" s="74"/>
      <c r="O358" s="81" t="s">
        <v>944</v>
      </c>
      <c r="P358">
        <v>1</v>
      </c>
      <c r="Q358" s="80" t="str">
        <f>REPLACE(INDEX(GroupVertices[Group],MATCH(Edges[[#This Row],[Vertex 1]],GroupVertices[Vertex],0)),1,1,"")</f>
        <v>4</v>
      </c>
      <c r="R358" s="80" t="e">
        <f>REPLACE(INDEX(GroupVertices[Group],MATCH(Edges[[#This Row],[Vertex 2]],GroupVertices[Vertex],0)),1,1,"")</f>
        <v>#N/A</v>
      </c>
      <c r="S358" s="34"/>
      <c r="T358" s="34"/>
      <c r="U358" s="34"/>
      <c r="V358" s="34"/>
      <c r="W358" s="34"/>
      <c r="X358" s="34"/>
      <c r="Y358" s="34"/>
      <c r="Z358" s="34"/>
      <c r="AA358" s="34"/>
    </row>
    <row r="359" spans="1:27" ht="15">
      <c r="A359" s="66" t="s">
        <v>217</v>
      </c>
      <c r="B359" s="66" t="s">
        <v>554</v>
      </c>
      <c r="C359" s="67" t="s">
        <v>4454</v>
      </c>
      <c r="D359" s="68">
        <v>5</v>
      </c>
      <c r="E359" s="69"/>
      <c r="F359" s="70">
        <v>20</v>
      </c>
      <c r="G359" s="67"/>
      <c r="H359" s="71"/>
      <c r="I359" s="72"/>
      <c r="J359" s="72"/>
      <c r="K359" s="34" t="s">
        <v>65</v>
      </c>
      <c r="L359" s="79">
        <v>359</v>
      </c>
      <c r="M359" s="79"/>
      <c r="N359" s="74"/>
      <c r="O359" s="81" t="s">
        <v>944</v>
      </c>
      <c r="P359">
        <v>1</v>
      </c>
      <c r="Q359" s="80" t="str">
        <f>REPLACE(INDEX(GroupVertices[Group],MATCH(Edges[[#This Row],[Vertex 1]],GroupVertices[Vertex],0)),1,1,"")</f>
        <v>4</v>
      </c>
      <c r="R359" s="80" t="str">
        <f>REPLACE(INDEX(GroupVertices[Group],MATCH(Edges[[#This Row],[Vertex 2]],GroupVertices[Vertex],0)),1,1,"")</f>
        <v>4</v>
      </c>
      <c r="S359" s="34"/>
      <c r="T359" s="34"/>
      <c r="U359" s="34"/>
      <c r="V359" s="34"/>
      <c r="W359" s="34"/>
      <c r="X359" s="34"/>
      <c r="Y359" s="34"/>
      <c r="Z359" s="34"/>
      <c r="AA359" s="34"/>
    </row>
    <row r="360" spans="1:27" ht="15">
      <c r="A360" s="66" t="s">
        <v>221</v>
      </c>
      <c r="B360" s="66" t="s">
        <v>554</v>
      </c>
      <c r="C360" s="67" t="s">
        <v>4454</v>
      </c>
      <c r="D360" s="68">
        <v>5</v>
      </c>
      <c r="E360" s="69"/>
      <c r="F360" s="70">
        <v>20</v>
      </c>
      <c r="G360" s="67"/>
      <c r="H360" s="71"/>
      <c r="I360" s="72"/>
      <c r="J360" s="72"/>
      <c r="K360" s="34" t="s">
        <v>65</v>
      </c>
      <c r="L360" s="79">
        <v>360</v>
      </c>
      <c r="M360" s="79"/>
      <c r="N360" s="74"/>
      <c r="O360" s="81" t="s">
        <v>944</v>
      </c>
      <c r="P360">
        <v>1</v>
      </c>
      <c r="Q360" s="80" t="str">
        <f>REPLACE(INDEX(GroupVertices[Group],MATCH(Edges[[#This Row],[Vertex 1]],GroupVertices[Vertex],0)),1,1,"")</f>
        <v>2</v>
      </c>
      <c r="R360" s="80" t="str">
        <f>REPLACE(INDEX(GroupVertices[Group],MATCH(Edges[[#This Row],[Vertex 2]],GroupVertices[Vertex],0)),1,1,"")</f>
        <v>4</v>
      </c>
      <c r="S360" s="34"/>
      <c r="T360" s="34"/>
      <c r="U360" s="34"/>
      <c r="V360" s="34"/>
      <c r="W360" s="34"/>
      <c r="X360" s="34"/>
      <c r="Y360" s="34"/>
      <c r="Z360" s="34"/>
      <c r="AA360" s="34"/>
    </row>
    <row r="361" spans="1:27" ht="15">
      <c r="A361" s="66" t="s">
        <v>234</v>
      </c>
      <c r="B361" s="66" t="s">
        <v>554</v>
      </c>
      <c r="C361" s="67" t="s">
        <v>4454</v>
      </c>
      <c r="D361" s="68">
        <v>5</v>
      </c>
      <c r="E361" s="69"/>
      <c r="F361" s="70">
        <v>20</v>
      </c>
      <c r="G361" s="67"/>
      <c r="H361" s="71"/>
      <c r="I361" s="72"/>
      <c r="J361" s="72"/>
      <c r="K361" s="34" t="s">
        <v>65</v>
      </c>
      <c r="L361" s="79">
        <v>361</v>
      </c>
      <c r="M361" s="79"/>
      <c r="N361" s="74"/>
      <c r="O361" s="81" t="s">
        <v>944</v>
      </c>
      <c r="P361">
        <v>1</v>
      </c>
      <c r="Q361" s="80" t="str">
        <f>REPLACE(INDEX(GroupVertices[Group],MATCH(Edges[[#This Row],[Vertex 1]],GroupVertices[Vertex],0)),1,1,"")</f>
        <v>4</v>
      </c>
      <c r="R361" s="80" t="str">
        <f>REPLACE(INDEX(GroupVertices[Group],MATCH(Edges[[#This Row],[Vertex 2]],GroupVertices[Vertex],0)),1,1,"")</f>
        <v>4</v>
      </c>
      <c r="S361" s="34"/>
      <c r="T361" s="34"/>
      <c r="U361" s="34"/>
      <c r="V361" s="34"/>
      <c r="W361" s="34"/>
      <c r="X361" s="34"/>
      <c r="Y361" s="34"/>
      <c r="Z361" s="34"/>
      <c r="AA361" s="34"/>
    </row>
    <row r="362" spans="1:27" ht="15">
      <c r="A362" s="66" t="s">
        <v>217</v>
      </c>
      <c r="B362" s="66" t="s">
        <v>555</v>
      </c>
      <c r="C362" s="67" t="s">
        <v>4454</v>
      </c>
      <c r="D362" s="68">
        <v>5</v>
      </c>
      <c r="E362" s="69"/>
      <c r="F362" s="70">
        <v>20</v>
      </c>
      <c r="G362" s="67"/>
      <c r="H362" s="71"/>
      <c r="I362" s="72"/>
      <c r="J362" s="72"/>
      <c r="K362" s="34" t="s">
        <v>65</v>
      </c>
      <c r="L362" s="79">
        <v>362</v>
      </c>
      <c r="M362" s="79"/>
      <c r="N362" s="74"/>
      <c r="O362" s="81" t="s">
        <v>944</v>
      </c>
      <c r="P362">
        <v>1</v>
      </c>
      <c r="Q362" s="80" t="str">
        <f>REPLACE(INDEX(GroupVertices[Group],MATCH(Edges[[#This Row],[Vertex 1]],GroupVertices[Vertex],0)),1,1,"")</f>
        <v>4</v>
      </c>
      <c r="R362" s="80" t="str">
        <f>REPLACE(INDEX(GroupVertices[Group],MATCH(Edges[[#This Row],[Vertex 2]],GroupVertices[Vertex],0)),1,1,"")</f>
        <v>4</v>
      </c>
      <c r="S362" s="34"/>
      <c r="T362" s="34"/>
      <c r="U362" s="34"/>
      <c r="V362" s="34"/>
      <c r="W362" s="34"/>
      <c r="X362" s="34"/>
      <c r="Y362" s="34"/>
      <c r="Z362" s="34"/>
      <c r="AA362" s="34"/>
    </row>
    <row r="363" spans="1:27" ht="15">
      <c r="A363" s="66" t="s">
        <v>226</v>
      </c>
      <c r="B363" s="66" t="s">
        <v>555</v>
      </c>
      <c r="C363" s="67" t="s">
        <v>4454</v>
      </c>
      <c r="D363" s="68">
        <v>5</v>
      </c>
      <c r="E363" s="69"/>
      <c r="F363" s="70">
        <v>20</v>
      </c>
      <c r="G363" s="67"/>
      <c r="H363" s="71"/>
      <c r="I363" s="72"/>
      <c r="J363" s="72"/>
      <c r="K363" s="34" t="s">
        <v>65</v>
      </c>
      <c r="L363" s="79">
        <v>363</v>
      </c>
      <c r="M363" s="79"/>
      <c r="N363" s="74"/>
      <c r="O363" s="81" t="s">
        <v>944</v>
      </c>
      <c r="P363">
        <v>1</v>
      </c>
      <c r="Q363" s="80" t="str">
        <f>REPLACE(INDEX(GroupVertices[Group],MATCH(Edges[[#This Row],[Vertex 1]],GroupVertices[Vertex],0)),1,1,"")</f>
        <v>4</v>
      </c>
      <c r="R363" s="80" t="str">
        <f>REPLACE(INDEX(GroupVertices[Group],MATCH(Edges[[#This Row],[Vertex 2]],GroupVertices[Vertex],0)),1,1,"")</f>
        <v>4</v>
      </c>
      <c r="S363" s="34"/>
      <c r="T363" s="34"/>
      <c r="U363" s="34"/>
      <c r="V363" s="34"/>
      <c r="W363" s="34"/>
      <c r="X363" s="34"/>
      <c r="Y363" s="34"/>
      <c r="Z363" s="34"/>
      <c r="AA363" s="34"/>
    </row>
    <row r="364" spans="1:27" ht="15">
      <c r="A364" s="66" t="s">
        <v>234</v>
      </c>
      <c r="B364" s="66" t="s">
        <v>555</v>
      </c>
      <c r="C364" s="67" t="s">
        <v>4454</v>
      </c>
      <c r="D364" s="68">
        <v>5</v>
      </c>
      <c r="E364" s="69"/>
      <c r="F364" s="70">
        <v>20</v>
      </c>
      <c r="G364" s="67"/>
      <c r="H364" s="71"/>
      <c r="I364" s="72"/>
      <c r="J364" s="72"/>
      <c r="K364" s="34" t="s">
        <v>65</v>
      </c>
      <c r="L364" s="79">
        <v>364</v>
      </c>
      <c r="M364" s="79"/>
      <c r="N364" s="74"/>
      <c r="O364" s="81" t="s">
        <v>944</v>
      </c>
      <c r="P364">
        <v>1</v>
      </c>
      <c r="Q364" s="80" t="str">
        <f>REPLACE(INDEX(GroupVertices[Group],MATCH(Edges[[#This Row],[Vertex 1]],GroupVertices[Vertex],0)),1,1,"")</f>
        <v>4</v>
      </c>
      <c r="R364" s="80" t="str">
        <f>REPLACE(INDEX(GroupVertices[Group],MATCH(Edges[[#This Row],[Vertex 2]],GroupVertices[Vertex],0)),1,1,"")</f>
        <v>4</v>
      </c>
      <c r="S364" s="34"/>
      <c r="T364" s="34"/>
      <c r="U364" s="34"/>
      <c r="V364" s="34"/>
      <c r="W364" s="34"/>
      <c r="X364" s="34"/>
      <c r="Y364" s="34"/>
      <c r="Z364" s="34"/>
      <c r="AA364" s="34"/>
    </row>
    <row r="365" spans="1:27" ht="15">
      <c r="A365" s="66" t="s">
        <v>234</v>
      </c>
      <c r="B365" s="66" t="s">
        <v>507</v>
      </c>
      <c r="C365" s="67" t="s">
        <v>4454</v>
      </c>
      <c r="D365" s="68">
        <v>5</v>
      </c>
      <c r="E365" s="69"/>
      <c r="F365" s="70">
        <v>20</v>
      </c>
      <c r="G365" s="67"/>
      <c r="H365" s="71"/>
      <c r="I365" s="72"/>
      <c r="J365" s="72"/>
      <c r="K365" s="34" t="s">
        <v>65</v>
      </c>
      <c r="L365" s="79">
        <v>365</v>
      </c>
      <c r="M365" s="79"/>
      <c r="N365" s="74"/>
      <c r="O365" s="81" t="s">
        <v>944</v>
      </c>
      <c r="P365">
        <v>1</v>
      </c>
      <c r="Q365" s="80" t="str">
        <f>REPLACE(INDEX(GroupVertices[Group],MATCH(Edges[[#This Row],[Vertex 1]],GroupVertices[Vertex],0)),1,1,"")</f>
        <v>4</v>
      </c>
      <c r="R365" s="80" t="str">
        <f>REPLACE(INDEX(GroupVertices[Group],MATCH(Edges[[#This Row],[Vertex 2]],GroupVertices[Vertex],0)),1,1,"")</f>
        <v>4</v>
      </c>
      <c r="S365" s="34"/>
      <c r="T365" s="34"/>
      <c r="U365" s="34"/>
      <c r="V365" s="34"/>
      <c r="W365" s="34"/>
      <c r="X365" s="34"/>
      <c r="Y365" s="34"/>
      <c r="Z365" s="34"/>
      <c r="AA365" s="34"/>
    </row>
    <row r="366" spans="1:27" ht="15">
      <c r="A366" s="66" t="s">
        <v>227</v>
      </c>
      <c r="B366" s="66" t="s">
        <v>556</v>
      </c>
      <c r="C366" s="67" t="s">
        <v>4454</v>
      </c>
      <c r="D366" s="68">
        <v>5</v>
      </c>
      <c r="E366" s="69"/>
      <c r="F366" s="70">
        <v>20</v>
      </c>
      <c r="G366" s="67"/>
      <c r="H366" s="71"/>
      <c r="I366" s="72"/>
      <c r="J366" s="72"/>
      <c r="K366" s="34" t="s">
        <v>65</v>
      </c>
      <c r="L366" s="79">
        <v>366</v>
      </c>
      <c r="M366" s="79"/>
      <c r="N366" s="74"/>
      <c r="O366" s="81" t="s">
        <v>944</v>
      </c>
      <c r="P366">
        <v>1</v>
      </c>
      <c r="Q366" s="80" t="str">
        <f>REPLACE(INDEX(GroupVertices[Group],MATCH(Edges[[#This Row],[Vertex 1]],GroupVertices[Vertex],0)),1,1,"")</f>
        <v>3</v>
      </c>
      <c r="R366" s="80" t="str">
        <f>REPLACE(INDEX(GroupVertices[Group],MATCH(Edges[[#This Row],[Vertex 2]],GroupVertices[Vertex],0)),1,1,"")</f>
        <v>4</v>
      </c>
      <c r="S366" s="34"/>
      <c r="T366" s="34"/>
      <c r="U366" s="34"/>
      <c r="V366" s="34"/>
      <c r="W366" s="34"/>
      <c r="X366" s="34"/>
      <c r="Y366" s="34"/>
      <c r="Z366" s="34"/>
      <c r="AA366" s="34"/>
    </row>
    <row r="367" spans="1:27" ht="15">
      <c r="A367" s="66" t="s">
        <v>234</v>
      </c>
      <c r="B367" s="66" t="s">
        <v>556</v>
      </c>
      <c r="C367" s="67" t="s">
        <v>4454</v>
      </c>
      <c r="D367" s="68">
        <v>5</v>
      </c>
      <c r="E367" s="69"/>
      <c r="F367" s="70">
        <v>20</v>
      </c>
      <c r="G367" s="67"/>
      <c r="H367" s="71"/>
      <c r="I367" s="72"/>
      <c r="J367" s="72"/>
      <c r="K367" s="34" t="s">
        <v>65</v>
      </c>
      <c r="L367" s="79">
        <v>367</v>
      </c>
      <c r="M367" s="79"/>
      <c r="N367" s="74"/>
      <c r="O367" s="81" t="s">
        <v>944</v>
      </c>
      <c r="P367">
        <v>1</v>
      </c>
      <c r="Q367" s="80" t="str">
        <f>REPLACE(INDEX(GroupVertices[Group],MATCH(Edges[[#This Row],[Vertex 1]],GroupVertices[Vertex],0)),1,1,"")</f>
        <v>4</v>
      </c>
      <c r="R367" s="80" t="str">
        <f>REPLACE(INDEX(GroupVertices[Group],MATCH(Edges[[#This Row],[Vertex 2]],GroupVertices[Vertex],0)),1,1,"")</f>
        <v>4</v>
      </c>
      <c r="S367" s="34"/>
      <c r="T367" s="34"/>
      <c r="U367" s="34"/>
      <c r="V367" s="34"/>
      <c r="W367" s="34"/>
      <c r="X367" s="34"/>
      <c r="Y367" s="34"/>
      <c r="Z367" s="34"/>
      <c r="AA367" s="34"/>
    </row>
    <row r="368" spans="1:27" ht="15">
      <c r="A368" s="66" t="s">
        <v>217</v>
      </c>
      <c r="B368" s="66" t="s">
        <v>557</v>
      </c>
      <c r="C368" s="67" t="s">
        <v>4454</v>
      </c>
      <c r="D368" s="68">
        <v>5</v>
      </c>
      <c r="E368" s="69"/>
      <c r="F368" s="70">
        <v>20</v>
      </c>
      <c r="G368" s="67"/>
      <c r="H368" s="71"/>
      <c r="I368" s="72"/>
      <c r="J368" s="72"/>
      <c r="K368" s="34" t="s">
        <v>65</v>
      </c>
      <c r="L368" s="79">
        <v>368</v>
      </c>
      <c r="M368" s="79"/>
      <c r="N368" s="74"/>
      <c r="O368" s="81" t="s">
        <v>944</v>
      </c>
      <c r="P368">
        <v>1</v>
      </c>
      <c r="Q368" s="80" t="str">
        <f>REPLACE(INDEX(GroupVertices[Group],MATCH(Edges[[#This Row],[Vertex 1]],GroupVertices[Vertex],0)),1,1,"")</f>
        <v>4</v>
      </c>
      <c r="R368" s="80" t="str">
        <f>REPLACE(INDEX(GroupVertices[Group],MATCH(Edges[[#This Row],[Vertex 2]],GroupVertices[Vertex],0)),1,1,"")</f>
        <v>4</v>
      </c>
      <c r="S368" s="34"/>
      <c r="T368" s="34"/>
      <c r="U368" s="34"/>
      <c r="V368" s="34"/>
      <c r="W368" s="34"/>
      <c r="X368" s="34"/>
      <c r="Y368" s="34"/>
      <c r="Z368" s="34"/>
      <c r="AA368" s="34"/>
    </row>
    <row r="369" spans="1:27" ht="15">
      <c r="A369" s="66" t="s">
        <v>234</v>
      </c>
      <c r="B369" s="66" t="s">
        <v>557</v>
      </c>
      <c r="C369" s="67" t="s">
        <v>4454</v>
      </c>
      <c r="D369" s="68">
        <v>5</v>
      </c>
      <c r="E369" s="69"/>
      <c r="F369" s="70">
        <v>20</v>
      </c>
      <c r="G369" s="67"/>
      <c r="H369" s="71"/>
      <c r="I369" s="72"/>
      <c r="J369" s="72"/>
      <c r="K369" s="34" t="s">
        <v>65</v>
      </c>
      <c r="L369" s="79">
        <v>369</v>
      </c>
      <c r="M369" s="79"/>
      <c r="N369" s="74"/>
      <c r="O369" s="81" t="s">
        <v>944</v>
      </c>
      <c r="P369">
        <v>1</v>
      </c>
      <c r="Q369" s="80" t="str">
        <f>REPLACE(INDEX(GroupVertices[Group],MATCH(Edges[[#This Row],[Vertex 1]],GroupVertices[Vertex],0)),1,1,"")</f>
        <v>4</v>
      </c>
      <c r="R369" s="80" t="str">
        <f>REPLACE(INDEX(GroupVertices[Group],MATCH(Edges[[#This Row],[Vertex 2]],GroupVertices[Vertex],0)),1,1,"")</f>
        <v>4</v>
      </c>
      <c r="S369" s="34"/>
      <c r="T369" s="34"/>
      <c r="U369" s="34"/>
      <c r="V369" s="34"/>
      <c r="W369" s="34"/>
      <c r="X369" s="34"/>
      <c r="Y369" s="34"/>
      <c r="Z369" s="34"/>
      <c r="AA369" s="34"/>
    </row>
    <row r="370" spans="1:27" ht="15">
      <c r="A370" s="66" t="s">
        <v>234</v>
      </c>
      <c r="B370" s="66" t="s">
        <v>558</v>
      </c>
      <c r="C370" s="67" t="s">
        <v>4454</v>
      </c>
      <c r="D370" s="68">
        <v>5</v>
      </c>
      <c r="E370" s="69"/>
      <c r="F370" s="70">
        <v>20</v>
      </c>
      <c r="G370" s="67"/>
      <c r="H370" s="71"/>
      <c r="I370" s="72"/>
      <c r="J370" s="72"/>
      <c r="K370" s="34"/>
      <c r="L370" s="79">
        <v>370</v>
      </c>
      <c r="M370" s="79"/>
      <c r="N370" s="74"/>
      <c r="O370" s="81" t="s">
        <v>944</v>
      </c>
      <c r="P370">
        <v>1</v>
      </c>
      <c r="Q370" s="80" t="str">
        <f>REPLACE(INDEX(GroupVertices[Group],MATCH(Edges[[#This Row],[Vertex 1]],GroupVertices[Vertex],0)),1,1,"")</f>
        <v>4</v>
      </c>
      <c r="R370" s="80" t="e">
        <f>REPLACE(INDEX(GroupVertices[Group],MATCH(Edges[[#This Row],[Vertex 2]],GroupVertices[Vertex],0)),1,1,"")</f>
        <v>#N/A</v>
      </c>
      <c r="S370" s="34"/>
      <c r="T370" s="34"/>
      <c r="U370" s="34"/>
      <c r="V370" s="34"/>
      <c r="W370" s="34"/>
      <c r="X370" s="34"/>
      <c r="Y370" s="34"/>
      <c r="Z370" s="34"/>
      <c r="AA370" s="34"/>
    </row>
    <row r="371" spans="1:27" ht="15">
      <c r="A371" s="66" t="s">
        <v>217</v>
      </c>
      <c r="B371" s="66" t="s">
        <v>559</v>
      </c>
      <c r="C371" s="67" t="s">
        <v>4454</v>
      </c>
      <c r="D371" s="68">
        <v>5</v>
      </c>
      <c r="E371" s="69"/>
      <c r="F371" s="70">
        <v>20</v>
      </c>
      <c r="G371" s="67"/>
      <c r="H371" s="71"/>
      <c r="I371" s="72"/>
      <c r="J371" s="72"/>
      <c r="K371" s="34" t="s">
        <v>65</v>
      </c>
      <c r="L371" s="79">
        <v>371</v>
      </c>
      <c r="M371" s="79"/>
      <c r="N371" s="74"/>
      <c r="O371" s="81" t="s">
        <v>944</v>
      </c>
      <c r="P371">
        <v>1</v>
      </c>
      <c r="Q371" s="80" t="str">
        <f>REPLACE(INDEX(GroupVertices[Group],MATCH(Edges[[#This Row],[Vertex 1]],GroupVertices[Vertex],0)),1,1,"")</f>
        <v>4</v>
      </c>
      <c r="R371" s="80" t="str">
        <f>REPLACE(INDEX(GroupVertices[Group],MATCH(Edges[[#This Row],[Vertex 2]],GroupVertices[Vertex],0)),1,1,"")</f>
        <v>4</v>
      </c>
      <c r="S371" s="34"/>
      <c r="T371" s="34"/>
      <c r="U371" s="34"/>
      <c r="V371" s="34"/>
      <c r="W371" s="34"/>
      <c r="X371" s="34"/>
      <c r="Y371" s="34"/>
      <c r="Z371" s="34"/>
      <c r="AA371" s="34"/>
    </row>
    <row r="372" spans="1:27" ht="15">
      <c r="A372" s="66" t="s">
        <v>231</v>
      </c>
      <c r="B372" s="66" t="s">
        <v>559</v>
      </c>
      <c r="C372" s="67" t="s">
        <v>4454</v>
      </c>
      <c r="D372" s="68">
        <v>5</v>
      </c>
      <c r="E372" s="69"/>
      <c r="F372" s="70">
        <v>20</v>
      </c>
      <c r="G372" s="67"/>
      <c r="H372" s="71"/>
      <c r="I372" s="72"/>
      <c r="J372" s="72"/>
      <c r="K372" s="34" t="s">
        <v>65</v>
      </c>
      <c r="L372" s="79">
        <v>372</v>
      </c>
      <c r="M372" s="79"/>
      <c r="N372" s="74"/>
      <c r="O372" s="81" t="s">
        <v>944</v>
      </c>
      <c r="P372">
        <v>1</v>
      </c>
      <c r="Q372" s="80" t="str">
        <f>REPLACE(INDEX(GroupVertices[Group],MATCH(Edges[[#This Row],[Vertex 1]],GroupVertices[Vertex],0)),1,1,"")</f>
        <v>1</v>
      </c>
      <c r="R372" s="80" t="str">
        <f>REPLACE(INDEX(GroupVertices[Group],MATCH(Edges[[#This Row],[Vertex 2]],GroupVertices[Vertex],0)),1,1,"")</f>
        <v>4</v>
      </c>
      <c r="S372" s="34"/>
      <c r="T372" s="34"/>
      <c r="U372" s="34"/>
      <c r="V372" s="34"/>
      <c r="W372" s="34"/>
      <c r="X372" s="34"/>
      <c r="Y372" s="34"/>
      <c r="Z372" s="34"/>
      <c r="AA372" s="34"/>
    </row>
    <row r="373" spans="1:27" ht="15">
      <c r="A373" s="66" t="s">
        <v>234</v>
      </c>
      <c r="B373" s="66" t="s">
        <v>559</v>
      </c>
      <c r="C373" s="67" t="s">
        <v>4454</v>
      </c>
      <c r="D373" s="68">
        <v>5</v>
      </c>
      <c r="E373" s="69"/>
      <c r="F373" s="70">
        <v>20</v>
      </c>
      <c r="G373" s="67"/>
      <c r="H373" s="71"/>
      <c r="I373" s="72"/>
      <c r="J373" s="72"/>
      <c r="K373" s="34" t="s">
        <v>65</v>
      </c>
      <c r="L373" s="79">
        <v>373</v>
      </c>
      <c r="M373" s="79"/>
      <c r="N373" s="74"/>
      <c r="O373" s="81" t="s">
        <v>944</v>
      </c>
      <c r="P373">
        <v>1</v>
      </c>
      <c r="Q373" s="80" t="str">
        <f>REPLACE(INDEX(GroupVertices[Group],MATCH(Edges[[#This Row],[Vertex 1]],GroupVertices[Vertex],0)),1,1,"")</f>
        <v>4</v>
      </c>
      <c r="R373" s="80" t="str">
        <f>REPLACE(INDEX(GroupVertices[Group],MATCH(Edges[[#This Row],[Vertex 2]],GroupVertices[Vertex],0)),1,1,"")</f>
        <v>4</v>
      </c>
      <c r="S373" s="34"/>
      <c r="T373" s="34"/>
      <c r="U373" s="34"/>
      <c r="V373" s="34"/>
      <c r="W373" s="34"/>
      <c r="X373" s="34"/>
      <c r="Y373" s="34"/>
      <c r="Z373" s="34"/>
      <c r="AA373" s="34"/>
    </row>
    <row r="374" spans="1:27" ht="15">
      <c r="A374" s="66" t="s">
        <v>227</v>
      </c>
      <c r="B374" s="66" t="s">
        <v>560</v>
      </c>
      <c r="C374" s="67" t="s">
        <v>4454</v>
      </c>
      <c r="D374" s="68">
        <v>5</v>
      </c>
      <c r="E374" s="69"/>
      <c r="F374" s="70">
        <v>20</v>
      </c>
      <c r="G374" s="67"/>
      <c r="H374" s="71"/>
      <c r="I374" s="72"/>
      <c r="J374" s="72"/>
      <c r="K374" s="34" t="s">
        <v>65</v>
      </c>
      <c r="L374" s="79">
        <v>374</v>
      </c>
      <c r="M374" s="79"/>
      <c r="N374" s="74"/>
      <c r="O374" s="81" t="s">
        <v>944</v>
      </c>
      <c r="P374">
        <v>1</v>
      </c>
      <c r="Q374" s="80" t="str">
        <f>REPLACE(INDEX(GroupVertices[Group],MATCH(Edges[[#This Row],[Vertex 1]],GroupVertices[Vertex],0)),1,1,"")</f>
        <v>3</v>
      </c>
      <c r="R374" s="80" t="str">
        <f>REPLACE(INDEX(GroupVertices[Group],MATCH(Edges[[#This Row],[Vertex 2]],GroupVertices[Vertex],0)),1,1,"")</f>
        <v>4</v>
      </c>
      <c r="S374" s="34"/>
      <c r="T374" s="34"/>
      <c r="U374" s="34"/>
      <c r="V374" s="34"/>
      <c r="W374" s="34"/>
      <c r="X374" s="34"/>
      <c r="Y374" s="34"/>
      <c r="Z374" s="34"/>
      <c r="AA374" s="34"/>
    </row>
    <row r="375" spans="1:27" ht="15">
      <c r="A375" s="66" t="s">
        <v>234</v>
      </c>
      <c r="B375" s="66" t="s">
        <v>560</v>
      </c>
      <c r="C375" s="67" t="s">
        <v>4454</v>
      </c>
      <c r="D375" s="68">
        <v>5</v>
      </c>
      <c r="E375" s="69"/>
      <c r="F375" s="70">
        <v>20</v>
      </c>
      <c r="G375" s="67"/>
      <c r="H375" s="71"/>
      <c r="I375" s="72"/>
      <c r="J375" s="72"/>
      <c r="K375" s="34" t="s">
        <v>65</v>
      </c>
      <c r="L375" s="79">
        <v>375</v>
      </c>
      <c r="M375" s="79"/>
      <c r="N375" s="74"/>
      <c r="O375" s="81" t="s">
        <v>944</v>
      </c>
      <c r="P375">
        <v>1</v>
      </c>
      <c r="Q375" s="80" t="str">
        <f>REPLACE(INDEX(GroupVertices[Group],MATCH(Edges[[#This Row],[Vertex 1]],GroupVertices[Vertex],0)),1,1,"")</f>
        <v>4</v>
      </c>
      <c r="R375" s="80" t="str">
        <f>REPLACE(INDEX(GroupVertices[Group],MATCH(Edges[[#This Row],[Vertex 2]],GroupVertices[Vertex],0)),1,1,"")</f>
        <v>4</v>
      </c>
      <c r="S375" s="34"/>
      <c r="T375" s="34"/>
      <c r="U375" s="34"/>
      <c r="V375" s="34"/>
      <c r="W375" s="34"/>
      <c r="X375" s="34"/>
      <c r="Y375" s="34"/>
      <c r="Z375" s="34"/>
      <c r="AA375" s="34"/>
    </row>
    <row r="376" spans="1:27" ht="15">
      <c r="A376" s="66" t="s">
        <v>234</v>
      </c>
      <c r="B376" s="66" t="s">
        <v>561</v>
      </c>
      <c r="C376" s="67" t="s">
        <v>4454</v>
      </c>
      <c r="D376" s="68">
        <v>5</v>
      </c>
      <c r="E376" s="69"/>
      <c r="F376" s="70">
        <v>20</v>
      </c>
      <c r="G376" s="67"/>
      <c r="H376" s="71"/>
      <c r="I376" s="72"/>
      <c r="J376" s="72"/>
      <c r="K376" s="34"/>
      <c r="L376" s="79">
        <v>376</v>
      </c>
      <c r="M376" s="79"/>
      <c r="N376" s="74"/>
      <c r="O376" s="81" t="s">
        <v>944</v>
      </c>
      <c r="P376">
        <v>1</v>
      </c>
      <c r="Q376" s="80" t="str">
        <f>REPLACE(INDEX(GroupVertices[Group],MATCH(Edges[[#This Row],[Vertex 1]],GroupVertices[Vertex],0)),1,1,"")</f>
        <v>4</v>
      </c>
      <c r="R376" s="80" t="e">
        <f>REPLACE(INDEX(GroupVertices[Group],MATCH(Edges[[#This Row],[Vertex 2]],GroupVertices[Vertex],0)),1,1,"")</f>
        <v>#N/A</v>
      </c>
      <c r="S376" s="34"/>
      <c r="T376" s="34"/>
      <c r="U376" s="34"/>
      <c r="V376" s="34"/>
      <c r="W376" s="34"/>
      <c r="X376" s="34"/>
      <c r="Y376" s="34"/>
      <c r="Z376" s="34"/>
      <c r="AA376" s="34"/>
    </row>
    <row r="377" spans="1:27" ht="15">
      <c r="A377" s="66" t="s">
        <v>234</v>
      </c>
      <c r="B377" s="66" t="s">
        <v>562</v>
      </c>
      <c r="C377" s="67" t="s">
        <v>4454</v>
      </c>
      <c r="D377" s="68">
        <v>5</v>
      </c>
      <c r="E377" s="69"/>
      <c r="F377" s="70">
        <v>20</v>
      </c>
      <c r="G377" s="67"/>
      <c r="H377" s="71"/>
      <c r="I377" s="72"/>
      <c r="J377" s="72"/>
      <c r="K377" s="34"/>
      <c r="L377" s="79">
        <v>377</v>
      </c>
      <c r="M377" s="79"/>
      <c r="N377" s="74"/>
      <c r="O377" s="81" t="s">
        <v>944</v>
      </c>
      <c r="P377">
        <v>1</v>
      </c>
      <c r="Q377" s="80" t="str">
        <f>REPLACE(INDEX(GroupVertices[Group],MATCH(Edges[[#This Row],[Vertex 1]],GroupVertices[Vertex],0)),1,1,"")</f>
        <v>4</v>
      </c>
      <c r="R377" s="80" t="e">
        <f>REPLACE(INDEX(GroupVertices[Group],MATCH(Edges[[#This Row],[Vertex 2]],GroupVertices[Vertex],0)),1,1,"")</f>
        <v>#N/A</v>
      </c>
      <c r="S377" s="34"/>
      <c r="T377" s="34"/>
      <c r="U377" s="34"/>
      <c r="V377" s="34"/>
      <c r="W377" s="34"/>
      <c r="X377" s="34"/>
      <c r="Y377" s="34"/>
      <c r="Z377" s="34"/>
      <c r="AA377" s="34"/>
    </row>
    <row r="378" spans="1:27" ht="15">
      <c r="A378" s="66" t="s">
        <v>213</v>
      </c>
      <c r="B378" s="66" t="s">
        <v>563</v>
      </c>
      <c r="C378" s="67" t="s">
        <v>4454</v>
      </c>
      <c r="D378" s="68">
        <v>5</v>
      </c>
      <c r="E378" s="69"/>
      <c r="F378" s="70">
        <v>20</v>
      </c>
      <c r="G378" s="67"/>
      <c r="H378" s="71"/>
      <c r="I378" s="72"/>
      <c r="J378" s="72"/>
      <c r="K378" s="34" t="s">
        <v>65</v>
      </c>
      <c r="L378" s="79">
        <v>378</v>
      </c>
      <c r="M378" s="79"/>
      <c r="N378" s="74"/>
      <c r="O378" s="81" t="s">
        <v>944</v>
      </c>
      <c r="P378">
        <v>1</v>
      </c>
      <c r="Q378" s="80" t="str">
        <f>REPLACE(INDEX(GroupVertices[Group],MATCH(Edges[[#This Row],[Vertex 1]],GroupVertices[Vertex],0)),1,1,"")</f>
        <v>2</v>
      </c>
      <c r="R378" s="80" t="str">
        <f>REPLACE(INDEX(GroupVertices[Group],MATCH(Edges[[#This Row],[Vertex 2]],GroupVertices[Vertex],0)),1,1,"")</f>
        <v>2</v>
      </c>
      <c r="S378" s="34"/>
      <c r="T378" s="34"/>
      <c r="U378" s="34"/>
      <c r="V378" s="34"/>
      <c r="W378" s="34"/>
      <c r="X378" s="34"/>
      <c r="Y378" s="34"/>
      <c r="Z378" s="34"/>
      <c r="AA378" s="34"/>
    </row>
    <row r="379" spans="1:27" ht="15">
      <c r="A379" s="66" t="s">
        <v>224</v>
      </c>
      <c r="B379" s="66" t="s">
        <v>563</v>
      </c>
      <c r="C379" s="67" t="s">
        <v>4454</v>
      </c>
      <c r="D379" s="68">
        <v>5</v>
      </c>
      <c r="E379" s="69"/>
      <c r="F379" s="70">
        <v>20</v>
      </c>
      <c r="G379" s="67"/>
      <c r="H379" s="71"/>
      <c r="I379" s="72"/>
      <c r="J379" s="72"/>
      <c r="K379" s="34" t="s">
        <v>65</v>
      </c>
      <c r="L379" s="79">
        <v>379</v>
      </c>
      <c r="M379" s="79"/>
      <c r="N379" s="74"/>
      <c r="O379" s="81" t="s">
        <v>944</v>
      </c>
      <c r="P379">
        <v>1</v>
      </c>
      <c r="Q379" s="80" t="str">
        <f>REPLACE(INDEX(GroupVertices[Group],MATCH(Edges[[#This Row],[Vertex 1]],GroupVertices[Vertex],0)),1,1,"")</f>
        <v>2</v>
      </c>
      <c r="R379" s="80" t="str">
        <f>REPLACE(INDEX(GroupVertices[Group],MATCH(Edges[[#This Row],[Vertex 2]],GroupVertices[Vertex],0)),1,1,"")</f>
        <v>2</v>
      </c>
      <c r="S379" s="34"/>
      <c r="T379" s="34"/>
      <c r="U379" s="34"/>
      <c r="V379" s="34"/>
      <c r="W379" s="34"/>
      <c r="X379" s="34"/>
      <c r="Y379" s="34"/>
      <c r="Z379" s="34"/>
      <c r="AA379" s="34"/>
    </row>
    <row r="380" spans="1:27" ht="15">
      <c r="A380" s="66" t="s">
        <v>235</v>
      </c>
      <c r="B380" s="66" t="s">
        <v>563</v>
      </c>
      <c r="C380" s="67" t="s">
        <v>4454</v>
      </c>
      <c r="D380" s="68">
        <v>5</v>
      </c>
      <c r="E380" s="69"/>
      <c r="F380" s="70">
        <v>20</v>
      </c>
      <c r="G380" s="67"/>
      <c r="H380" s="71"/>
      <c r="I380" s="72"/>
      <c r="J380" s="72"/>
      <c r="K380" s="34" t="s">
        <v>65</v>
      </c>
      <c r="L380" s="79">
        <v>380</v>
      </c>
      <c r="M380" s="79"/>
      <c r="N380" s="74"/>
      <c r="O380" s="81" t="s">
        <v>944</v>
      </c>
      <c r="P380">
        <v>1</v>
      </c>
      <c r="Q380" s="80" t="str">
        <f>REPLACE(INDEX(GroupVertices[Group],MATCH(Edges[[#This Row],[Vertex 1]],GroupVertices[Vertex],0)),1,1,"")</f>
        <v>2</v>
      </c>
      <c r="R380" s="80" t="str">
        <f>REPLACE(INDEX(GroupVertices[Group],MATCH(Edges[[#This Row],[Vertex 2]],GroupVertices[Vertex],0)),1,1,"")</f>
        <v>2</v>
      </c>
      <c r="S380" s="34"/>
      <c r="T380" s="34"/>
      <c r="U380" s="34"/>
      <c r="V380" s="34"/>
      <c r="W380" s="34"/>
      <c r="X380" s="34"/>
      <c r="Y380" s="34"/>
      <c r="Z380" s="34"/>
      <c r="AA380" s="34"/>
    </row>
    <row r="381" spans="1:27" ht="15">
      <c r="A381" s="66" t="s">
        <v>235</v>
      </c>
      <c r="B381" s="66" t="s">
        <v>564</v>
      </c>
      <c r="C381" s="67" t="s">
        <v>4454</v>
      </c>
      <c r="D381" s="68">
        <v>5</v>
      </c>
      <c r="E381" s="69"/>
      <c r="F381" s="70">
        <v>20</v>
      </c>
      <c r="G381" s="67"/>
      <c r="H381" s="71"/>
      <c r="I381" s="72"/>
      <c r="J381" s="72"/>
      <c r="K381" s="34"/>
      <c r="L381" s="79">
        <v>381</v>
      </c>
      <c r="M381" s="79"/>
      <c r="N381" s="74"/>
      <c r="O381" s="81" t="s">
        <v>944</v>
      </c>
      <c r="P381">
        <v>1</v>
      </c>
      <c r="Q381" s="80" t="str">
        <f>REPLACE(INDEX(GroupVertices[Group],MATCH(Edges[[#This Row],[Vertex 1]],GroupVertices[Vertex],0)),1,1,"")</f>
        <v>2</v>
      </c>
      <c r="R381" s="80" t="e">
        <f>REPLACE(INDEX(GroupVertices[Group],MATCH(Edges[[#This Row],[Vertex 2]],GroupVertices[Vertex],0)),1,1,"")</f>
        <v>#N/A</v>
      </c>
      <c r="S381" s="34"/>
      <c r="T381" s="34"/>
      <c r="U381" s="34"/>
      <c r="V381" s="34"/>
      <c r="W381" s="34"/>
      <c r="X381" s="34"/>
      <c r="Y381" s="34"/>
      <c r="Z381" s="34"/>
      <c r="AA381" s="34"/>
    </row>
    <row r="382" spans="1:27" ht="15">
      <c r="A382" s="66" t="s">
        <v>220</v>
      </c>
      <c r="B382" s="66" t="s">
        <v>513</v>
      </c>
      <c r="C382" s="67" t="s">
        <v>4454</v>
      </c>
      <c r="D382" s="68">
        <v>5</v>
      </c>
      <c r="E382" s="69"/>
      <c r="F382" s="70">
        <v>20</v>
      </c>
      <c r="G382" s="67"/>
      <c r="H382" s="71"/>
      <c r="I382" s="72"/>
      <c r="J382" s="72"/>
      <c r="K382" s="34" t="s">
        <v>65</v>
      </c>
      <c r="L382" s="79">
        <v>382</v>
      </c>
      <c r="M382" s="79"/>
      <c r="N382" s="74"/>
      <c r="O382" s="81" t="s">
        <v>944</v>
      </c>
      <c r="P382">
        <v>1</v>
      </c>
      <c r="Q382" s="80" t="str">
        <f>REPLACE(INDEX(GroupVertices[Group],MATCH(Edges[[#This Row],[Vertex 1]],GroupVertices[Vertex],0)),1,1,"")</f>
        <v>2</v>
      </c>
      <c r="R382" s="80" t="str">
        <f>REPLACE(INDEX(GroupVertices[Group],MATCH(Edges[[#This Row],[Vertex 2]],GroupVertices[Vertex],0)),1,1,"")</f>
        <v>2</v>
      </c>
      <c r="S382" s="34"/>
      <c r="T382" s="34"/>
      <c r="U382" s="34"/>
      <c r="V382" s="34"/>
      <c r="W382" s="34"/>
      <c r="X382" s="34"/>
      <c r="Y382" s="34"/>
      <c r="Z382" s="34"/>
      <c r="AA382" s="34"/>
    </row>
    <row r="383" spans="1:27" ht="15">
      <c r="A383" s="66" t="s">
        <v>235</v>
      </c>
      <c r="B383" s="66" t="s">
        <v>513</v>
      </c>
      <c r="C383" s="67" t="s">
        <v>4454</v>
      </c>
      <c r="D383" s="68">
        <v>5</v>
      </c>
      <c r="E383" s="69"/>
      <c r="F383" s="70">
        <v>20</v>
      </c>
      <c r="G383" s="67"/>
      <c r="H383" s="71"/>
      <c r="I383" s="72"/>
      <c r="J383" s="72"/>
      <c r="K383" s="34" t="s">
        <v>65</v>
      </c>
      <c r="L383" s="79">
        <v>383</v>
      </c>
      <c r="M383" s="79"/>
      <c r="N383" s="74"/>
      <c r="O383" s="81" t="s">
        <v>944</v>
      </c>
      <c r="P383">
        <v>1</v>
      </c>
      <c r="Q383" s="80" t="str">
        <f>REPLACE(INDEX(GroupVertices[Group],MATCH(Edges[[#This Row],[Vertex 1]],GroupVertices[Vertex],0)),1,1,"")</f>
        <v>2</v>
      </c>
      <c r="R383" s="80" t="str">
        <f>REPLACE(INDEX(GroupVertices[Group],MATCH(Edges[[#This Row],[Vertex 2]],GroupVertices[Vertex],0)),1,1,"")</f>
        <v>2</v>
      </c>
      <c r="S383" s="34"/>
      <c r="T383" s="34"/>
      <c r="U383" s="34"/>
      <c r="V383" s="34"/>
      <c r="W383" s="34"/>
      <c r="X383" s="34"/>
      <c r="Y383" s="34"/>
      <c r="Z383" s="34"/>
      <c r="AA383" s="34"/>
    </row>
    <row r="384" spans="1:27" ht="15">
      <c r="A384" s="66" t="s">
        <v>212</v>
      </c>
      <c r="B384" s="66" t="s">
        <v>509</v>
      </c>
      <c r="C384" s="67" t="s">
        <v>4454</v>
      </c>
      <c r="D384" s="68">
        <v>5</v>
      </c>
      <c r="E384" s="69"/>
      <c r="F384" s="70">
        <v>20</v>
      </c>
      <c r="G384" s="67"/>
      <c r="H384" s="71"/>
      <c r="I384" s="72"/>
      <c r="J384" s="72"/>
      <c r="K384" s="34"/>
      <c r="L384" s="79">
        <v>384</v>
      </c>
      <c r="M384" s="79"/>
      <c r="N384" s="74"/>
      <c r="O384" s="81" t="s">
        <v>944</v>
      </c>
      <c r="P384">
        <v>1</v>
      </c>
      <c r="Q384" s="80" t="e">
        <f>REPLACE(INDEX(GroupVertices[Group],MATCH(Edges[[#This Row],[Vertex 1]],GroupVertices[Vertex],0)),1,1,"")</f>
        <v>#N/A</v>
      </c>
      <c r="R384" s="80" t="str">
        <f>REPLACE(INDEX(GroupVertices[Group],MATCH(Edges[[#This Row],[Vertex 2]],GroupVertices[Vertex],0)),1,1,"")</f>
        <v>2</v>
      </c>
      <c r="S384" s="34"/>
      <c r="T384" s="34"/>
      <c r="U384" s="34"/>
      <c r="V384" s="34"/>
      <c r="W384" s="34"/>
      <c r="X384" s="34"/>
      <c r="Y384" s="34"/>
      <c r="Z384" s="34"/>
      <c r="AA384" s="34"/>
    </row>
    <row r="385" spans="1:27" ht="15">
      <c r="A385" s="66" t="s">
        <v>213</v>
      </c>
      <c r="B385" s="66" t="s">
        <v>509</v>
      </c>
      <c r="C385" s="67" t="s">
        <v>4454</v>
      </c>
      <c r="D385" s="68">
        <v>5</v>
      </c>
      <c r="E385" s="69"/>
      <c r="F385" s="70">
        <v>20</v>
      </c>
      <c r="G385" s="67"/>
      <c r="H385" s="71"/>
      <c r="I385" s="72"/>
      <c r="J385" s="72"/>
      <c r="K385" s="34" t="s">
        <v>65</v>
      </c>
      <c r="L385" s="79">
        <v>385</v>
      </c>
      <c r="M385" s="79"/>
      <c r="N385" s="74"/>
      <c r="O385" s="81" t="s">
        <v>944</v>
      </c>
      <c r="P385">
        <v>1</v>
      </c>
      <c r="Q385" s="80" t="str">
        <f>REPLACE(INDEX(GroupVertices[Group],MATCH(Edges[[#This Row],[Vertex 1]],GroupVertices[Vertex],0)),1,1,"")</f>
        <v>2</v>
      </c>
      <c r="R385" s="80" t="str">
        <f>REPLACE(INDEX(GroupVertices[Group],MATCH(Edges[[#This Row],[Vertex 2]],GroupVertices[Vertex],0)),1,1,"")</f>
        <v>2</v>
      </c>
      <c r="S385" s="34"/>
      <c r="T385" s="34"/>
      <c r="U385" s="34"/>
      <c r="V385" s="34"/>
      <c r="W385" s="34"/>
      <c r="X385" s="34"/>
      <c r="Y385" s="34"/>
      <c r="Z385" s="34"/>
      <c r="AA385" s="34"/>
    </row>
    <row r="386" spans="1:27" ht="15">
      <c r="A386" s="66" t="s">
        <v>220</v>
      </c>
      <c r="B386" s="66" t="s">
        <v>509</v>
      </c>
      <c r="C386" s="67" t="s">
        <v>4454</v>
      </c>
      <c r="D386" s="68">
        <v>5</v>
      </c>
      <c r="E386" s="69"/>
      <c r="F386" s="70">
        <v>20</v>
      </c>
      <c r="G386" s="67"/>
      <c r="H386" s="71"/>
      <c r="I386" s="72"/>
      <c r="J386" s="72"/>
      <c r="K386" s="34" t="s">
        <v>65</v>
      </c>
      <c r="L386" s="79">
        <v>386</v>
      </c>
      <c r="M386" s="79"/>
      <c r="N386" s="74"/>
      <c r="O386" s="81" t="s">
        <v>944</v>
      </c>
      <c r="P386">
        <v>1</v>
      </c>
      <c r="Q386" s="80" t="str">
        <f>REPLACE(INDEX(GroupVertices[Group],MATCH(Edges[[#This Row],[Vertex 1]],GroupVertices[Vertex],0)),1,1,"")</f>
        <v>2</v>
      </c>
      <c r="R386" s="80" t="str">
        <f>REPLACE(INDEX(GroupVertices[Group],MATCH(Edges[[#This Row],[Vertex 2]],GroupVertices[Vertex],0)),1,1,"")</f>
        <v>2</v>
      </c>
      <c r="S386" s="34"/>
      <c r="T386" s="34"/>
      <c r="U386" s="34"/>
      <c r="V386" s="34"/>
      <c r="W386" s="34"/>
      <c r="X386" s="34"/>
      <c r="Y386" s="34"/>
      <c r="Z386" s="34"/>
      <c r="AA386" s="34"/>
    </row>
    <row r="387" spans="1:27" ht="15">
      <c r="A387" s="66" t="s">
        <v>221</v>
      </c>
      <c r="B387" s="66" t="s">
        <v>509</v>
      </c>
      <c r="C387" s="67" t="s">
        <v>4454</v>
      </c>
      <c r="D387" s="68">
        <v>5</v>
      </c>
      <c r="E387" s="69"/>
      <c r="F387" s="70">
        <v>20</v>
      </c>
      <c r="G387" s="67"/>
      <c r="H387" s="71"/>
      <c r="I387" s="72"/>
      <c r="J387" s="72"/>
      <c r="K387" s="34" t="s">
        <v>65</v>
      </c>
      <c r="L387" s="79">
        <v>387</v>
      </c>
      <c r="M387" s="79"/>
      <c r="N387" s="74"/>
      <c r="O387" s="81" t="s">
        <v>944</v>
      </c>
      <c r="P387">
        <v>1</v>
      </c>
      <c r="Q387" s="80" t="str">
        <f>REPLACE(INDEX(GroupVertices[Group],MATCH(Edges[[#This Row],[Vertex 1]],GroupVertices[Vertex],0)),1,1,"")</f>
        <v>2</v>
      </c>
      <c r="R387" s="80" t="str">
        <f>REPLACE(INDEX(GroupVertices[Group],MATCH(Edges[[#This Row],[Vertex 2]],GroupVertices[Vertex],0)),1,1,"")</f>
        <v>2</v>
      </c>
      <c r="S387" s="34"/>
      <c r="T387" s="34"/>
      <c r="U387" s="34"/>
      <c r="V387" s="34"/>
      <c r="W387" s="34"/>
      <c r="X387" s="34"/>
      <c r="Y387" s="34"/>
      <c r="Z387" s="34"/>
      <c r="AA387" s="34"/>
    </row>
    <row r="388" spans="1:27" ht="15">
      <c r="A388" s="66" t="s">
        <v>235</v>
      </c>
      <c r="B388" s="66" t="s">
        <v>509</v>
      </c>
      <c r="C388" s="67" t="s">
        <v>4454</v>
      </c>
      <c r="D388" s="68">
        <v>5</v>
      </c>
      <c r="E388" s="69"/>
      <c r="F388" s="70">
        <v>20</v>
      </c>
      <c r="G388" s="67"/>
      <c r="H388" s="71"/>
      <c r="I388" s="72"/>
      <c r="J388" s="72"/>
      <c r="K388" s="34" t="s">
        <v>65</v>
      </c>
      <c r="L388" s="79">
        <v>388</v>
      </c>
      <c r="M388" s="79"/>
      <c r="N388" s="74"/>
      <c r="O388" s="81" t="s">
        <v>944</v>
      </c>
      <c r="P388">
        <v>1</v>
      </c>
      <c r="Q388" s="80" t="str">
        <f>REPLACE(INDEX(GroupVertices[Group],MATCH(Edges[[#This Row],[Vertex 1]],GroupVertices[Vertex],0)),1,1,"")</f>
        <v>2</v>
      </c>
      <c r="R388" s="80" t="str">
        <f>REPLACE(INDEX(GroupVertices[Group],MATCH(Edges[[#This Row],[Vertex 2]],GroupVertices[Vertex],0)),1,1,"")</f>
        <v>2</v>
      </c>
      <c r="S388" s="34"/>
      <c r="T388" s="34"/>
      <c r="U388" s="34"/>
      <c r="V388" s="34"/>
      <c r="W388" s="34"/>
      <c r="X388" s="34"/>
      <c r="Y388" s="34"/>
      <c r="Z388" s="34"/>
      <c r="AA388" s="34"/>
    </row>
    <row r="389" spans="1:27" ht="15">
      <c r="A389" s="66" t="s">
        <v>214</v>
      </c>
      <c r="B389" s="66" t="s">
        <v>565</v>
      </c>
      <c r="C389" s="67" t="s">
        <v>4454</v>
      </c>
      <c r="D389" s="68">
        <v>5</v>
      </c>
      <c r="E389" s="69"/>
      <c r="F389" s="70">
        <v>20</v>
      </c>
      <c r="G389" s="67"/>
      <c r="H389" s="71"/>
      <c r="I389" s="72"/>
      <c r="J389" s="72"/>
      <c r="K389" s="34" t="s">
        <v>65</v>
      </c>
      <c r="L389" s="79">
        <v>389</v>
      </c>
      <c r="M389" s="79"/>
      <c r="N389" s="74"/>
      <c r="O389" s="81" t="s">
        <v>944</v>
      </c>
      <c r="P389">
        <v>1</v>
      </c>
      <c r="Q389" s="80" t="str">
        <f>REPLACE(INDEX(GroupVertices[Group],MATCH(Edges[[#This Row],[Vertex 1]],GroupVertices[Vertex],0)),1,1,"")</f>
        <v>1</v>
      </c>
      <c r="R389" s="80" t="str">
        <f>REPLACE(INDEX(GroupVertices[Group],MATCH(Edges[[#This Row],[Vertex 2]],GroupVertices[Vertex],0)),1,1,"")</f>
        <v>1</v>
      </c>
      <c r="S389" s="34"/>
      <c r="T389" s="34"/>
      <c r="U389" s="34"/>
      <c r="V389" s="34"/>
      <c r="W389" s="34"/>
      <c r="X389" s="34"/>
      <c r="Y389" s="34"/>
      <c r="Z389" s="34"/>
      <c r="AA389" s="34"/>
    </row>
    <row r="390" spans="1:27" ht="15">
      <c r="A390" s="66" t="s">
        <v>231</v>
      </c>
      <c r="B390" s="66" t="s">
        <v>565</v>
      </c>
      <c r="C390" s="67" t="s">
        <v>4454</v>
      </c>
      <c r="D390" s="68">
        <v>5</v>
      </c>
      <c r="E390" s="69"/>
      <c r="F390" s="70">
        <v>20</v>
      </c>
      <c r="G390" s="67"/>
      <c r="H390" s="71"/>
      <c r="I390" s="72"/>
      <c r="J390" s="72"/>
      <c r="K390" s="34" t="s">
        <v>65</v>
      </c>
      <c r="L390" s="79">
        <v>390</v>
      </c>
      <c r="M390" s="79"/>
      <c r="N390" s="74"/>
      <c r="O390" s="81" t="s">
        <v>944</v>
      </c>
      <c r="P390">
        <v>1</v>
      </c>
      <c r="Q390" s="80" t="str">
        <f>REPLACE(INDEX(GroupVertices[Group],MATCH(Edges[[#This Row],[Vertex 1]],GroupVertices[Vertex],0)),1,1,"")</f>
        <v>1</v>
      </c>
      <c r="R390" s="80" t="str">
        <f>REPLACE(INDEX(GroupVertices[Group],MATCH(Edges[[#This Row],[Vertex 2]],GroupVertices[Vertex],0)),1,1,"")</f>
        <v>1</v>
      </c>
      <c r="S390" s="34"/>
      <c r="T390" s="34"/>
      <c r="U390" s="34"/>
      <c r="V390" s="34"/>
      <c r="W390" s="34"/>
      <c r="X390" s="34"/>
      <c r="Y390" s="34"/>
      <c r="Z390" s="34"/>
      <c r="AA390" s="34"/>
    </row>
    <row r="391" spans="1:27" ht="15">
      <c r="A391" s="66" t="s">
        <v>232</v>
      </c>
      <c r="B391" s="66" t="s">
        <v>565</v>
      </c>
      <c r="C391" s="67" t="s">
        <v>4454</v>
      </c>
      <c r="D391" s="68">
        <v>5</v>
      </c>
      <c r="E391" s="69"/>
      <c r="F391" s="70">
        <v>20</v>
      </c>
      <c r="G391" s="67"/>
      <c r="H391" s="71"/>
      <c r="I391" s="72"/>
      <c r="J391" s="72"/>
      <c r="K391" s="34" t="s">
        <v>65</v>
      </c>
      <c r="L391" s="79">
        <v>391</v>
      </c>
      <c r="M391" s="79"/>
      <c r="N391" s="74"/>
      <c r="O391" s="81" t="s">
        <v>944</v>
      </c>
      <c r="P391">
        <v>1</v>
      </c>
      <c r="Q391" s="80" t="str">
        <f>REPLACE(INDEX(GroupVertices[Group],MATCH(Edges[[#This Row],[Vertex 1]],GroupVertices[Vertex],0)),1,1,"")</f>
        <v>1</v>
      </c>
      <c r="R391" s="80" t="str">
        <f>REPLACE(INDEX(GroupVertices[Group],MATCH(Edges[[#This Row],[Vertex 2]],GroupVertices[Vertex],0)),1,1,"")</f>
        <v>1</v>
      </c>
      <c r="S391" s="34"/>
      <c r="T391" s="34"/>
      <c r="U391" s="34"/>
      <c r="V391" s="34"/>
      <c r="W391" s="34"/>
      <c r="X391" s="34"/>
      <c r="Y391" s="34"/>
      <c r="Z391" s="34"/>
      <c r="AA391" s="34"/>
    </row>
    <row r="392" spans="1:27" ht="15">
      <c r="A392" s="66" t="s">
        <v>235</v>
      </c>
      <c r="B392" s="66" t="s">
        <v>565</v>
      </c>
      <c r="C392" s="67" t="s">
        <v>4454</v>
      </c>
      <c r="D392" s="68">
        <v>5</v>
      </c>
      <c r="E392" s="69"/>
      <c r="F392" s="70">
        <v>20</v>
      </c>
      <c r="G392" s="67"/>
      <c r="H392" s="71"/>
      <c r="I392" s="72"/>
      <c r="J392" s="72"/>
      <c r="K392" s="34" t="s">
        <v>65</v>
      </c>
      <c r="L392" s="79">
        <v>392</v>
      </c>
      <c r="M392" s="79"/>
      <c r="N392" s="74"/>
      <c r="O392" s="81" t="s">
        <v>944</v>
      </c>
      <c r="P392">
        <v>1</v>
      </c>
      <c r="Q392" s="80" t="str">
        <f>REPLACE(INDEX(GroupVertices[Group],MATCH(Edges[[#This Row],[Vertex 1]],GroupVertices[Vertex],0)),1,1,"")</f>
        <v>2</v>
      </c>
      <c r="R392" s="80" t="str">
        <f>REPLACE(INDEX(GroupVertices[Group],MATCH(Edges[[#This Row],[Vertex 2]],GroupVertices[Vertex],0)),1,1,"")</f>
        <v>1</v>
      </c>
      <c r="S392" s="34"/>
      <c r="T392" s="34"/>
      <c r="U392" s="34"/>
      <c r="V392" s="34"/>
      <c r="W392" s="34"/>
      <c r="X392" s="34"/>
      <c r="Y392" s="34"/>
      <c r="Z392" s="34"/>
      <c r="AA392" s="34"/>
    </row>
    <row r="393" spans="1:27" ht="15">
      <c r="A393" s="66" t="s">
        <v>213</v>
      </c>
      <c r="B393" s="66" t="s">
        <v>566</v>
      </c>
      <c r="C393" s="67" t="s">
        <v>4454</v>
      </c>
      <c r="D393" s="68">
        <v>5</v>
      </c>
      <c r="E393" s="69"/>
      <c r="F393" s="70">
        <v>20</v>
      </c>
      <c r="G393" s="67"/>
      <c r="H393" s="71"/>
      <c r="I393" s="72"/>
      <c r="J393" s="72"/>
      <c r="K393" s="34" t="s">
        <v>65</v>
      </c>
      <c r="L393" s="79">
        <v>393</v>
      </c>
      <c r="M393" s="79"/>
      <c r="N393" s="74"/>
      <c r="O393" s="81" t="s">
        <v>944</v>
      </c>
      <c r="P393">
        <v>1</v>
      </c>
      <c r="Q393" s="80" t="str">
        <f>REPLACE(INDEX(GroupVertices[Group],MATCH(Edges[[#This Row],[Vertex 1]],GroupVertices[Vertex],0)),1,1,"")</f>
        <v>2</v>
      </c>
      <c r="R393" s="80" t="str">
        <f>REPLACE(INDEX(GroupVertices[Group],MATCH(Edges[[#This Row],[Vertex 2]],GroupVertices[Vertex],0)),1,1,"")</f>
        <v>2</v>
      </c>
      <c r="S393" s="34"/>
      <c r="T393" s="34"/>
      <c r="U393" s="34"/>
      <c r="V393" s="34"/>
      <c r="W393" s="34"/>
      <c r="X393" s="34"/>
      <c r="Y393" s="34"/>
      <c r="Z393" s="34"/>
      <c r="AA393" s="34"/>
    </row>
    <row r="394" spans="1:27" ht="15">
      <c r="A394" s="66" t="s">
        <v>224</v>
      </c>
      <c r="B394" s="66" t="s">
        <v>566</v>
      </c>
      <c r="C394" s="67" t="s">
        <v>4454</v>
      </c>
      <c r="D394" s="68">
        <v>5</v>
      </c>
      <c r="E394" s="69"/>
      <c r="F394" s="70">
        <v>20</v>
      </c>
      <c r="G394" s="67"/>
      <c r="H394" s="71"/>
      <c r="I394" s="72"/>
      <c r="J394" s="72"/>
      <c r="K394" s="34" t="s">
        <v>65</v>
      </c>
      <c r="L394" s="79">
        <v>394</v>
      </c>
      <c r="M394" s="79"/>
      <c r="N394" s="74"/>
      <c r="O394" s="81" t="s">
        <v>944</v>
      </c>
      <c r="P394">
        <v>1</v>
      </c>
      <c r="Q394" s="80" t="str">
        <f>REPLACE(INDEX(GroupVertices[Group],MATCH(Edges[[#This Row],[Vertex 1]],GroupVertices[Vertex],0)),1,1,"")</f>
        <v>2</v>
      </c>
      <c r="R394" s="80" t="str">
        <f>REPLACE(INDEX(GroupVertices[Group],MATCH(Edges[[#This Row],[Vertex 2]],GroupVertices[Vertex],0)),1,1,"")</f>
        <v>2</v>
      </c>
      <c r="S394" s="34"/>
      <c r="T394" s="34"/>
      <c r="U394" s="34"/>
      <c r="V394" s="34"/>
      <c r="W394" s="34"/>
      <c r="X394" s="34"/>
      <c r="Y394" s="34"/>
      <c r="Z394" s="34"/>
      <c r="AA394" s="34"/>
    </row>
    <row r="395" spans="1:27" ht="15">
      <c r="A395" s="66" t="s">
        <v>235</v>
      </c>
      <c r="B395" s="66" t="s">
        <v>566</v>
      </c>
      <c r="C395" s="67" t="s">
        <v>4454</v>
      </c>
      <c r="D395" s="68">
        <v>5</v>
      </c>
      <c r="E395" s="69"/>
      <c r="F395" s="70">
        <v>20</v>
      </c>
      <c r="G395" s="67"/>
      <c r="H395" s="71"/>
      <c r="I395" s="72"/>
      <c r="J395" s="72"/>
      <c r="K395" s="34" t="s">
        <v>65</v>
      </c>
      <c r="L395" s="79">
        <v>395</v>
      </c>
      <c r="M395" s="79"/>
      <c r="N395" s="74"/>
      <c r="O395" s="81" t="s">
        <v>944</v>
      </c>
      <c r="P395">
        <v>1</v>
      </c>
      <c r="Q395" s="80" t="str">
        <f>REPLACE(INDEX(GroupVertices[Group],MATCH(Edges[[#This Row],[Vertex 1]],GroupVertices[Vertex],0)),1,1,"")</f>
        <v>2</v>
      </c>
      <c r="R395" s="80" t="str">
        <f>REPLACE(INDEX(GroupVertices[Group],MATCH(Edges[[#This Row],[Vertex 2]],GroupVertices[Vertex],0)),1,1,"")</f>
        <v>2</v>
      </c>
      <c r="S395" s="34"/>
      <c r="T395" s="34"/>
      <c r="U395" s="34"/>
      <c r="V395" s="34"/>
      <c r="W395" s="34"/>
      <c r="X395" s="34"/>
      <c r="Y395" s="34"/>
      <c r="Z395" s="34"/>
      <c r="AA395" s="34"/>
    </row>
    <row r="396" spans="1:27" ht="15">
      <c r="A396" s="66" t="s">
        <v>213</v>
      </c>
      <c r="B396" s="66" t="s">
        <v>567</v>
      </c>
      <c r="C396" s="67" t="s">
        <v>4454</v>
      </c>
      <c r="D396" s="68">
        <v>5</v>
      </c>
      <c r="E396" s="69"/>
      <c r="F396" s="70">
        <v>20</v>
      </c>
      <c r="G396" s="67"/>
      <c r="H396" s="71"/>
      <c r="I396" s="72"/>
      <c r="J396" s="72"/>
      <c r="K396" s="34" t="s">
        <v>65</v>
      </c>
      <c r="L396" s="79">
        <v>396</v>
      </c>
      <c r="M396" s="79"/>
      <c r="N396" s="74"/>
      <c r="O396" s="81" t="s">
        <v>944</v>
      </c>
      <c r="P396">
        <v>1</v>
      </c>
      <c r="Q396" s="80" t="str">
        <f>REPLACE(INDEX(GroupVertices[Group],MATCH(Edges[[#This Row],[Vertex 1]],GroupVertices[Vertex],0)),1,1,"")</f>
        <v>2</v>
      </c>
      <c r="R396" s="80" t="str">
        <f>REPLACE(INDEX(GroupVertices[Group],MATCH(Edges[[#This Row],[Vertex 2]],GroupVertices[Vertex],0)),1,1,"")</f>
        <v>2</v>
      </c>
      <c r="S396" s="34"/>
      <c r="T396" s="34"/>
      <c r="U396" s="34"/>
      <c r="V396" s="34"/>
      <c r="W396" s="34"/>
      <c r="X396" s="34"/>
      <c r="Y396" s="34"/>
      <c r="Z396" s="34"/>
      <c r="AA396" s="34"/>
    </row>
    <row r="397" spans="1:27" ht="15">
      <c r="A397" s="66" t="s">
        <v>224</v>
      </c>
      <c r="B397" s="66" t="s">
        <v>567</v>
      </c>
      <c r="C397" s="67" t="s">
        <v>4454</v>
      </c>
      <c r="D397" s="68">
        <v>5</v>
      </c>
      <c r="E397" s="69"/>
      <c r="F397" s="70">
        <v>20</v>
      </c>
      <c r="G397" s="67"/>
      <c r="H397" s="71"/>
      <c r="I397" s="72"/>
      <c r="J397" s="72"/>
      <c r="K397" s="34" t="s">
        <v>65</v>
      </c>
      <c r="L397" s="79">
        <v>397</v>
      </c>
      <c r="M397" s="79"/>
      <c r="N397" s="74"/>
      <c r="O397" s="81" t="s">
        <v>944</v>
      </c>
      <c r="P397">
        <v>1</v>
      </c>
      <c r="Q397" s="80" t="str">
        <f>REPLACE(INDEX(GroupVertices[Group],MATCH(Edges[[#This Row],[Vertex 1]],GroupVertices[Vertex],0)),1,1,"")</f>
        <v>2</v>
      </c>
      <c r="R397" s="80" t="str">
        <f>REPLACE(INDEX(GroupVertices[Group],MATCH(Edges[[#This Row],[Vertex 2]],GroupVertices[Vertex],0)),1,1,"")</f>
        <v>2</v>
      </c>
      <c r="S397" s="34"/>
      <c r="T397" s="34"/>
      <c r="U397" s="34"/>
      <c r="V397" s="34"/>
      <c r="W397" s="34"/>
      <c r="X397" s="34"/>
      <c r="Y397" s="34"/>
      <c r="Z397" s="34"/>
      <c r="AA397" s="34"/>
    </row>
    <row r="398" spans="1:27" ht="15">
      <c r="A398" s="66" t="s">
        <v>235</v>
      </c>
      <c r="B398" s="66" t="s">
        <v>567</v>
      </c>
      <c r="C398" s="67" t="s">
        <v>4454</v>
      </c>
      <c r="D398" s="68">
        <v>5</v>
      </c>
      <c r="E398" s="69"/>
      <c r="F398" s="70">
        <v>20</v>
      </c>
      <c r="G398" s="67"/>
      <c r="H398" s="71"/>
      <c r="I398" s="72"/>
      <c r="J398" s="72"/>
      <c r="K398" s="34" t="s">
        <v>65</v>
      </c>
      <c r="L398" s="79">
        <v>398</v>
      </c>
      <c r="M398" s="79"/>
      <c r="N398" s="74"/>
      <c r="O398" s="81" t="s">
        <v>944</v>
      </c>
      <c r="P398">
        <v>1</v>
      </c>
      <c r="Q398" s="80" t="str">
        <f>REPLACE(INDEX(GroupVertices[Group],MATCH(Edges[[#This Row],[Vertex 1]],GroupVertices[Vertex],0)),1,1,"")</f>
        <v>2</v>
      </c>
      <c r="R398" s="80" t="str">
        <f>REPLACE(INDEX(GroupVertices[Group],MATCH(Edges[[#This Row],[Vertex 2]],GroupVertices[Vertex],0)),1,1,"")</f>
        <v>2</v>
      </c>
      <c r="S398" s="34"/>
      <c r="T398" s="34"/>
      <c r="U398" s="34"/>
      <c r="V398" s="34"/>
      <c r="W398" s="34"/>
      <c r="X398" s="34"/>
      <c r="Y398" s="34"/>
      <c r="Z398" s="34"/>
      <c r="AA398" s="34"/>
    </row>
    <row r="399" spans="1:27" ht="15">
      <c r="A399" s="66" t="s">
        <v>213</v>
      </c>
      <c r="B399" s="66" t="s">
        <v>568</v>
      </c>
      <c r="C399" s="67" t="s">
        <v>4454</v>
      </c>
      <c r="D399" s="68">
        <v>5</v>
      </c>
      <c r="E399" s="69"/>
      <c r="F399" s="70">
        <v>20</v>
      </c>
      <c r="G399" s="67"/>
      <c r="H399" s="71"/>
      <c r="I399" s="72"/>
      <c r="J399" s="72"/>
      <c r="K399" s="34" t="s">
        <v>65</v>
      </c>
      <c r="L399" s="79">
        <v>399</v>
      </c>
      <c r="M399" s="79"/>
      <c r="N399" s="74"/>
      <c r="O399" s="81" t="s">
        <v>944</v>
      </c>
      <c r="P399">
        <v>1</v>
      </c>
      <c r="Q399" s="80" t="str">
        <f>REPLACE(INDEX(GroupVertices[Group],MATCH(Edges[[#This Row],[Vertex 1]],GroupVertices[Vertex],0)),1,1,"")</f>
        <v>2</v>
      </c>
      <c r="R399" s="80" t="str">
        <f>REPLACE(INDEX(GroupVertices[Group],MATCH(Edges[[#This Row],[Vertex 2]],GroupVertices[Vertex],0)),1,1,"")</f>
        <v>2</v>
      </c>
      <c r="S399" s="34"/>
      <c r="T399" s="34"/>
      <c r="U399" s="34"/>
      <c r="V399" s="34"/>
      <c r="W399" s="34"/>
      <c r="X399" s="34"/>
      <c r="Y399" s="34"/>
      <c r="Z399" s="34"/>
      <c r="AA399" s="34"/>
    </row>
    <row r="400" spans="1:27" ht="15">
      <c r="A400" s="66" t="s">
        <v>224</v>
      </c>
      <c r="B400" s="66" t="s">
        <v>568</v>
      </c>
      <c r="C400" s="67" t="s">
        <v>4454</v>
      </c>
      <c r="D400" s="68">
        <v>5</v>
      </c>
      <c r="E400" s="69"/>
      <c r="F400" s="70">
        <v>20</v>
      </c>
      <c r="G400" s="67"/>
      <c r="H400" s="71"/>
      <c r="I400" s="72"/>
      <c r="J400" s="72"/>
      <c r="K400" s="34" t="s">
        <v>65</v>
      </c>
      <c r="L400" s="79">
        <v>400</v>
      </c>
      <c r="M400" s="79"/>
      <c r="N400" s="74"/>
      <c r="O400" s="81" t="s">
        <v>944</v>
      </c>
      <c r="P400">
        <v>1</v>
      </c>
      <c r="Q400" s="80" t="str">
        <f>REPLACE(INDEX(GroupVertices[Group],MATCH(Edges[[#This Row],[Vertex 1]],GroupVertices[Vertex],0)),1,1,"")</f>
        <v>2</v>
      </c>
      <c r="R400" s="80" t="str">
        <f>REPLACE(INDEX(GroupVertices[Group],MATCH(Edges[[#This Row],[Vertex 2]],GroupVertices[Vertex],0)),1,1,"")</f>
        <v>2</v>
      </c>
      <c r="S400" s="34"/>
      <c r="T400" s="34"/>
      <c r="U400" s="34"/>
      <c r="V400" s="34"/>
      <c r="W400" s="34"/>
      <c r="X400" s="34"/>
      <c r="Y400" s="34"/>
      <c r="Z400" s="34"/>
      <c r="AA400" s="34"/>
    </row>
    <row r="401" spans="1:27" ht="15">
      <c r="A401" s="66" t="s">
        <v>235</v>
      </c>
      <c r="B401" s="66" t="s">
        <v>568</v>
      </c>
      <c r="C401" s="67" t="s">
        <v>4454</v>
      </c>
      <c r="D401" s="68">
        <v>5</v>
      </c>
      <c r="E401" s="69"/>
      <c r="F401" s="70">
        <v>20</v>
      </c>
      <c r="G401" s="67"/>
      <c r="H401" s="71"/>
      <c r="I401" s="72"/>
      <c r="J401" s="72"/>
      <c r="K401" s="34" t="s">
        <v>65</v>
      </c>
      <c r="L401" s="79">
        <v>401</v>
      </c>
      <c r="M401" s="79"/>
      <c r="N401" s="74"/>
      <c r="O401" s="81" t="s">
        <v>944</v>
      </c>
      <c r="P401">
        <v>1</v>
      </c>
      <c r="Q401" s="80" t="str">
        <f>REPLACE(INDEX(GroupVertices[Group],MATCH(Edges[[#This Row],[Vertex 1]],GroupVertices[Vertex],0)),1,1,"")</f>
        <v>2</v>
      </c>
      <c r="R401" s="80" t="str">
        <f>REPLACE(INDEX(GroupVertices[Group],MATCH(Edges[[#This Row],[Vertex 2]],GroupVertices[Vertex],0)),1,1,"")</f>
        <v>2</v>
      </c>
      <c r="S401" s="34"/>
      <c r="T401" s="34"/>
      <c r="U401" s="34"/>
      <c r="V401" s="34"/>
      <c r="W401" s="34"/>
      <c r="X401" s="34"/>
      <c r="Y401" s="34"/>
      <c r="Z401" s="34"/>
      <c r="AA401" s="34"/>
    </row>
    <row r="402" spans="1:27" ht="15">
      <c r="A402" s="66" t="s">
        <v>213</v>
      </c>
      <c r="B402" s="66" t="s">
        <v>569</v>
      </c>
      <c r="C402" s="67" t="s">
        <v>4454</v>
      </c>
      <c r="D402" s="68">
        <v>5</v>
      </c>
      <c r="E402" s="69"/>
      <c r="F402" s="70">
        <v>20</v>
      </c>
      <c r="G402" s="67"/>
      <c r="H402" s="71"/>
      <c r="I402" s="72"/>
      <c r="J402" s="72"/>
      <c r="K402" s="34" t="s">
        <v>65</v>
      </c>
      <c r="L402" s="79">
        <v>402</v>
      </c>
      <c r="M402" s="79"/>
      <c r="N402" s="74"/>
      <c r="O402" s="81" t="s">
        <v>944</v>
      </c>
      <c r="P402">
        <v>1</v>
      </c>
      <c r="Q402" s="80" t="str">
        <f>REPLACE(INDEX(GroupVertices[Group],MATCH(Edges[[#This Row],[Vertex 1]],GroupVertices[Vertex],0)),1,1,"")</f>
        <v>2</v>
      </c>
      <c r="R402" s="80" t="str">
        <f>REPLACE(INDEX(GroupVertices[Group],MATCH(Edges[[#This Row],[Vertex 2]],GroupVertices[Vertex],0)),1,1,"")</f>
        <v>2</v>
      </c>
      <c r="S402" s="34"/>
      <c r="T402" s="34"/>
      <c r="U402" s="34"/>
      <c r="V402" s="34"/>
      <c r="W402" s="34"/>
      <c r="X402" s="34"/>
      <c r="Y402" s="34"/>
      <c r="Z402" s="34"/>
      <c r="AA402" s="34"/>
    </row>
    <row r="403" spans="1:27" ht="15">
      <c r="A403" s="66" t="s">
        <v>224</v>
      </c>
      <c r="B403" s="66" t="s">
        <v>569</v>
      </c>
      <c r="C403" s="67" t="s">
        <v>4454</v>
      </c>
      <c r="D403" s="68">
        <v>5</v>
      </c>
      <c r="E403" s="69"/>
      <c r="F403" s="70">
        <v>20</v>
      </c>
      <c r="G403" s="67"/>
      <c r="H403" s="71"/>
      <c r="I403" s="72"/>
      <c r="J403" s="72"/>
      <c r="K403" s="34" t="s">
        <v>65</v>
      </c>
      <c r="L403" s="79">
        <v>403</v>
      </c>
      <c r="M403" s="79"/>
      <c r="N403" s="74"/>
      <c r="O403" s="81" t="s">
        <v>944</v>
      </c>
      <c r="P403">
        <v>1</v>
      </c>
      <c r="Q403" s="80" t="str">
        <f>REPLACE(INDEX(GroupVertices[Group],MATCH(Edges[[#This Row],[Vertex 1]],GroupVertices[Vertex],0)),1,1,"")</f>
        <v>2</v>
      </c>
      <c r="R403" s="80" t="str">
        <f>REPLACE(INDEX(GroupVertices[Group],MATCH(Edges[[#This Row],[Vertex 2]],GroupVertices[Vertex],0)),1,1,"")</f>
        <v>2</v>
      </c>
      <c r="S403" s="34"/>
      <c r="T403" s="34"/>
      <c r="U403" s="34"/>
      <c r="V403" s="34"/>
      <c r="W403" s="34"/>
      <c r="X403" s="34"/>
      <c r="Y403" s="34"/>
      <c r="Z403" s="34"/>
      <c r="AA403" s="34"/>
    </row>
    <row r="404" spans="1:27" ht="15">
      <c r="A404" s="66" t="s">
        <v>235</v>
      </c>
      <c r="B404" s="66" t="s">
        <v>569</v>
      </c>
      <c r="C404" s="67" t="s">
        <v>4454</v>
      </c>
      <c r="D404" s="68">
        <v>5</v>
      </c>
      <c r="E404" s="69"/>
      <c r="F404" s="70">
        <v>20</v>
      </c>
      <c r="G404" s="67"/>
      <c r="H404" s="71"/>
      <c r="I404" s="72"/>
      <c r="J404" s="72"/>
      <c r="K404" s="34" t="s">
        <v>65</v>
      </c>
      <c r="L404" s="79">
        <v>404</v>
      </c>
      <c r="M404" s="79"/>
      <c r="N404" s="74"/>
      <c r="O404" s="81" t="s">
        <v>944</v>
      </c>
      <c r="P404">
        <v>1</v>
      </c>
      <c r="Q404" s="80" t="str">
        <f>REPLACE(INDEX(GroupVertices[Group],MATCH(Edges[[#This Row],[Vertex 1]],GroupVertices[Vertex],0)),1,1,"")</f>
        <v>2</v>
      </c>
      <c r="R404" s="80" t="str">
        <f>REPLACE(INDEX(GroupVertices[Group],MATCH(Edges[[#This Row],[Vertex 2]],GroupVertices[Vertex],0)),1,1,"")</f>
        <v>2</v>
      </c>
      <c r="S404" s="34"/>
      <c r="T404" s="34"/>
      <c r="U404" s="34"/>
      <c r="V404" s="34"/>
      <c r="W404" s="34"/>
      <c r="X404" s="34"/>
      <c r="Y404" s="34"/>
      <c r="Z404" s="34"/>
      <c r="AA404" s="34"/>
    </row>
    <row r="405" spans="1:27" ht="15">
      <c r="A405" s="66" t="s">
        <v>213</v>
      </c>
      <c r="B405" s="66" t="s">
        <v>570</v>
      </c>
      <c r="C405" s="67" t="s">
        <v>4454</v>
      </c>
      <c r="D405" s="68">
        <v>5</v>
      </c>
      <c r="E405" s="69"/>
      <c r="F405" s="70">
        <v>20</v>
      </c>
      <c r="G405" s="67"/>
      <c r="H405" s="71"/>
      <c r="I405" s="72"/>
      <c r="J405" s="72"/>
      <c r="K405" s="34" t="s">
        <v>65</v>
      </c>
      <c r="L405" s="79">
        <v>405</v>
      </c>
      <c r="M405" s="79"/>
      <c r="N405" s="74"/>
      <c r="O405" s="81" t="s">
        <v>944</v>
      </c>
      <c r="P405">
        <v>1</v>
      </c>
      <c r="Q405" s="80" t="str">
        <f>REPLACE(INDEX(GroupVertices[Group],MATCH(Edges[[#This Row],[Vertex 1]],GroupVertices[Vertex],0)),1,1,"")</f>
        <v>2</v>
      </c>
      <c r="R405" s="80" t="str">
        <f>REPLACE(INDEX(GroupVertices[Group],MATCH(Edges[[#This Row],[Vertex 2]],GroupVertices[Vertex],0)),1,1,"")</f>
        <v>2</v>
      </c>
      <c r="S405" s="34"/>
      <c r="T405" s="34"/>
      <c r="U405" s="34"/>
      <c r="V405" s="34"/>
      <c r="W405" s="34"/>
      <c r="X405" s="34"/>
      <c r="Y405" s="34"/>
      <c r="Z405" s="34"/>
      <c r="AA405" s="34"/>
    </row>
    <row r="406" spans="1:27" ht="15">
      <c r="A406" s="66" t="s">
        <v>224</v>
      </c>
      <c r="B406" s="66" t="s">
        <v>570</v>
      </c>
      <c r="C406" s="67" t="s">
        <v>4454</v>
      </c>
      <c r="D406" s="68">
        <v>5</v>
      </c>
      <c r="E406" s="69"/>
      <c r="F406" s="70">
        <v>20</v>
      </c>
      <c r="G406" s="67"/>
      <c r="H406" s="71"/>
      <c r="I406" s="72"/>
      <c r="J406" s="72"/>
      <c r="K406" s="34" t="s">
        <v>65</v>
      </c>
      <c r="L406" s="79">
        <v>406</v>
      </c>
      <c r="M406" s="79"/>
      <c r="N406" s="74"/>
      <c r="O406" s="81" t="s">
        <v>944</v>
      </c>
      <c r="P406">
        <v>1</v>
      </c>
      <c r="Q406" s="80" t="str">
        <f>REPLACE(INDEX(GroupVertices[Group],MATCH(Edges[[#This Row],[Vertex 1]],GroupVertices[Vertex],0)),1,1,"")</f>
        <v>2</v>
      </c>
      <c r="R406" s="80" t="str">
        <f>REPLACE(INDEX(GroupVertices[Group],MATCH(Edges[[#This Row],[Vertex 2]],GroupVertices[Vertex],0)),1,1,"")</f>
        <v>2</v>
      </c>
      <c r="S406" s="34"/>
      <c r="T406" s="34"/>
      <c r="U406" s="34"/>
      <c r="V406" s="34"/>
      <c r="W406" s="34"/>
      <c r="X406" s="34"/>
      <c r="Y406" s="34"/>
      <c r="Z406" s="34"/>
      <c r="AA406" s="34"/>
    </row>
    <row r="407" spans="1:27" ht="15">
      <c r="A407" s="66" t="s">
        <v>235</v>
      </c>
      <c r="B407" s="66" t="s">
        <v>570</v>
      </c>
      <c r="C407" s="67" t="s">
        <v>4454</v>
      </c>
      <c r="D407" s="68">
        <v>5</v>
      </c>
      <c r="E407" s="69"/>
      <c r="F407" s="70">
        <v>20</v>
      </c>
      <c r="G407" s="67"/>
      <c r="H407" s="71"/>
      <c r="I407" s="72"/>
      <c r="J407" s="72"/>
      <c r="K407" s="34" t="s">
        <v>65</v>
      </c>
      <c r="L407" s="79">
        <v>407</v>
      </c>
      <c r="M407" s="79"/>
      <c r="N407" s="74"/>
      <c r="O407" s="81" t="s">
        <v>944</v>
      </c>
      <c r="P407">
        <v>1</v>
      </c>
      <c r="Q407" s="80" t="str">
        <f>REPLACE(INDEX(GroupVertices[Group],MATCH(Edges[[#This Row],[Vertex 1]],GroupVertices[Vertex],0)),1,1,"")</f>
        <v>2</v>
      </c>
      <c r="R407" s="80" t="str">
        <f>REPLACE(INDEX(GroupVertices[Group],MATCH(Edges[[#This Row],[Vertex 2]],GroupVertices[Vertex],0)),1,1,"")</f>
        <v>2</v>
      </c>
      <c r="S407" s="34"/>
      <c r="T407" s="34"/>
      <c r="U407" s="34"/>
      <c r="V407" s="34"/>
      <c r="W407" s="34"/>
      <c r="X407" s="34"/>
      <c r="Y407" s="34"/>
      <c r="Z407" s="34"/>
      <c r="AA407" s="34"/>
    </row>
    <row r="408" spans="1:27" ht="15">
      <c r="A408" s="66" t="s">
        <v>236</v>
      </c>
      <c r="B408" s="66" t="s">
        <v>571</v>
      </c>
      <c r="C408" s="67" t="s">
        <v>4454</v>
      </c>
      <c r="D408" s="68">
        <v>5</v>
      </c>
      <c r="E408" s="69"/>
      <c r="F408" s="70">
        <v>20</v>
      </c>
      <c r="G408" s="67"/>
      <c r="H408" s="71"/>
      <c r="I408" s="72"/>
      <c r="J408" s="72"/>
      <c r="K408" s="34"/>
      <c r="L408" s="79">
        <v>408</v>
      </c>
      <c r="M408" s="79"/>
      <c r="N408" s="74"/>
      <c r="O408" s="81" t="s">
        <v>944</v>
      </c>
      <c r="P408">
        <v>1</v>
      </c>
      <c r="Q408" s="80" t="str">
        <f>REPLACE(INDEX(GroupVertices[Group],MATCH(Edges[[#This Row],[Vertex 1]],GroupVertices[Vertex],0)),1,1,"")</f>
        <v>1</v>
      </c>
      <c r="R408" s="80" t="e">
        <f>REPLACE(INDEX(GroupVertices[Group],MATCH(Edges[[#This Row],[Vertex 2]],GroupVertices[Vertex],0)),1,1,"")</f>
        <v>#N/A</v>
      </c>
      <c r="S408" s="34"/>
      <c r="T408" s="34"/>
      <c r="U408" s="34"/>
      <c r="V408" s="34"/>
      <c r="W408" s="34"/>
      <c r="X408" s="34"/>
      <c r="Y408" s="34"/>
      <c r="Z408" s="34"/>
      <c r="AA408" s="34"/>
    </row>
    <row r="409" spans="1:27" ht="15">
      <c r="A409" s="66" t="s">
        <v>236</v>
      </c>
      <c r="B409" s="66" t="s">
        <v>572</v>
      </c>
      <c r="C409" s="67" t="s">
        <v>4454</v>
      </c>
      <c r="D409" s="68">
        <v>5</v>
      </c>
      <c r="E409" s="69"/>
      <c r="F409" s="70">
        <v>20</v>
      </c>
      <c r="G409" s="67"/>
      <c r="H409" s="71"/>
      <c r="I409" s="72"/>
      <c r="J409" s="72"/>
      <c r="K409" s="34"/>
      <c r="L409" s="79">
        <v>409</v>
      </c>
      <c r="M409" s="79"/>
      <c r="N409" s="74"/>
      <c r="O409" s="81" t="s">
        <v>944</v>
      </c>
      <c r="P409">
        <v>1</v>
      </c>
      <c r="Q409" s="80" t="str">
        <f>REPLACE(INDEX(GroupVertices[Group],MATCH(Edges[[#This Row],[Vertex 1]],GroupVertices[Vertex],0)),1,1,"")</f>
        <v>1</v>
      </c>
      <c r="R409" s="80" t="e">
        <f>REPLACE(INDEX(GroupVertices[Group],MATCH(Edges[[#This Row],[Vertex 2]],GroupVertices[Vertex],0)),1,1,"")</f>
        <v>#N/A</v>
      </c>
      <c r="S409" s="34"/>
      <c r="T409" s="34"/>
      <c r="U409" s="34"/>
      <c r="V409" s="34"/>
      <c r="W409" s="34"/>
      <c r="X409" s="34"/>
      <c r="Y409" s="34"/>
      <c r="Z409" s="34"/>
      <c r="AA409" s="34"/>
    </row>
    <row r="410" spans="1:27" ht="15">
      <c r="A410" s="66" t="s">
        <v>236</v>
      </c>
      <c r="B410" s="66" t="s">
        <v>573</v>
      </c>
      <c r="C410" s="67" t="s">
        <v>4454</v>
      </c>
      <c r="D410" s="68">
        <v>5</v>
      </c>
      <c r="E410" s="69"/>
      <c r="F410" s="70">
        <v>20</v>
      </c>
      <c r="G410" s="67"/>
      <c r="H410" s="71"/>
      <c r="I410" s="72"/>
      <c r="J410" s="72"/>
      <c r="K410" s="34"/>
      <c r="L410" s="79">
        <v>410</v>
      </c>
      <c r="M410" s="79"/>
      <c r="N410" s="74"/>
      <c r="O410" s="81" t="s">
        <v>944</v>
      </c>
      <c r="P410">
        <v>1</v>
      </c>
      <c r="Q410" s="80" t="str">
        <f>REPLACE(INDEX(GroupVertices[Group],MATCH(Edges[[#This Row],[Vertex 1]],GroupVertices[Vertex],0)),1,1,"")</f>
        <v>1</v>
      </c>
      <c r="R410" s="80" t="e">
        <f>REPLACE(INDEX(GroupVertices[Group],MATCH(Edges[[#This Row],[Vertex 2]],GroupVertices[Vertex],0)),1,1,"")</f>
        <v>#N/A</v>
      </c>
      <c r="S410" s="34"/>
      <c r="T410" s="34"/>
      <c r="U410" s="34"/>
      <c r="V410" s="34"/>
      <c r="W410" s="34"/>
      <c r="X410" s="34"/>
      <c r="Y410" s="34"/>
      <c r="Z410" s="34"/>
      <c r="AA410" s="34"/>
    </row>
    <row r="411" spans="1:27" ht="15">
      <c r="A411" s="66" t="s">
        <v>236</v>
      </c>
      <c r="B411" s="66" t="s">
        <v>574</v>
      </c>
      <c r="C411" s="67" t="s">
        <v>4454</v>
      </c>
      <c r="D411" s="68">
        <v>5</v>
      </c>
      <c r="E411" s="69"/>
      <c r="F411" s="70">
        <v>20</v>
      </c>
      <c r="G411" s="67"/>
      <c r="H411" s="71"/>
      <c r="I411" s="72"/>
      <c r="J411" s="72"/>
      <c r="K411" s="34"/>
      <c r="L411" s="79">
        <v>411</v>
      </c>
      <c r="M411" s="79"/>
      <c r="N411" s="74"/>
      <c r="O411" s="81" t="s">
        <v>944</v>
      </c>
      <c r="P411">
        <v>1</v>
      </c>
      <c r="Q411" s="80" t="str">
        <f>REPLACE(INDEX(GroupVertices[Group],MATCH(Edges[[#This Row],[Vertex 1]],GroupVertices[Vertex],0)),1,1,"")</f>
        <v>1</v>
      </c>
      <c r="R411" s="80" t="e">
        <f>REPLACE(INDEX(GroupVertices[Group],MATCH(Edges[[#This Row],[Vertex 2]],GroupVertices[Vertex],0)),1,1,"")</f>
        <v>#N/A</v>
      </c>
      <c r="S411" s="34"/>
      <c r="T411" s="34"/>
      <c r="U411" s="34"/>
      <c r="V411" s="34"/>
      <c r="W411" s="34"/>
      <c r="X411" s="34"/>
      <c r="Y411" s="34"/>
      <c r="Z411" s="34"/>
      <c r="AA411" s="34"/>
    </row>
    <row r="412" spans="1:27" ht="15">
      <c r="A412" s="66" t="s">
        <v>236</v>
      </c>
      <c r="B412" s="66" t="s">
        <v>575</v>
      </c>
      <c r="C412" s="67" t="s">
        <v>4454</v>
      </c>
      <c r="D412" s="68">
        <v>5</v>
      </c>
      <c r="E412" s="69"/>
      <c r="F412" s="70">
        <v>20</v>
      </c>
      <c r="G412" s="67"/>
      <c r="H412" s="71"/>
      <c r="I412" s="72"/>
      <c r="J412" s="72"/>
      <c r="K412" s="34"/>
      <c r="L412" s="79">
        <v>412</v>
      </c>
      <c r="M412" s="79"/>
      <c r="N412" s="74"/>
      <c r="O412" s="81" t="s">
        <v>944</v>
      </c>
      <c r="P412">
        <v>1</v>
      </c>
      <c r="Q412" s="80" t="str">
        <f>REPLACE(INDEX(GroupVertices[Group],MATCH(Edges[[#This Row],[Vertex 1]],GroupVertices[Vertex],0)),1,1,"")</f>
        <v>1</v>
      </c>
      <c r="R412" s="80" t="e">
        <f>REPLACE(INDEX(GroupVertices[Group],MATCH(Edges[[#This Row],[Vertex 2]],GroupVertices[Vertex],0)),1,1,"")</f>
        <v>#N/A</v>
      </c>
      <c r="S412" s="34"/>
      <c r="T412" s="34"/>
      <c r="U412" s="34"/>
      <c r="V412" s="34"/>
      <c r="W412" s="34"/>
      <c r="X412" s="34"/>
      <c r="Y412" s="34"/>
      <c r="Z412" s="34"/>
      <c r="AA412" s="34"/>
    </row>
    <row r="413" spans="1:27" ht="15">
      <c r="A413" s="66" t="s">
        <v>236</v>
      </c>
      <c r="B413" s="66" t="s">
        <v>576</v>
      </c>
      <c r="C413" s="67" t="s">
        <v>4454</v>
      </c>
      <c r="D413" s="68">
        <v>5</v>
      </c>
      <c r="E413" s="69"/>
      <c r="F413" s="70">
        <v>20</v>
      </c>
      <c r="G413" s="67"/>
      <c r="H413" s="71"/>
      <c r="I413" s="72"/>
      <c r="J413" s="72"/>
      <c r="K413" s="34"/>
      <c r="L413" s="79">
        <v>413</v>
      </c>
      <c r="M413" s="79"/>
      <c r="N413" s="74"/>
      <c r="O413" s="81" t="s">
        <v>944</v>
      </c>
      <c r="P413">
        <v>1</v>
      </c>
      <c r="Q413" s="80" t="str">
        <f>REPLACE(INDEX(GroupVertices[Group],MATCH(Edges[[#This Row],[Vertex 1]],GroupVertices[Vertex],0)),1,1,"")</f>
        <v>1</v>
      </c>
      <c r="R413" s="80" t="e">
        <f>REPLACE(INDEX(GroupVertices[Group],MATCH(Edges[[#This Row],[Vertex 2]],GroupVertices[Vertex],0)),1,1,"")</f>
        <v>#N/A</v>
      </c>
      <c r="S413" s="34"/>
      <c r="T413" s="34"/>
      <c r="U413" s="34"/>
      <c r="V413" s="34"/>
      <c r="W413" s="34"/>
      <c r="X413" s="34"/>
      <c r="Y413" s="34"/>
      <c r="Z413" s="34"/>
      <c r="AA413" s="34"/>
    </row>
    <row r="414" spans="1:27" ht="15">
      <c r="A414" s="66" t="s">
        <v>217</v>
      </c>
      <c r="B414" s="66" t="s">
        <v>577</v>
      </c>
      <c r="C414" s="67" t="s">
        <v>4454</v>
      </c>
      <c r="D414" s="68">
        <v>5</v>
      </c>
      <c r="E414" s="69"/>
      <c r="F414" s="70">
        <v>20</v>
      </c>
      <c r="G414" s="67"/>
      <c r="H414" s="71"/>
      <c r="I414" s="72"/>
      <c r="J414" s="72"/>
      <c r="K414" s="34" t="s">
        <v>65</v>
      </c>
      <c r="L414" s="79">
        <v>414</v>
      </c>
      <c r="M414" s="79"/>
      <c r="N414" s="74"/>
      <c r="O414" s="81" t="s">
        <v>944</v>
      </c>
      <c r="P414">
        <v>1</v>
      </c>
      <c r="Q414" s="80" t="str">
        <f>REPLACE(INDEX(GroupVertices[Group],MATCH(Edges[[#This Row],[Vertex 1]],GroupVertices[Vertex],0)),1,1,"")</f>
        <v>4</v>
      </c>
      <c r="R414" s="80" t="str">
        <f>REPLACE(INDEX(GroupVertices[Group],MATCH(Edges[[#This Row],[Vertex 2]],GroupVertices[Vertex],0)),1,1,"")</f>
        <v>4</v>
      </c>
      <c r="S414" s="34"/>
      <c r="T414" s="34"/>
      <c r="U414" s="34"/>
      <c r="V414" s="34"/>
      <c r="W414" s="34"/>
      <c r="X414" s="34"/>
      <c r="Y414" s="34"/>
      <c r="Z414" s="34"/>
      <c r="AA414" s="34"/>
    </row>
    <row r="415" spans="1:27" ht="15">
      <c r="A415" s="66" t="s">
        <v>236</v>
      </c>
      <c r="B415" s="66" t="s">
        <v>577</v>
      </c>
      <c r="C415" s="67" t="s">
        <v>4454</v>
      </c>
      <c r="D415" s="68">
        <v>5</v>
      </c>
      <c r="E415" s="69"/>
      <c r="F415" s="70">
        <v>20</v>
      </c>
      <c r="G415" s="67"/>
      <c r="H415" s="71"/>
      <c r="I415" s="72"/>
      <c r="J415" s="72"/>
      <c r="K415" s="34" t="s">
        <v>65</v>
      </c>
      <c r="L415" s="79">
        <v>415</v>
      </c>
      <c r="M415" s="79"/>
      <c r="N415" s="74"/>
      <c r="O415" s="81" t="s">
        <v>944</v>
      </c>
      <c r="P415">
        <v>1</v>
      </c>
      <c r="Q415" s="80" t="str">
        <f>REPLACE(INDEX(GroupVertices[Group],MATCH(Edges[[#This Row],[Vertex 1]],GroupVertices[Vertex],0)),1,1,"")</f>
        <v>1</v>
      </c>
      <c r="R415" s="80" t="str">
        <f>REPLACE(INDEX(GroupVertices[Group],MATCH(Edges[[#This Row],[Vertex 2]],GroupVertices[Vertex],0)),1,1,"")</f>
        <v>4</v>
      </c>
      <c r="S415" s="34"/>
      <c r="T415" s="34"/>
      <c r="U415" s="34"/>
      <c r="V415" s="34"/>
      <c r="W415" s="34"/>
      <c r="X415" s="34"/>
      <c r="Y415" s="34"/>
      <c r="Z415" s="34"/>
      <c r="AA415" s="34"/>
    </row>
    <row r="416" spans="1:27" ht="15">
      <c r="A416" s="66" t="s">
        <v>236</v>
      </c>
      <c r="B416" s="66" t="s">
        <v>578</v>
      </c>
      <c r="C416" s="67" t="s">
        <v>4454</v>
      </c>
      <c r="D416" s="68">
        <v>5</v>
      </c>
      <c r="E416" s="69"/>
      <c r="F416" s="70">
        <v>20</v>
      </c>
      <c r="G416" s="67"/>
      <c r="H416" s="71"/>
      <c r="I416" s="72"/>
      <c r="J416" s="72"/>
      <c r="K416" s="34"/>
      <c r="L416" s="79">
        <v>416</v>
      </c>
      <c r="M416" s="79"/>
      <c r="N416" s="74"/>
      <c r="O416" s="81" t="s">
        <v>944</v>
      </c>
      <c r="P416">
        <v>1</v>
      </c>
      <c r="Q416" s="80" t="str">
        <f>REPLACE(INDEX(GroupVertices[Group],MATCH(Edges[[#This Row],[Vertex 1]],GroupVertices[Vertex],0)),1,1,"")</f>
        <v>1</v>
      </c>
      <c r="R416" s="80" t="e">
        <f>REPLACE(INDEX(GroupVertices[Group],MATCH(Edges[[#This Row],[Vertex 2]],GroupVertices[Vertex],0)),1,1,"")</f>
        <v>#N/A</v>
      </c>
      <c r="S416" s="34"/>
      <c r="T416" s="34"/>
      <c r="U416" s="34"/>
      <c r="V416" s="34"/>
      <c r="W416" s="34"/>
      <c r="X416" s="34"/>
      <c r="Y416" s="34"/>
      <c r="Z416" s="34"/>
      <c r="AA416" s="34"/>
    </row>
    <row r="417" spans="1:27" ht="15">
      <c r="A417" s="66" t="s">
        <v>236</v>
      </c>
      <c r="B417" s="66" t="s">
        <v>579</v>
      </c>
      <c r="C417" s="67" t="s">
        <v>4454</v>
      </c>
      <c r="D417" s="68">
        <v>5</v>
      </c>
      <c r="E417" s="69"/>
      <c r="F417" s="70">
        <v>20</v>
      </c>
      <c r="G417" s="67"/>
      <c r="H417" s="71"/>
      <c r="I417" s="72"/>
      <c r="J417" s="72"/>
      <c r="K417" s="34"/>
      <c r="L417" s="79">
        <v>417</v>
      </c>
      <c r="M417" s="79"/>
      <c r="N417" s="74"/>
      <c r="O417" s="81" t="s">
        <v>944</v>
      </c>
      <c r="P417">
        <v>1</v>
      </c>
      <c r="Q417" s="80" t="str">
        <f>REPLACE(INDEX(GroupVertices[Group],MATCH(Edges[[#This Row],[Vertex 1]],GroupVertices[Vertex],0)),1,1,"")</f>
        <v>1</v>
      </c>
      <c r="R417" s="80" t="e">
        <f>REPLACE(INDEX(GroupVertices[Group],MATCH(Edges[[#This Row],[Vertex 2]],GroupVertices[Vertex],0)),1,1,"")</f>
        <v>#N/A</v>
      </c>
      <c r="S417" s="34"/>
      <c r="T417" s="34"/>
      <c r="U417" s="34"/>
      <c r="V417" s="34"/>
      <c r="W417" s="34"/>
      <c r="X417" s="34"/>
      <c r="Y417" s="34"/>
      <c r="Z417" s="34"/>
      <c r="AA417" s="34"/>
    </row>
    <row r="418" spans="1:27" ht="15">
      <c r="A418" s="66" t="s">
        <v>236</v>
      </c>
      <c r="B418" s="66" t="s">
        <v>580</v>
      </c>
      <c r="C418" s="67" t="s">
        <v>4454</v>
      </c>
      <c r="D418" s="68">
        <v>5</v>
      </c>
      <c r="E418" s="69"/>
      <c r="F418" s="70">
        <v>20</v>
      </c>
      <c r="G418" s="67"/>
      <c r="H418" s="71"/>
      <c r="I418" s="72"/>
      <c r="J418" s="72"/>
      <c r="K418" s="34"/>
      <c r="L418" s="79">
        <v>418</v>
      </c>
      <c r="M418" s="79"/>
      <c r="N418" s="74"/>
      <c r="O418" s="81" t="s">
        <v>944</v>
      </c>
      <c r="P418">
        <v>1</v>
      </c>
      <c r="Q418" s="80" t="str">
        <f>REPLACE(INDEX(GroupVertices[Group],MATCH(Edges[[#This Row],[Vertex 1]],GroupVertices[Vertex],0)),1,1,"")</f>
        <v>1</v>
      </c>
      <c r="R418" s="80" t="e">
        <f>REPLACE(INDEX(GroupVertices[Group],MATCH(Edges[[#This Row],[Vertex 2]],GroupVertices[Vertex],0)),1,1,"")</f>
        <v>#N/A</v>
      </c>
      <c r="S418" s="34"/>
      <c r="T418" s="34"/>
      <c r="U418" s="34"/>
      <c r="V418" s="34"/>
      <c r="W418" s="34"/>
      <c r="X418" s="34"/>
      <c r="Y418" s="34"/>
      <c r="Z418" s="34"/>
      <c r="AA418" s="34"/>
    </row>
    <row r="419" spans="1:27" ht="15">
      <c r="A419" s="66" t="s">
        <v>236</v>
      </c>
      <c r="B419" s="66" t="s">
        <v>581</v>
      </c>
      <c r="C419" s="67" t="s">
        <v>4454</v>
      </c>
      <c r="D419" s="68">
        <v>5</v>
      </c>
      <c r="E419" s="69"/>
      <c r="F419" s="70">
        <v>20</v>
      </c>
      <c r="G419" s="67"/>
      <c r="H419" s="71"/>
      <c r="I419" s="72"/>
      <c r="J419" s="72"/>
      <c r="K419" s="34"/>
      <c r="L419" s="79">
        <v>419</v>
      </c>
      <c r="M419" s="79"/>
      <c r="N419" s="74"/>
      <c r="O419" s="81" t="s">
        <v>944</v>
      </c>
      <c r="P419">
        <v>1</v>
      </c>
      <c r="Q419" s="80" t="str">
        <f>REPLACE(INDEX(GroupVertices[Group],MATCH(Edges[[#This Row],[Vertex 1]],GroupVertices[Vertex],0)),1,1,"")</f>
        <v>1</v>
      </c>
      <c r="R419" s="80" t="e">
        <f>REPLACE(INDEX(GroupVertices[Group],MATCH(Edges[[#This Row],[Vertex 2]],GroupVertices[Vertex],0)),1,1,"")</f>
        <v>#N/A</v>
      </c>
      <c r="S419" s="34"/>
      <c r="T419" s="34"/>
      <c r="U419" s="34"/>
      <c r="V419" s="34"/>
      <c r="W419" s="34"/>
      <c r="X419" s="34"/>
      <c r="Y419" s="34"/>
      <c r="Z419" s="34"/>
      <c r="AA419" s="34"/>
    </row>
    <row r="420" spans="1:27" ht="15">
      <c r="A420" s="66" t="s">
        <v>236</v>
      </c>
      <c r="B420" s="66" t="s">
        <v>582</v>
      </c>
      <c r="C420" s="67" t="s">
        <v>4454</v>
      </c>
      <c r="D420" s="68">
        <v>5</v>
      </c>
      <c r="E420" s="69"/>
      <c r="F420" s="70">
        <v>20</v>
      </c>
      <c r="G420" s="67"/>
      <c r="H420" s="71"/>
      <c r="I420" s="72"/>
      <c r="J420" s="72"/>
      <c r="K420" s="34"/>
      <c r="L420" s="79">
        <v>420</v>
      </c>
      <c r="M420" s="79"/>
      <c r="N420" s="74"/>
      <c r="O420" s="81" t="s">
        <v>944</v>
      </c>
      <c r="P420">
        <v>1</v>
      </c>
      <c r="Q420" s="80" t="str">
        <f>REPLACE(INDEX(GroupVertices[Group],MATCH(Edges[[#This Row],[Vertex 1]],GroupVertices[Vertex],0)),1,1,"")</f>
        <v>1</v>
      </c>
      <c r="R420" s="80" t="e">
        <f>REPLACE(INDEX(GroupVertices[Group],MATCH(Edges[[#This Row],[Vertex 2]],GroupVertices[Vertex],0)),1,1,"")</f>
        <v>#N/A</v>
      </c>
      <c r="S420" s="34"/>
      <c r="T420" s="34"/>
      <c r="U420" s="34"/>
      <c r="V420" s="34"/>
      <c r="W420" s="34"/>
      <c r="X420" s="34"/>
      <c r="Y420" s="34"/>
      <c r="Z420" s="34"/>
      <c r="AA420" s="34"/>
    </row>
    <row r="421" spans="1:27" ht="15">
      <c r="A421" s="66" t="s">
        <v>236</v>
      </c>
      <c r="B421" s="66" t="s">
        <v>583</v>
      </c>
      <c r="C421" s="67" t="s">
        <v>4454</v>
      </c>
      <c r="D421" s="68">
        <v>5</v>
      </c>
      <c r="E421" s="69"/>
      <c r="F421" s="70">
        <v>20</v>
      </c>
      <c r="G421" s="67"/>
      <c r="H421" s="71"/>
      <c r="I421" s="72"/>
      <c r="J421" s="72"/>
      <c r="K421" s="34"/>
      <c r="L421" s="79">
        <v>421</v>
      </c>
      <c r="M421" s="79"/>
      <c r="N421" s="74"/>
      <c r="O421" s="81" t="s">
        <v>944</v>
      </c>
      <c r="P421">
        <v>1</v>
      </c>
      <c r="Q421" s="80" t="str">
        <f>REPLACE(INDEX(GroupVertices[Group],MATCH(Edges[[#This Row],[Vertex 1]],GroupVertices[Vertex],0)),1,1,"")</f>
        <v>1</v>
      </c>
      <c r="R421" s="80" t="e">
        <f>REPLACE(INDEX(GroupVertices[Group],MATCH(Edges[[#This Row],[Vertex 2]],GroupVertices[Vertex],0)),1,1,"")</f>
        <v>#N/A</v>
      </c>
      <c r="S421" s="34"/>
      <c r="T421" s="34"/>
      <c r="U421" s="34"/>
      <c r="V421" s="34"/>
      <c r="W421" s="34"/>
      <c r="X421" s="34"/>
      <c r="Y421" s="34"/>
      <c r="Z421" s="34"/>
      <c r="AA421" s="34"/>
    </row>
    <row r="422" spans="1:27" ht="15">
      <c r="A422" s="66" t="s">
        <v>236</v>
      </c>
      <c r="B422" s="66" t="s">
        <v>584</v>
      </c>
      <c r="C422" s="67" t="s">
        <v>4454</v>
      </c>
      <c r="D422" s="68">
        <v>5</v>
      </c>
      <c r="E422" s="69"/>
      <c r="F422" s="70">
        <v>20</v>
      </c>
      <c r="G422" s="67"/>
      <c r="H422" s="71"/>
      <c r="I422" s="72"/>
      <c r="J422" s="72"/>
      <c r="K422" s="34"/>
      <c r="L422" s="79">
        <v>422</v>
      </c>
      <c r="M422" s="79"/>
      <c r="N422" s="74"/>
      <c r="O422" s="81" t="s">
        <v>944</v>
      </c>
      <c r="P422">
        <v>1</v>
      </c>
      <c r="Q422" s="80" t="str">
        <f>REPLACE(INDEX(GroupVertices[Group],MATCH(Edges[[#This Row],[Vertex 1]],GroupVertices[Vertex],0)),1,1,"")</f>
        <v>1</v>
      </c>
      <c r="R422" s="80" t="e">
        <f>REPLACE(INDEX(GroupVertices[Group],MATCH(Edges[[#This Row],[Vertex 2]],GroupVertices[Vertex],0)),1,1,"")</f>
        <v>#N/A</v>
      </c>
      <c r="S422" s="34"/>
      <c r="T422" s="34"/>
      <c r="U422" s="34"/>
      <c r="V422" s="34"/>
      <c r="W422" s="34"/>
      <c r="X422" s="34"/>
      <c r="Y422" s="34"/>
      <c r="Z422" s="34"/>
      <c r="AA422" s="34"/>
    </row>
    <row r="423" spans="1:27" ht="15">
      <c r="A423" s="66" t="s">
        <v>236</v>
      </c>
      <c r="B423" s="66" t="s">
        <v>585</v>
      </c>
      <c r="C423" s="67" t="s">
        <v>4454</v>
      </c>
      <c r="D423" s="68">
        <v>5</v>
      </c>
      <c r="E423" s="69"/>
      <c r="F423" s="70">
        <v>20</v>
      </c>
      <c r="G423" s="67"/>
      <c r="H423" s="71"/>
      <c r="I423" s="72"/>
      <c r="J423" s="72"/>
      <c r="K423" s="34"/>
      <c r="L423" s="79">
        <v>423</v>
      </c>
      <c r="M423" s="79"/>
      <c r="N423" s="74"/>
      <c r="O423" s="81" t="s">
        <v>944</v>
      </c>
      <c r="P423">
        <v>1</v>
      </c>
      <c r="Q423" s="80" t="str">
        <f>REPLACE(INDEX(GroupVertices[Group],MATCH(Edges[[#This Row],[Vertex 1]],GroupVertices[Vertex],0)),1,1,"")</f>
        <v>1</v>
      </c>
      <c r="R423" s="80" t="e">
        <f>REPLACE(INDEX(GroupVertices[Group],MATCH(Edges[[#This Row],[Vertex 2]],GroupVertices[Vertex],0)),1,1,"")</f>
        <v>#N/A</v>
      </c>
      <c r="S423" s="34"/>
      <c r="T423" s="34"/>
      <c r="U423" s="34"/>
      <c r="V423" s="34"/>
      <c r="W423" s="34"/>
      <c r="X423" s="34"/>
      <c r="Y423" s="34"/>
      <c r="Z423" s="34"/>
      <c r="AA423" s="34"/>
    </row>
    <row r="424" spans="1:27" ht="15">
      <c r="A424" s="66" t="s">
        <v>217</v>
      </c>
      <c r="B424" s="66" t="s">
        <v>586</v>
      </c>
      <c r="C424" s="67" t="s">
        <v>4454</v>
      </c>
      <c r="D424" s="68">
        <v>5</v>
      </c>
      <c r="E424" s="69"/>
      <c r="F424" s="70">
        <v>20</v>
      </c>
      <c r="G424" s="67"/>
      <c r="H424" s="71"/>
      <c r="I424" s="72"/>
      <c r="J424" s="72"/>
      <c r="K424" s="34" t="s">
        <v>65</v>
      </c>
      <c r="L424" s="79">
        <v>424</v>
      </c>
      <c r="M424" s="79"/>
      <c r="N424" s="74"/>
      <c r="O424" s="81" t="s">
        <v>944</v>
      </c>
      <c r="P424">
        <v>1</v>
      </c>
      <c r="Q424" s="80" t="str">
        <f>REPLACE(INDEX(GroupVertices[Group],MATCH(Edges[[#This Row],[Vertex 1]],GroupVertices[Vertex],0)),1,1,"")</f>
        <v>4</v>
      </c>
      <c r="R424" s="80" t="str">
        <f>REPLACE(INDEX(GroupVertices[Group],MATCH(Edges[[#This Row],[Vertex 2]],GroupVertices[Vertex],0)),1,1,"")</f>
        <v>4</v>
      </c>
      <c r="S424" s="34"/>
      <c r="T424" s="34"/>
      <c r="U424" s="34"/>
      <c r="V424" s="34"/>
      <c r="W424" s="34"/>
      <c r="X424" s="34"/>
      <c r="Y424" s="34"/>
      <c r="Z424" s="34"/>
      <c r="AA424" s="34"/>
    </row>
    <row r="425" spans="1:27" ht="15">
      <c r="A425" s="66" t="s">
        <v>234</v>
      </c>
      <c r="B425" s="66" t="s">
        <v>586</v>
      </c>
      <c r="C425" s="67" t="s">
        <v>4454</v>
      </c>
      <c r="D425" s="68">
        <v>5</v>
      </c>
      <c r="E425" s="69"/>
      <c r="F425" s="70">
        <v>20</v>
      </c>
      <c r="G425" s="67"/>
      <c r="H425" s="71"/>
      <c r="I425" s="72"/>
      <c r="J425" s="72"/>
      <c r="K425" s="34" t="s">
        <v>65</v>
      </c>
      <c r="L425" s="79">
        <v>425</v>
      </c>
      <c r="M425" s="79"/>
      <c r="N425" s="74"/>
      <c r="O425" s="81" t="s">
        <v>944</v>
      </c>
      <c r="P425">
        <v>1</v>
      </c>
      <c r="Q425" s="80" t="str">
        <f>REPLACE(INDEX(GroupVertices[Group],MATCH(Edges[[#This Row],[Vertex 1]],GroupVertices[Vertex],0)),1,1,"")</f>
        <v>4</v>
      </c>
      <c r="R425" s="80" t="str">
        <f>REPLACE(INDEX(GroupVertices[Group],MATCH(Edges[[#This Row],[Vertex 2]],GroupVertices[Vertex],0)),1,1,"")</f>
        <v>4</v>
      </c>
      <c r="S425" s="34"/>
      <c r="T425" s="34"/>
      <c r="U425" s="34"/>
      <c r="V425" s="34"/>
      <c r="W425" s="34"/>
      <c r="X425" s="34"/>
      <c r="Y425" s="34"/>
      <c r="Z425" s="34"/>
      <c r="AA425" s="34"/>
    </row>
    <row r="426" spans="1:27" ht="15">
      <c r="A426" s="66" t="s">
        <v>236</v>
      </c>
      <c r="B426" s="66" t="s">
        <v>586</v>
      </c>
      <c r="C426" s="67" t="s">
        <v>4454</v>
      </c>
      <c r="D426" s="68">
        <v>5</v>
      </c>
      <c r="E426" s="69"/>
      <c r="F426" s="70">
        <v>20</v>
      </c>
      <c r="G426" s="67"/>
      <c r="H426" s="71"/>
      <c r="I426" s="72"/>
      <c r="J426" s="72"/>
      <c r="K426" s="34" t="s">
        <v>65</v>
      </c>
      <c r="L426" s="79">
        <v>426</v>
      </c>
      <c r="M426" s="79"/>
      <c r="N426" s="74"/>
      <c r="O426" s="81" t="s">
        <v>944</v>
      </c>
      <c r="P426">
        <v>1</v>
      </c>
      <c r="Q426" s="80" t="str">
        <f>REPLACE(INDEX(GroupVertices[Group],MATCH(Edges[[#This Row],[Vertex 1]],GroupVertices[Vertex],0)),1,1,"")</f>
        <v>1</v>
      </c>
      <c r="R426" s="80" t="str">
        <f>REPLACE(INDEX(GroupVertices[Group],MATCH(Edges[[#This Row],[Vertex 2]],GroupVertices[Vertex],0)),1,1,"")</f>
        <v>4</v>
      </c>
      <c r="S426" s="34"/>
      <c r="T426" s="34"/>
      <c r="U426" s="34"/>
      <c r="V426" s="34"/>
      <c r="W426" s="34"/>
      <c r="X426" s="34"/>
      <c r="Y426" s="34"/>
      <c r="Z426" s="34"/>
      <c r="AA426" s="34"/>
    </row>
    <row r="427" spans="1:27" ht="15">
      <c r="A427" s="66" t="s">
        <v>236</v>
      </c>
      <c r="B427" s="66" t="s">
        <v>587</v>
      </c>
      <c r="C427" s="67" t="s">
        <v>4454</v>
      </c>
      <c r="D427" s="68">
        <v>5</v>
      </c>
      <c r="E427" s="69"/>
      <c r="F427" s="70">
        <v>20</v>
      </c>
      <c r="G427" s="67"/>
      <c r="H427" s="71"/>
      <c r="I427" s="72"/>
      <c r="J427" s="72"/>
      <c r="K427" s="34"/>
      <c r="L427" s="79">
        <v>427</v>
      </c>
      <c r="M427" s="79"/>
      <c r="N427" s="74"/>
      <c r="O427" s="81" t="s">
        <v>944</v>
      </c>
      <c r="P427">
        <v>1</v>
      </c>
      <c r="Q427" s="80" t="str">
        <f>REPLACE(INDEX(GroupVertices[Group],MATCH(Edges[[#This Row],[Vertex 1]],GroupVertices[Vertex],0)),1,1,"")</f>
        <v>1</v>
      </c>
      <c r="R427" s="80" t="e">
        <f>REPLACE(INDEX(GroupVertices[Group],MATCH(Edges[[#This Row],[Vertex 2]],GroupVertices[Vertex],0)),1,1,"")</f>
        <v>#N/A</v>
      </c>
      <c r="S427" s="34"/>
      <c r="T427" s="34"/>
      <c r="U427" s="34"/>
      <c r="V427" s="34"/>
      <c r="W427" s="34"/>
      <c r="X427" s="34"/>
      <c r="Y427" s="34"/>
      <c r="Z427" s="34"/>
      <c r="AA427" s="34"/>
    </row>
    <row r="428" spans="1:27" ht="15">
      <c r="A428" s="66" t="s">
        <v>236</v>
      </c>
      <c r="B428" s="66" t="s">
        <v>588</v>
      </c>
      <c r="C428" s="67" t="s">
        <v>4454</v>
      </c>
      <c r="D428" s="68">
        <v>5</v>
      </c>
      <c r="E428" s="69"/>
      <c r="F428" s="70">
        <v>20</v>
      </c>
      <c r="G428" s="67"/>
      <c r="H428" s="71"/>
      <c r="I428" s="72"/>
      <c r="J428" s="72"/>
      <c r="K428" s="34"/>
      <c r="L428" s="79">
        <v>428</v>
      </c>
      <c r="M428" s="79"/>
      <c r="N428" s="74"/>
      <c r="O428" s="81" t="s">
        <v>944</v>
      </c>
      <c r="P428">
        <v>1</v>
      </c>
      <c r="Q428" s="80" t="str">
        <f>REPLACE(INDEX(GroupVertices[Group],MATCH(Edges[[#This Row],[Vertex 1]],GroupVertices[Vertex],0)),1,1,"")</f>
        <v>1</v>
      </c>
      <c r="R428" s="80" t="e">
        <f>REPLACE(INDEX(GroupVertices[Group],MATCH(Edges[[#This Row],[Vertex 2]],GroupVertices[Vertex],0)),1,1,"")</f>
        <v>#N/A</v>
      </c>
      <c r="S428" s="34"/>
      <c r="T428" s="34"/>
      <c r="U428" s="34"/>
      <c r="V428" s="34"/>
      <c r="W428" s="34"/>
      <c r="X428" s="34"/>
      <c r="Y428" s="34"/>
      <c r="Z428" s="34"/>
      <c r="AA428" s="34"/>
    </row>
    <row r="429" spans="1:27" ht="15">
      <c r="A429" s="66" t="s">
        <v>236</v>
      </c>
      <c r="B429" s="66" t="s">
        <v>589</v>
      </c>
      <c r="C429" s="67" t="s">
        <v>4454</v>
      </c>
      <c r="D429" s="68">
        <v>5</v>
      </c>
      <c r="E429" s="69"/>
      <c r="F429" s="70">
        <v>20</v>
      </c>
      <c r="G429" s="67"/>
      <c r="H429" s="71"/>
      <c r="I429" s="72"/>
      <c r="J429" s="72"/>
      <c r="K429" s="34"/>
      <c r="L429" s="79">
        <v>429</v>
      </c>
      <c r="M429" s="79"/>
      <c r="N429" s="74"/>
      <c r="O429" s="81" t="s">
        <v>944</v>
      </c>
      <c r="P429">
        <v>1</v>
      </c>
      <c r="Q429" s="80" t="str">
        <f>REPLACE(INDEX(GroupVertices[Group],MATCH(Edges[[#This Row],[Vertex 1]],GroupVertices[Vertex],0)),1,1,"")</f>
        <v>1</v>
      </c>
      <c r="R429" s="80" t="e">
        <f>REPLACE(INDEX(GroupVertices[Group],MATCH(Edges[[#This Row],[Vertex 2]],GroupVertices[Vertex],0)),1,1,"")</f>
        <v>#N/A</v>
      </c>
      <c r="S429" s="34"/>
      <c r="T429" s="34"/>
      <c r="U429" s="34"/>
      <c r="V429" s="34"/>
      <c r="W429" s="34"/>
      <c r="X429" s="34"/>
      <c r="Y429" s="34"/>
      <c r="Z429" s="34"/>
      <c r="AA429" s="34"/>
    </row>
    <row r="430" spans="1:27" ht="15">
      <c r="A430" s="66" t="s">
        <v>236</v>
      </c>
      <c r="B430" s="66" t="s">
        <v>590</v>
      </c>
      <c r="C430" s="67" t="s">
        <v>4454</v>
      </c>
      <c r="D430" s="68">
        <v>5</v>
      </c>
      <c r="E430" s="69"/>
      <c r="F430" s="70">
        <v>20</v>
      </c>
      <c r="G430" s="67"/>
      <c r="H430" s="71"/>
      <c r="I430" s="72"/>
      <c r="J430" s="72"/>
      <c r="K430" s="34"/>
      <c r="L430" s="79">
        <v>430</v>
      </c>
      <c r="M430" s="79"/>
      <c r="N430" s="74"/>
      <c r="O430" s="81" t="s">
        <v>944</v>
      </c>
      <c r="P430">
        <v>1</v>
      </c>
      <c r="Q430" s="80" t="str">
        <f>REPLACE(INDEX(GroupVertices[Group],MATCH(Edges[[#This Row],[Vertex 1]],GroupVertices[Vertex],0)),1,1,"")</f>
        <v>1</v>
      </c>
      <c r="R430" s="80" t="e">
        <f>REPLACE(INDEX(GroupVertices[Group],MATCH(Edges[[#This Row],[Vertex 2]],GroupVertices[Vertex],0)),1,1,"")</f>
        <v>#N/A</v>
      </c>
      <c r="S430" s="34"/>
      <c r="T430" s="34"/>
      <c r="U430" s="34"/>
      <c r="V430" s="34"/>
      <c r="W430" s="34"/>
      <c r="X430" s="34"/>
      <c r="Y430" s="34"/>
      <c r="Z430" s="34"/>
      <c r="AA430" s="34"/>
    </row>
    <row r="431" spans="1:27" ht="15">
      <c r="A431" s="66" t="s">
        <v>236</v>
      </c>
      <c r="B431" s="66" t="s">
        <v>591</v>
      </c>
      <c r="C431" s="67" t="s">
        <v>4454</v>
      </c>
      <c r="D431" s="68">
        <v>5</v>
      </c>
      <c r="E431" s="69"/>
      <c r="F431" s="70">
        <v>20</v>
      </c>
      <c r="G431" s="67"/>
      <c r="H431" s="71"/>
      <c r="I431" s="72"/>
      <c r="J431" s="72"/>
      <c r="K431" s="34"/>
      <c r="L431" s="79">
        <v>431</v>
      </c>
      <c r="M431" s="79"/>
      <c r="N431" s="74"/>
      <c r="O431" s="81" t="s">
        <v>944</v>
      </c>
      <c r="P431">
        <v>1</v>
      </c>
      <c r="Q431" s="80" t="str">
        <f>REPLACE(INDEX(GroupVertices[Group],MATCH(Edges[[#This Row],[Vertex 1]],GroupVertices[Vertex],0)),1,1,"")</f>
        <v>1</v>
      </c>
      <c r="R431" s="80" t="e">
        <f>REPLACE(INDEX(GroupVertices[Group],MATCH(Edges[[#This Row],[Vertex 2]],GroupVertices[Vertex],0)),1,1,"")</f>
        <v>#N/A</v>
      </c>
      <c r="S431" s="34"/>
      <c r="T431" s="34"/>
      <c r="U431" s="34"/>
      <c r="V431" s="34"/>
      <c r="W431" s="34"/>
      <c r="X431" s="34"/>
      <c r="Y431" s="34"/>
      <c r="Z431" s="34"/>
      <c r="AA431" s="34"/>
    </row>
    <row r="432" spans="1:27" ht="15">
      <c r="A432" s="66" t="s">
        <v>236</v>
      </c>
      <c r="B432" s="66" t="s">
        <v>592</v>
      </c>
      <c r="C432" s="67" t="s">
        <v>4454</v>
      </c>
      <c r="D432" s="68">
        <v>5</v>
      </c>
      <c r="E432" s="69"/>
      <c r="F432" s="70">
        <v>20</v>
      </c>
      <c r="G432" s="67"/>
      <c r="H432" s="71"/>
      <c r="I432" s="72"/>
      <c r="J432" s="72"/>
      <c r="K432" s="34"/>
      <c r="L432" s="79">
        <v>432</v>
      </c>
      <c r="M432" s="79"/>
      <c r="N432" s="74"/>
      <c r="O432" s="81" t="s">
        <v>944</v>
      </c>
      <c r="P432">
        <v>1</v>
      </c>
      <c r="Q432" s="80" t="str">
        <f>REPLACE(INDEX(GroupVertices[Group],MATCH(Edges[[#This Row],[Vertex 1]],GroupVertices[Vertex],0)),1,1,"")</f>
        <v>1</v>
      </c>
      <c r="R432" s="80" t="e">
        <f>REPLACE(INDEX(GroupVertices[Group],MATCH(Edges[[#This Row],[Vertex 2]],GroupVertices[Vertex],0)),1,1,"")</f>
        <v>#N/A</v>
      </c>
      <c r="S432" s="34"/>
      <c r="T432" s="34"/>
      <c r="U432" s="34"/>
      <c r="V432" s="34"/>
      <c r="W432" s="34"/>
      <c r="X432" s="34"/>
      <c r="Y432" s="34"/>
      <c r="Z432" s="34"/>
      <c r="AA432" s="34"/>
    </row>
    <row r="433" spans="1:27" ht="15">
      <c r="A433" s="66" t="s">
        <v>236</v>
      </c>
      <c r="B433" s="66" t="s">
        <v>593</v>
      </c>
      <c r="C433" s="67" t="s">
        <v>4454</v>
      </c>
      <c r="D433" s="68">
        <v>5</v>
      </c>
      <c r="E433" s="69"/>
      <c r="F433" s="70">
        <v>20</v>
      </c>
      <c r="G433" s="67"/>
      <c r="H433" s="71"/>
      <c r="I433" s="72"/>
      <c r="J433" s="72"/>
      <c r="K433" s="34"/>
      <c r="L433" s="79">
        <v>433</v>
      </c>
      <c r="M433" s="79"/>
      <c r="N433" s="74"/>
      <c r="O433" s="81" t="s">
        <v>944</v>
      </c>
      <c r="P433">
        <v>1</v>
      </c>
      <c r="Q433" s="80" t="str">
        <f>REPLACE(INDEX(GroupVertices[Group],MATCH(Edges[[#This Row],[Vertex 1]],GroupVertices[Vertex],0)),1,1,"")</f>
        <v>1</v>
      </c>
      <c r="R433" s="80" t="e">
        <f>REPLACE(INDEX(GroupVertices[Group],MATCH(Edges[[#This Row],[Vertex 2]],GroupVertices[Vertex],0)),1,1,"")</f>
        <v>#N/A</v>
      </c>
      <c r="S433" s="34"/>
      <c r="T433" s="34"/>
      <c r="U433" s="34"/>
      <c r="V433" s="34"/>
      <c r="W433" s="34"/>
      <c r="X433" s="34"/>
      <c r="Y433" s="34"/>
      <c r="Z433" s="34"/>
      <c r="AA433" s="34"/>
    </row>
    <row r="434" spans="1:27" ht="15">
      <c r="A434" s="66" t="s">
        <v>236</v>
      </c>
      <c r="B434" s="66" t="s">
        <v>594</v>
      </c>
      <c r="C434" s="67" t="s">
        <v>4454</v>
      </c>
      <c r="D434" s="68">
        <v>5</v>
      </c>
      <c r="E434" s="69"/>
      <c r="F434" s="70">
        <v>20</v>
      </c>
      <c r="G434" s="67"/>
      <c r="H434" s="71"/>
      <c r="I434" s="72"/>
      <c r="J434" s="72"/>
      <c r="K434" s="34"/>
      <c r="L434" s="79">
        <v>434</v>
      </c>
      <c r="M434" s="79"/>
      <c r="N434" s="74"/>
      <c r="O434" s="81" t="s">
        <v>944</v>
      </c>
      <c r="P434">
        <v>1</v>
      </c>
      <c r="Q434" s="80" t="str">
        <f>REPLACE(INDEX(GroupVertices[Group],MATCH(Edges[[#This Row],[Vertex 1]],GroupVertices[Vertex],0)),1,1,"")</f>
        <v>1</v>
      </c>
      <c r="R434" s="80" t="e">
        <f>REPLACE(INDEX(GroupVertices[Group],MATCH(Edges[[#This Row],[Vertex 2]],GroupVertices[Vertex],0)),1,1,"")</f>
        <v>#N/A</v>
      </c>
      <c r="S434" s="34"/>
      <c r="T434" s="34"/>
      <c r="U434" s="34"/>
      <c r="V434" s="34"/>
      <c r="W434" s="34"/>
      <c r="X434" s="34"/>
      <c r="Y434" s="34"/>
      <c r="Z434" s="34"/>
      <c r="AA434" s="34"/>
    </row>
    <row r="435" spans="1:27" ht="15">
      <c r="A435" s="66" t="s">
        <v>237</v>
      </c>
      <c r="B435" s="66" t="s">
        <v>595</v>
      </c>
      <c r="C435" s="67" t="s">
        <v>4454</v>
      </c>
      <c r="D435" s="68">
        <v>5</v>
      </c>
      <c r="E435" s="69"/>
      <c r="F435" s="70">
        <v>20</v>
      </c>
      <c r="G435" s="67"/>
      <c r="H435" s="71"/>
      <c r="I435" s="72"/>
      <c r="J435" s="72"/>
      <c r="K435" s="34"/>
      <c r="L435" s="79">
        <v>435</v>
      </c>
      <c r="M435" s="79"/>
      <c r="N435" s="74"/>
      <c r="O435" s="81" t="s">
        <v>944</v>
      </c>
      <c r="P435">
        <v>1</v>
      </c>
      <c r="Q435" s="80" t="str">
        <f>REPLACE(INDEX(GroupVertices[Group],MATCH(Edges[[#This Row],[Vertex 1]],GroupVertices[Vertex],0)),1,1,"")</f>
        <v>1</v>
      </c>
      <c r="R435" s="80" t="e">
        <f>REPLACE(INDEX(GroupVertices[Group],MATCH(Edges[[#This Row],[Vertex 2]],GroupVertices[Vertex],0)),1,1,"")</f>
        <v>#N/A</v>
      </c>
      <c r="S435" s="34"/>
      <c r="T435" s="34"/>
      <c r="U435" s="34"/>
      <c r="V435" s="34"/>
      <c r="W435" s="34"/>
      <c r="X435" s="34"/>
      <c r="Y435" s="34"/>
      <c r="Z435" s="34"/>
      <c r="AA435" s="34"/>
    </row>
    <row r="436" spans="1:27" ht="15">
      <c r="A436" s="66" t="s">
        <v>236</v>
      </c>
      <c r="B436" s="66" t="s">
        <v>596</v>
      </c>
      <c r="C436" s="67" t="s">
        <v>4454</v>
      </c>
      <c r="D436" s="68">
        <v>5</v>
      </c>
      <c r="E436" s="69"/>
      <c r="F436" s="70">
        <v>20</v>
      </c>
      <c r="G436" s="67"/>
      <c r="H436" s="71"/>
      <c r="I436" s="72"/>
      <c r="J436" s="72"/>
      <c r="K436" s="34" t="s">
        <v>65</v>
      </c>
      <c r="L436" s="79">
        <v>436</v>
      </c>
      <c r="M436" s="79"/>
      <c r="N436" s="74"/>
      <c r="O436" s="81" t="s">
        <v>944</v>
      </c>
      <c r="P436">
        <v>1</v>
      </c>
      <c r="Q436" s="80" t="str">
        <f>REPLACE(INDEX(GroupVertices[Group],MATCH(Edges[[#This Row],[Vertex 1]],GroupVertices[Vertex],0)),1,1,"")</f>
        <v>1</v>
      </c>
      <c r="R436" s="80" t="str">
        <f>REPLACE(INDEX(GroupVertices[Group],MATCH(Edges[[#This Row],[Vertex 2]],GroupVertices[Vertex],0)),1,1,"")</f>
        <v>1</v>
      </c>
      <c r="S436" s="34"/>
      <c r="T436" s="34"/>
      <c r="U436" s="34"/>
      <c r="V436" s="34"/>
      <c r="W436" s="34"/>
      <c r="X436" s="34"/>
      <c r="Y436" s="34"/>
      <c r="Z436" s="34"/>
      <c r="AA436" s="34"/>
    </row>
    <row r="437" spans="1:27" ht="15">
      <c r="A437" s="66" t="s">
        <v>237</v>
      </c>
      <c r="B437" s="66" t="s">
        <v>596</v>
      </c>
      <c r="C437" s="67" t="s">
        <v>4454</v>
      </c>
      <c r="D437" s="68">
        <v>5</v>
      </c>
      <c r="E437" s="69"/>
      <c r="F437" s="70">
        <v>20</v>
      </c>
      <c r="G437" s="67"/>
      <c r="H437" s="71"/>
      <c r="I437" s="72"/>
      <c r="J437" s="72"/>
      <c r="K437" s="34" t="s">
        <v>65</v>
      </c>
      <c r="L437" s="79">
        <v>437</v>
      </c>
      <c r="M437" s="79"/>
      <c r="N437" s="74"/>
      <c r="O437" s="81" t="s">
        <v>944</v>
      </c>
      <c r="P437">
        <v>1</v>
      </c>
      <c r="Q437" s="80" t="str">
        <f>REPLACE(INDEX(GroupVertices[Group],MATCH(Edges[[#This Row],[Vertex 1]],GroupVertices[Vertex],0)),1,1,"")</f>
        <v>1</v>
      </c>
      <c r="R437" s="80" t="str">
        <f>REPLACE(INDEX(GroupVertices[Group],MATCH(Edges[[#This Row],[Vertex 2]],GroupVertices[Vertex],0)),1,1,"")</f>
        <v>1</v>
      </c>
      <c r="S437" s="34"/>
      <c r="T437" s="34"/>
      <c r="U437" s="34"/>
      <c r="V437" s="34"/>
      <c r="W437" s="34"/>
      <c r="X437" s="34"/>
      <c r="Y437" s="34"/>
      <c r="Z437" s="34"/>
      <c r="AA437" s="34"/>
    </row>
    <row r="438" spans="1:27" ht="15">
      <c r="A438" s="66" t="s">
        <v>237</v>
      </c>
      <c r="B438" s="66" t="s">
        <v>597</v>
      </c>
      <c r="C438" s="67" t="s">
        <v>4454</v>
      </c>
      <c r="D438" s="68">
        <v>5</v>
      </c>
      <c r="E438" s="69"/>
      <c r="F438" s="70">
        <v>20</v>
      </c>
      <c r="G438" s="67"/>
      <c r="H438" s="71"/>
      <c r="I438" s="72"/>
      <c r="J438" s="72"/>
      <c r="K438" s="34"/>
      <c r="L438" s="79">
        <v>438</v>
      </c>
      <c r="M438" s="79"/>
      <c r="N438" s="74"/>
      <c r="O438" s="81" t="s">
        <v>944</v>
      </c>
      <c r="P438">
        <v>1</v>
      </c>
      <c r="Q438" s="80" t="str">
        <f>REPLACE(INDEX(GroupVertices[Group],MATCH(Edges[[#This Row],[Vertex 1]],GroupVertices[Vertex],0)),1,1,"")</f>
        <v>1</v>
      </c>
      <c r="R438" s="80" t="e">
        <f>REPLACE(INDEX(GroupVertices[Group],MATCH(Edges[[#This Row],[Vertex 2]],GroupVertices[Vertex],0)),1,1,"")</f>
        <v>#N/A</v>
      </c>
      <c r="S438" s="34"/>
      <c r="T438" s="34"/>
      <c r="U438" s="34"/>
      <c r="V438" s="34"/>
      <c r="W438" s="34"/>
      <c r="X438" s="34"/>
      <c r="Y438" s="34"/>
      <c r="Z438" s="34"/>
      <c r="AA438" s="34"/>
    </row>
    <row r="439" spans="1:27" ht="15">
      <c r="A439" s="66" t="s">
        <v>234</v>
      </c>
      <c r="B439" s="66" t="s">
        <v>506</v>
      </c>
      <c r="C439" s="67" t="s">
        <v>4454</v>
      </c>
      <c r="D439" s="68">
        <v>5</v>
      </c>
      <c r="E439" s="69"/>
      <c r="F439" s="70">
        <v>20</v>
      </c>
      <c r="G439" s="67"/>
      <c r="H439" s="71"/>
      <c r="I439" s="72"/>
      <c r="J439" s="72"/>
      <c r="K439" s="34" t="s">
        <v>65</v>
      </c>
      <c r="L439" s="79">
        <v>439</v>
      </c>
      <c r="M439" s="79"/>
      <c r="N439" s="74"/>
      <c r="O439" s="81" t="s">
        <v>944</v>
      </c>
      <c r="P439">
        <v>1</v>
      </c>
      <c r="Q439" s="80" t="str">
        <f>REPLACE(INDEX(GroupVertices[Group],MATCH(Edges[[#This Row],[Vertex 1]],GroupVertices[Vertex],0)),1,1,"")</f>
        <v>4</v>
      </c>
      <c r="R439" s="80" t="str">
        <f>REPLACE(INDEX(GroupVertices[Group],MATCH(Edges[[#This Row],[Vertex 2]],GroupVertices[Vertex],0)),1,1,"")</f>
        <v>4</v>
      </c>
      <c r="S439" s="34"/>
      <c r="T439" s="34"/>
      <c r="U439" s="34"/>
      <c r="V439" s="34"/>
      <c r="W439" s="34"/>
      <c r="X439" s="34"/>
      <c r="Y439" s="34"/>
      <c r="Z439" s="34"/>
      <c r="AA439" s="34"/>
    </row>
    <row r="440" spans="1:27" ht="15">
      <c r="A440" s="66" t="s">
        <v>237</v>
      </c>
      <c r="B440" s="66" t="s">
        <v>506</v>
      </c>
      <c r="C440" s="67" t="s">
        <v>4454</v>
      </c>
      <c r="D440" s="68">
        <v>5</v>
      </c>
      <c r="E440" s="69"/>
      <c r="F440" s="70">
        <v>20</v>
      </c>
      <c r="G440" s="67"/>
      <c r="H440" s="71"/>
      <c r="I440" s="72"/>
      <c r="J440" s="72"/>
      <c r="K440" s="34" t="s">
        <v>65</v>
      </c>
      <c r="L440" s="79">
        <v>440</v>
      </c>
      <c r="M440" s="79"/>
      <c r="N440" s="74"/>
      <c r="O440" s="81" t="s">
        <v>944</v>
      </c>
      <c r="P440">
        <v>1</v>
      </c>
      <c r="Q440" s="80" t="str">
        <f>REPLACE(INDEX(GroupVertices[Group],MATCH(Edges[[#This Row],[Vertex 1]],GroupVertices[Vertex],0)),1,1,"")</f>
        <v>1</v>
      </c>
      <c r="R440" s="80" t="str">
        <f>REPLACE(INDEX(GroupVertices[Group],MATCH(Edges[[#This Row],[Vertex 2]],GroupVertices[Vertex],0)),1,1,"")</f>
        <v>4</v>
      </c>
      <c r="S440" s="34"/>
      <c r="T440" s="34"/>
      <c r="U440" s="34"/>
      <c r="V440" s="34"/>
      <c r="W440" s="34"/>
      <c r="X440" s="34"/>
      <c r="Y440" s="34"/>
      <c r="Z440" s="34"/>
      <c r="AA440" s="34"/>
    </row>
    <row r="441" spans="1:27" ht="15">
      <c r="A441" s="66" t="s">
        <v>212</v>
      </c>
      <c r="B441" s="66" t="s">
        <v>598</v>
      </c>
      <c r="C441" s="67" t="s">
        <v>4454</v>
      </c>
      <c r="D441" s="68">
        <v>5</v>
      </c>
      <c r="E441" s="69"/>
      <c r="F441" s="70">
        <v>20</v>
      </c>
      <c r="G441" s="67"/>
      <c r="H441" s="71"/>
      <c r="I441" s="72"/>
      <c r="J441" s="72"/>
      <c r="K441" s="34"/>
      <c r="L441" s="79">
        <v>441</v>
      </c>
      <c r="M441" s="79"/>
      <c r="N441" s="74"/>
      <c r="O441" s="81" t="s">
        <v>944</v>
      </c>
      <c r="P441">
        <v>1</v>
      </c>
      <c r="Q441" s="80" t="e">
        <f>REPLACE(INDEX(GroupVertices[Group],MATCH(Edges[[#This Row],[Vertex 1]],GroupVertices[Vertex],0)),1,1,"")</f>
        <v>#N/A</v>
      </c>
      <c r="R441" s="80" t="str">
        <f>REPLACE(INDEX(GroupVertices[Group],MATCH(Edges[[#This Row],[Vertex 2]],GroupVertices[Vertex],0)),1,1,"")</f>
        <v>1</v>
      </c>
      <c r="S441" s="34"/>
      <c r="T441" s="34"/>
      <c r="U441" s="34"/>
      <c r="V441" s="34"/>
      <c r="W441" s="34"/>
      <c r="X441" s="34"/>
      <c r="Y441" s="34"/>
      <c r="Z441" s="34"/>
      <c r="AA441" s="34"/>
    </row>
    <row r="442" spans="1:27" ht="15">
      <c r="A442" s="66" t="s">
        <v>212</v>
      </c>
      <c r="B442" s="66" t="s">
        <v>257</v>
      </c>
      <c r="C442" s="67" t="s">
        <v>4454</v>
      </c>
      <c r="D442" s="68">
        <v>5</v>
      </c>
      <c r="E442" s="69"/>
      <c r="F442" s="70">
        <v>20</v>
      </c>
      <c r="G442" s="67"/>
      <c r="H442" s="71"/>
      <c r="I442" s="72"/>
      <c r="J442" s="72"/>
      <c r="K442" s="34"/>
      <c r="L442" s="79">
        <v>442</v>
      </c>
      <c r="M442" s="79"/>
      <c r="N442" s="74"/>
      <c r="O442" s="81" t="s">
        <v>944</v>
      </c>
      <c r="P442">
        <v>1</v>
      </c>
      <c r="Q442" s="80" t="e">
        <f>REPLACE(INDEX(GroupVertices[Group],MATCH(Edges[[#This Row],[Vertex 1]],GroupVertices[Vertex],0)),1,1,"")</f>
        <v>#N/A</v>
      </c>
      <c r="R442" s="80" t="str">
        <f>REPLACE(INDEX(GroupVertices[Group],MATCH(Edges[[#This Row],[Vertex 2]],GroupVertices[Vertex],0)),1,1,"")</f>
        <v>2</v>
      </c>
      <c r="S442" s="34"/>
      <c r="T442" s="34"/>
      <c r="U442" s="34"/>
      <c r="V442" s="34"/>
      <c r="W442" s="34"/>
      <c r="X442" s="34"/>
      <c r="Y442" s="34"/>
      <c r="Z442" s="34"/>
      <c r="AA442" s="34"/>
    </row>
    <row r="443" spans="1:27" ht="15">
      <c r="A443" s="66" t="s">
        <v>212</v>
      </c>
      <c r="B443" s="66" t="s">
        <v>599</v>
      </c>
      <c r="C443" s="67" t="s">
        <v>4454</v>
      </c>
      <c r="D443" s="68">
        <v>5</v>
      </c>
      <c r="E443" s="69"/>
      <c r="F443" s="70">
        <v>20</v>
      </c>
      <c r="G443" s="67"/>
      <c r="H443" s="71"/>
      <c r="I443" s="72"/>
      <c r="J443" s="72"/>
      <c r="K443" s="34"/>
      <c r="L443" s="79">
        <v>443</v>
      </c>
      <c r="M443" s="79"/>
      <c r="N443" s="74"/>
      <c r="O443" s="81" t="s">
        <v>944</v>
      </c>
      <c r="P443">
        <v>1</v>
      </c>
      <c r="Q443" s="80" t="e">
        <f>REPLACE(INDEX(GroupVertices[Group],MATCH(Edges[[#This Row],[Vertex 1]],GroupVertices[Vertex],0)),1,1,"")</f>
        <v>#N/A</v>
      </c>
      <c r="R443" s="80" t="str">
        <f>REPLACE(INDEX(GroupVertices[Group],MATCH(Edges[[#This Row],[Vertex 2]],GroupVertices[Vertex],0)),1,1,"")</f>
        <v>1</v>
      </c>
      <c r="S443" s="34"/>
      <c r="T443" s="34"/>
      <c r="U443" s="34"/>
      <c r="V443" s="34"/>
      <c r="W443" s="34"/>
      <c r="X443" s="34"/>
      <c r="Y443" s="34"/>
      <c r="Z443" s="34"/>
      <c r="AA443" s="34"/>
    </row>
    <row r="444" spans="1:27" ht="15">
      <c r="A444" s="66" t="s">
        <v>212</v>
      </c>
      <c r="B444" s="66" t="s">
        <v>508</v>
      </c>
      <c r="C444" s="67" t="s">
        <v>4454</v>
      </c>
      <c r="D444" s="68">
        <v>5</v>
      </c>
      <c r="E444" s="69"/>
      <c r="F444" s="70">
        <v>20</v>
      </c>
      <c r="G444" s="67"/>
      <c r="H444" s="71"/>
      <c r="I444" s="72"/>
      <c r="J444" s="72"/>
      <c r="K444" s="34"/>
      <c r="L444" s="79">
        <v>444</v>
      </c>
      <c r="M444" s="79"/>
      <c r="N444" s="74"/>
      <c r="O444" s="81" t="s">
        <v>944</v>
      </c>
      <c r="P444">
        <v>1</v>
      </c>
      <c r="Q444" s="80" t="e">
        <f>REPLACE(INDEX(GroupVertices[Group],MATCH(Edges[[#This Row],[Vertex 1]],GroupVertices[Vertex],0)),1,1,"")</f>
        <v>#N/A</v>
      </c>
      <c r="R444" s="80" t="str">
        <f>REPLACE(INDEX(GroupVertices[Group],MATCH(Edges[[#This Row],[Vertex 2]],GroupVertices[Vertex],0)),1,1,"")</f>
        <v>1</v>
      </c>
      <c r="S444" s="34"/>
      <c r="T444" s="34"/>
      <c r="U444" s="34"/>
      <c r="V444" s="34"/>
      <c r="W444" s="34"/>
      <c r="X444" s="34"/>
      <c r="Y444" s="34"/>
      <c r="Z444" s="34"/>
      <c r="AA444" s="34"/>
    </row>
    <row r="445" spans="1:27" ht="15">
      <c r="A445" s="66" t="s">
        <v>212</v>
      </c>
      <c r="B445" s="66" t="s">
        <v>510</v>
      </c>
      <c r="C445" s="67" t="s">
        <v>4454</v>
      </c>
      <c r="D445" s="68">
        <v>5</v>
      </c>
      <c r="E445" s="69"/>
      <c r="F445" s="70">
        <v>20</v>
      </c>
      <c r="G445" s="67"/>
      <c r="H445" s="71"/>
      <c r="I445" s="72"/>
      <c r="J445" s="72"/>
      <c r="K445" s="34"/>
      <c r="L445" s="79">
        <v>445</v>
      </c>
      <c r="M445" s="79"/>
      <c r="N445" s="74"/>
      <c r="O445" s="81" t="s">
        <v>944</v>
      </c>
      <c r="P445">
        <v>1</v>
      </c>
      <c r="Q445" s="80" t="e">
        <f>REPLACE(INDEX(GroupVertices[Group],MATCH(Edges[[#This Row],[Vertex 1]],GroupVertices[Vertex],0)),1,1,"")</f>
        <v>#N/A</v>
      </c>
      <c r="R445" s="80" t="str">
        <f>REPLACE(INDEX(GroupVertices[Group],MATCH(Edges[[#This Row],[Vertex 2]],GroupVertices[Vertex],0)),1,1,"")</f>
        <v>2</v>
      </c>
      <c r="S445" s="34"/>
      <c r="T445" s="34"/>
      <c r="U445" s="34"/>
      <c r="V445" s="34"/>
      <c r="W445" s="34"/>
      <c r="X445" s="34"/>
      <c r="Y445" s="34"/>
      <c r="Z445" s="34"/>
      <c r="AA445" s="34"/>
    </row>
    <row r="446" spans="1:27" ht="15">
      <c r="A446" s="66" t="s">
        <v>212</v>
      </c>
      <c r="B446" s="66" t="s">
        <v>238</v>
      </c>
      <c r="C446" s="67" t="s">
        <v>4454</v>
      </c>
      <c r="D446" s="68">
        <v>5</v>
      </c>
      <c r="E446" s="69"/>
      <c r="F446" s="70">
        <v>20</v>
      </c>
      <c r="G446" s="67"/>
      <c r="H446" s="71"/>
      <c r="I446" s="72"/>
      <c r="J446" s="72"/>
      <c r="K446" s="34"/>
      <c r="L446" s="79">
        <v>446</v>
      </c>
      <c r="M446" s="79"/>
      <c r="N446" s="74"/>
      <c r="O446" s="81" t="s">
        <v>944</v>
      </c>
      <c r="P446">
        <v>1</v>
      </c>
      <c r="Q446" s="80" t="e">
        <f>REPLACE(INDEX(GroupVertices[Group],MATCH(Edges[[#This Row],[Vertex 1]],GroupVertices[Vertex],0)),1,1,"")</f>
        <v>#N/A</v>
      </c>
      <c r="R446" s="80" t="str">
        <f>REPLACE(INDEX(GroupVertices[Group],MATCH(Edges[[#This Row],[Vertex 2]],GroupVertices[Vertex],0)),1,1,"")</f>
        <v>2</v>
      </c>
      <c r="S446" s="34"/>
      <c r="T446" s="34"/>
      <c r="U446" s="34"/>
      <c r="V446" s="34"/>
      <c r="W446" s="34"/>
      <c r="X446" s="34"/>
      <c r="Y446" s="34"/>
      <c r="Z446" s="34"/>
      <c r="AA446" s="34"/>
    </row>
    <row r="447" spans="1:27" ht="15">
      <c r="A447" s="66" t="s">
        <v>212</v>
      </c>
      <c r="B447" s="66" t="s">
        <v>246</v>
      </c>
      <c r="C447" s="67" t="s">
        <v>4454</v>
      </c>
      <c r="D447" s="68">
        <v>5</v>
      </c>
      <c r="E447" s="69"/>
      <c r="F447" s="70">
        <v>20</v>
      </c>
      <c r="G447" s="67"/>
      <c r="H447" s="71"/>
      <c r="I447" s="72"/>
      <c r="J447" s="72"/>
      <c r="K447" s="34"/>
      <c r="L447" s="79">
        <v>447</v>
      </c>
      <c r="M447" s="79"/>
      <c r="N447" s="74"/>
      <c r="O447" s="81" t="s">
        <v>944</v>
      </c>
      <c r="P447">
        <v>1</v>
      </c>
      <c r="Q447" s="80" t="e">
        <f>REPLACE(INDEX(GroupVertices[Group],MATCH(Edges[[#This Row],[Vertex 1]],GroupVertices[Vertex],0)),1,1,"")</f>
        <v>#N/A</v>
      </c>
      <c r="R447" s="80" t="str">
        <f>REPLACE(INDEX(GroupVertices[Group],MATCH(Edges[[#This Row],[Vertex 2]],GroupVertices[Vertex],0)),1,1,"")</f>
        <v>2</v>
      </c>
      <c r="S447" s="34"/>
      <c r="T447" s="34"/>
      <c r="U447" s="34"/>
      <c r="V447" s="34"/>
      <c r="W447" s="34"/>
      <c r="X447" s="34"/>
      <c r="Y447" s="34"/>
      <c r="Z447" s="34"/>
      <c r="AA447" s="34"/>
    </row>
    <row r="448" spans="1:27" ht="15">
      <c r="A448" s="66" t="s">
        <v>212</v>
      </c>
      <c r="B448" s="66" t="s">
        <v>256</v>
      </c>
      <c r="C448" s="67" t="s">
        <v>4454</v>
      </c>
      <c r="D448" s="68">
        <v>5</v>
      </c>
      <c r="E448" s="69"/>
      <c r="F448" s="70">
        <v>20</v>
      </c>
      <c r="G448" s="67"/>
      <c r="H448" s="71"/>
      <c r="I448" s="72"/>
      <c r="J448" s="72"/>
      <c r="K448" s="34"/>
      <c r="L448" s="79">
        <v>448</v>
      </c>
      <c r="M448" s="79"/>
      <c r="N448" s="74"/>
      <c r="O448" s="81" t="s">
        <v>944</v>
      </c>
      <c r="P448">
        <v>1</v>
      </c>
      <c r="Q448" s="80" t="e">
        <f>REPLACE(INDEX(GroupVertices[Group],MATCH(Edges[[#This Row],[Vertex 1]],GroupVertices[Vertex],0)),1,1,"")</f>
        <v>#N/A</v>
      </c>
      <c r="R448" s="80" t="str">
        <f>REPLACE(INDEX(GroupVertices[Group],MATCH(Edges[[#This Row],[Vertex 2]],GroupVertices[Vertex],0)),1,1,"")</f>
        <v>1</v>
      </c>
      <c r="S448" s="34"/>
      <c r="T448" s="34"/>
      <c r="U448" s="34"/>
      <c r="V448" s="34"/>
      <c r="W448" s="34"/>
      <c r="X448" s="34"/>
      <c r="Y448" s="34"/>
      <c r="Z448" s="34"/>
      <c r="AA448" s="34"/>
    </row>
    <row r="449" spans="1:27" ht="15">
      <c r="A449" s="66" t="s">
        <v>212</v>
      </c>
      <c r="B449" s="66" t="s">
        <v>247</v>
      </c>
      <c r="C449" s="67" t="s">
        <v>4454</v>
      </c>
      <c r="D449" s="68">
        <v>5</v>
      </c>
      <c r="E449" s="69"/>
      <c r="F449" s="70">
        <v>20</v>
      </c>
      <c r="G449" s="67"/>
      <c r="H449" s="71"/>
      <c r="I449" s="72"/>
      <c r="J449" s="72"/>
      <c r="K449" s="34"/>
      <c r="L449" s="79">
        <v>449</v>
      </c>
      <c r="M449" s="79"/>
      <c r="N449" s="74"/>
      <c r="O449" s="81" t="s">
        <v>944</v>
      </c>
      <c r="P449">
        <v>1</v>
      </c>
      <c r="Q449" s="80" t="e">
        <f>REPLACE(INDEX(GroupVertices[Group],MATCH(Edges[[#This Row],[Vertex 1]],GroupVertices[Vertex],0)),1,1,"")</f>
        <v>#N/A</v>
      </c>
      <c r="R449" s="80" t="str">
        <f>REPLACE(INDEX(GroupVertices[Group],MATCH(Edges[[#This Row],[Vertex 2]],GroupVertices[Vertex],0)),1,1,"")</f>
        <v>2</v>
      </c>
      <c r="S449" s="34"/>
      <c r="T449" s="34"/>
      <c r="U449" s="34"/>
      <c r="V449" s="34"/>
      <c r="W449" s="34"/>
      <c r="X449" s="34"/>
      <c r="Y449" s="34"/>
      <c r="Z449" s="34"/>
      <c r="AA449" s="34"/>
    </row>
    <row r="450" spans="1:27" ht="15">
      <c r="A450" s="66" t="s">
        <v>212</v>
      </c>
      <c r="B450" s="66" t="s">
        <v>260</v>
      </c>
      <c r="C450" s="67" t="s">
        <v>4454</v>
      </c>
      <c r="D450" s="68">
        <v>5</v>
      </c>
      <c r="E450" s="69"/>
      <c r="F450" s="70">
        <v>20</v>
      </c>
      <c r="G450" s="67"/>
      <c r="H450" s="71"/>
      <c r="I450" s="72"/>
      <c r="J450" s="72"/>
      <c r="K450" s="34"/>
      <c r="L450" s="79">
        <v>450</v>
      </c>
      <c r="M450" s="79"/>
      <c r="N450" s="74"/>
      <c r="O450" s="81" t="s">
        <v>944</v>
      </c>
      <c r="P450">
        <v>1</v>
      </c>
      <c r="Q450" s="80" t="e">
        <f>REPLACE(INDEX(GroupVertices[Group],MATCH(Edges[[#This Row],[Vertex 1]],GroupVertices[Vertex],0)),1,1,"")</f>
        <v>#N/A</v>
      </c>
      <c r="R450" s="80" t="str">
        <f>REPLACE(INDEX(GroupVertices[Group],MATCH(Edges[[#This Row],[Vertex 2]],GroupVertices[Vertex],0)),1,1,"")</f>
        <v>2</v>
      </c>
      <c r="S450" s="34"/>
      <c r="T450" s="34"/>
      <c r="U450" s="34"/>
      <c r="V450" s="34"/>
      <c r="W450" s="34"/>
      <c r="X450" s="34"/>
      <c r="Y450" s="34"/>
      <c r="Z450" s="34"/>
      <c r="AA450" s="34"/>
    </row>
    <row r="451" spans="1:27" ht="15">
      <c r="A451" s="66" t="s">
        <v>212</v>
      </c>
      <c r="B451" s="66" t="s">
        <v>240</v>
      </c>
      <c r="C451" s="67" t="s">
        <v>4454</v>
      </c>
      <c r="D451" s="68">
        <v>5</v>
      </c>
      <c r="E451" s="69"/>
      <c r="F451" s="70">
        <v>20</v>
      </c>
      <c r="G451" s="67"/>
      <c r="H451" s="71"/>
      <c r="I451" s="72"/>
      <c r="J451" s="72"/>
      <c r="K451" s="34"/>
      <c r="L451" s="79">
        <v>451</v>
      </c>
      <c r="M451" s="79"/>
      <c r="N451" s="74"/>
      <c r="O451" s="81" t="s">
        <v>944</v>
      </c>
      <c r="P451">
        <v>1</v>
      </c>
      <c r="Q451" s="80" t="e">
        <f>REPLACE(INDEX(GroupVertices[Group],MATCH(Edges[[#This Row],[Vertex 1]],GroupVertices[Vertex],0)),1,1,"")</f>
        <v>#N/A</v>
      </c>
      <c r="R451" s="80" t="str">
        <f>REPLACE(INDEX(GroupVertices[Group],MATCH(Edges[[#This Row],[Vertex 2]],GroupVertices[Vertex],0)),1,1,"")</f>
        <v>2</v>
      </c>
      <c r="S451" s="34"/>
      <c r="T451" s="34"/>
      <c r="U451" s="34"/>
      <c r="V451" s="34"/>
      <c r="W451" s="34"/>
      <c r="X451" s="34"/>
      <c r="Y451" s="34"/>
      <c r="Z451" s="34"/>
      <c r="AA451" s="34"/>
    </row>
    <row r="452" spans="1:27" ht="15">
      <c r="A452" s="66" t="s">
        <v>212</v>
      </c>
      <c r="B452" s="66" t="s">
        <v>255</v>
      </c>
      <c r="C452" s="67" t="s">
        <v>4454</v>
      </c>
      <c r="D452" s="68">
        <v>5</v>
      </c>
      <c r="E452" s="69"/>
      <c r="F452" s="70">
        <v>20</v>
      </c>
      <c r="G452" s="67"/>
      <c r="H452" s="71"/>
      <c r="I452" s="72"/>
      <c r="J452" s="72"/>
      <c r="K452" s="34"/>
      <c r="L452" s="79">
        <v>452</v>
      </c>
      <c r="M452" s="79"/>
      <c r="N452" s="74"/>
      <c r="O452" s="81" t="s">
        <v>944</v>
      </c>
      <c r="P452">
        <v>1</v>
      </c>
      <c r="Q452" s="80" t="e">
        <f>REPLACE(INDEX(GroupVertices[Group],MATCH(Edges[[#This Row],[Vertex 1]],GroupVertices[Vertex],0)),1,1,"")</f>
        <v>#N/A</v>
      </c>
      <c r="R452" s="80" t="str">
        <f>REPLACE(INDEX(GroupVertices[Group],MATCH(Edges[[#This Row],[Vertex 2]],GroupVertices[Vertex],0)),1,1,"")</f>
        <v>4</v>
      </c>
      <c r="S452" s="34"/>
      <c r="T452" s="34"/>
      <c r="U452" s="34"/>
      <c r="V452" s="34"/>
      <c r="W452" s="34"/>
      <c r="X452" s="34"/>
      <c r="Y452" s="34"/>
      <c r="Z452" s="34"/>
      <c r="AA452" s="34"/>
    </row>
    <row r="453" spans="1:27" ht="15">
      <c r="A453" s="66" t="s">
        <v>212</v>
      </c>
      <c r="B453" s="66" t="s">
        <v>600</v>
      </c>
      <c r="C453" s="67" t="s">
        <v>4454</v>
      </c>
      <c r="D453" s="68">
        <v>5</v>
      </c>
      <c r="E453" s="69"/>
      <c r="F453" s="70">
        <v>20</v>
      </c>
      <c r="G453" s="67"/>
      <c r="H453" s="71"/>
      <c r="I453" s="72"/>
      <c r="J453" s="72"/>
      <c r="K453" s="34"/>
      <c r="L453" s="79">
        <v>453</v>
      </c>
      <c r="M453" s="79"/>
      <c r="N453" s="74"/>
      <c r="O453" s="81" t="s">
        <v>944</v>
      </c>
      <c r="P453">
        <v>1</v>
      </c>
      <c r="Q453" s="80" t="e">
        <f>REPLACE(INDEX(GroupVertices[Group],MATCH(Edges[[#This Row],[Vertex 1]],GroupVertices[Vertex],0)),1,1,"")</f>
        <v>#N/A</v>
      </c>
      <c r="R453" s="80" t="str">
        <f>REPLACE(INDEX(GroupVertices[Group],MATCH(Edges[[#This Row],[Vertex 2]],GroupVertices[Vertex],0)),1,1,"")</f>
        <v>1</v>
      </c>
      <c r="S453" s="34"/>
      <c r="T453" s="34"/>
      <c r="U453" s="34"/>
      <c r="V453" s="34"/>
      <c r="W453" s="34"/>
      <c r="X453" s="34"/>
      <c r="Y453" s="34"/>
      <c r="Z453" s="34"/>
      <c r="AA453" s="34"/>
    </row>
    <row r="454" spans="1:27" ht="15">
      <c r="A454" s="66" t="s">
        <v>212</v>
      </c>
      <c r="B454" s="66" t="s">
        <v>241</v>
      </c>
      <c r="C454" s="67" t="s">
        <v>4454</v>
      </c>
      <c r="D454" s="68">
        <v>5</v>
      </c>
      <c r="E454" s="69"/>
      <c r="F454" s="70">
        <v>20</v>
      </c>
      <c r="G454" s="67"/>
      <c r="H454" s="71"/>
      <c r="I454" s="72"/>
      <c r="J454" s="72"/>
      <c r="K454" s="34"/>
      <c r="L454" s="79">
        <v>454</v>
      </c>
      <c r="M454" s="79"/>
      <c r="N454" s="74"/>
      <c r="O454" s="81" t="s">
        <v>944</v>
      </c>
      <c r="P454">
        <v>1</v>
      </c>
      <c r="Q454" s="80" t="e">
        <f>REPLACE(INDEX(GroupVertices[Group],MATCH(Edges[[#This Row],[Vertex 1]],GroupVertices[Vertex],0)),1,1,"")</f>
        <v>#N/A</v>
      </c>
      <c r="R454" s="80" t="str">
        <f>REPLACE(INDEX(GroupVertices[Group],MATCH(Edges[[#This Row],[Vertex 2]],GroupVertices[Vertex],0)),1,1,"")</f>
        <v>2</v>
      </c>
      <c r="S454" s="34"/>
      <c r="T454" s="34"/>
      <c r="U454" s="34"/>
      <c r="V454" s="34"/>
      <c r="W454" s="34"/>
      <c r="X454" s="34"/>
      <c r="Y454" s="34"/>
      <c r="Z454" s="34"/>
      <c r="AA454" s="34"/>
    </row>
    <row r="455" spans="1:27" ht="15">
      <c r="A455" s="66" t="s">
        <v>212</v>
      </c>
      <c r="B455" s="66" t="s">
        <v>251</v>
      </c>
      <c r="C455" s="67" t="s">
        <v>4454</v>
      </c>
      <c r="D455" s="68">
        <v>5</v>
      </c>
      <c r="E455" s="69"/>
      <c r="F455" s="70">
        <v>20</v>
      </c>
      <c r="G455" s="67"/>
      <c r="H455" s="71"/>
      <c r="I455" s="72"/>
      <c r="J455" s="72"/>
      <c r="K455" s="34"/>
      <c r="L455" s="79">
        <v>455</v>
      </c>
      <c r="M455" s="79"/>
      <c r="N455" s="74"/>
      <c r="O455" s="81" t="s">
        <v>944</v>
      </c>
      <c r="P455">
        <v>1</v>
      </c>
      <c r="Q455" s="80" t="e">
        <f>REPLACE(INDEX(GroupVertices[Group],MATCH(Edges[[#This Row],[Vertex 1]],GroupVertices[Vertex],0)),1,1,"")</f>
        <v>#N/A</v>
      </c>
      <c r="R455" s="80" t="str">
        <f>REPLACE(INDEX(GroupVertices[Group],MATCH(Edges[[#This Row],[Vertex 2]],GroupVertices[Vertex],0)),1,1,"")</f>
        <v>2</v>
      </c>
      <c r="S455" s="34"/>
      <c r="T455" s="34"/>
      <c r="U455" s="34"/>
      <c r="V455" s="34"/>
      <c r="W455" s="34"/>
      <c r="X455" s="34"/>
      <c r="Y455" s="34"/>
      <c r="Z455" s="34"/>
      <c r="AA455" s="34"/>
    </row>
    <row r="456" spans="1:27" ht="15">
      <c r="A456" s="66" t="s">
        <v>212</v>
      </c>
      <c r="B456" s="66" t="s">
        <v>261</v>
      </c>
      <c r="C456" s="67" t="s">
        <v>4454</v>
      </c>
      <c r="D456" s="68">
        <v>5</v>
      </c>
      <c r="E456" s="69"/>
      <c r="F456" s="70">
        <v>20</v>
      </c>
      <c r="G456" s="67"/>
      <c r="H456" s="71"/>
      <c r="I456" s="72"/>
      <c r="J456" s="72"/>
      <c r="K456" s="34"/>
      <c r="L456" s="79">
        <v>456</v>
      </c>
      <c r="M456" s="79"/>
      <c r="N456" s="74"/>
      <c r="O456" s="81" t="s">
        <v>944</v>
      </c>
      <c r="P456">
        <v>1</v>
      </c>
      <c r="Q456" s="80" t="e">
        <f>REPLACE(INDEX(GroupVertices[Group],MATCH(Edges[[#This Row],[Vertex 1]],GroupVertices[Vertex],0)),1,1,"")</f>
        <v>#N/A</v>
      </c>
      <c r="R456" s="80" t="str">
        <f>REPLACE(INDEX(GroupVertices[Group],MATCH(Edges[[#This Row],[Vertex 2]],GroupVertices[Vertex],0)),1,1,"")</f>
        <v>1</v>
      </c>
      <c r="S456" s="34"/>
      <c r="T456" s="34"/>
      <c r="U456" s="34"/>
      <c r="V456" s="34"/>
      <c r="W456" s="34"/>
      <c r="X456" s="34"/>
      <c r="Y456" s="34"/>
      <c r="Z456" s="34"/>
      <c r="AA456" s="34"/>
    </row>
    <row r="457" spans="1:27" ht="15">
      <c r="A457" s="66" t="s">
        <v>212</v>
      </c>
      <c r="B457" s="66" t="s">
        <v>601</v>
      </c>
      <c r="C457" s="67" t="s">
        <v>4454</v>
      </c>
      <c r="D457" s="68">
        <v>5</v>
      </c>
      <c r="E457" s="69"/>
      <c r="F457" s="70">
        <v>20</v>
      </c>
      <c r="G457" s="67"/>
      <c r="H457" s="71"/>
      <c r="I457" s="72"/>
      <c r="J457" s="72"/>
      <c r="K457" s="34"/>
      <c r="L457" s="79">
        <v>457</v>
      </c>
      <c r="M457" s="79"/>
      <c r="N457" s="74"/>
      <c r="O457" s="81" t="s">
        <v>944</v>
      </c>
      <c r="P457">
        <v>1</v>
      </c>
      <c r="Q457" s="80" t="e">
        <f>REPLACE(INDEX(GroupVertices[Group],MATCH(Edges[[#This Row],[Vertex 1]],GroupVertices[Vertex],0)),1,1,"")</f>
        <v>#N/A</v>
      </c>
      <c r="R457" s="80" t="str">
        <f>REPLACE(INDEX(GroupVertices[Group],MATCH(Edges[[#This Row],[Vertex 2]],GroupVertices[Vertex],0)),1,1,"")</f>
        <v>3</v>
      </c>
      <c r="S457" s="34"/>
      <c r="T457" s="34"/>
      <c r="U457" s="34"/>
      <c r="V457" s="34"/>
      <c r="W457" s="34"/>
      <c r="X457" s="34"/>
      <c r="Y457" s="34"/>
      <c r="Z457" s="34"/>
      <c r="AA457" s="34"/>
    </row>
    <row r="458" spans="1:27" ht="15">
      <c r="A458" s="66" t="s">
        <v>212</v>
      </c>
      <c r="B458" s="66" t="s">
        <v>243</v>
      </c>
      <c r="C458" s="67" t="s">
        <v>4454</v>
      </c>
      <c r="D458" s="68">
        <v>5</v>
      </c>
      <c r="E458" s="69"/>
      <c r="F458" s="70">
        <v>20</v>
      </c>
      <c r="G458" s="67"/>
      <c r="H458" s="71"/>
      <c r="I458" s="72"/>
      <c r="J458" s="72"/>
      <c r="K458" s="34"/>
      <c r="L458" s="79">
        <v>458</v>
      </c>
      <c r="M458" s="79"/>
      <c r="N458" s="74"/>
      <c r="O458" s="81" t="s">
        <v>944</v>
      </c>
      <c r="P458">
        <v>1</v>
      </c>
      <c r="Q458" s="80" t="e">
        <f>REPLACE(INDEX(GroupVertices[Group],MATCH(Edges[[#This Row],[Vertex 1]],GroupVertices[Vertex],0)),1,1,"")</f>
        <v>#N/A</v>
      </c>
      <c r="R458" s="80" t="str">
        <f>REPLACE(INDEX(GroupVertices[Group],MATCH(Edges[[#This Row],[Vertex 2]],GroupVertices[Vertex],0)),1,1,"")</f>
        <v>2</v>
      </c>
      <c r="S458" s="34"/>
      <c r="T458" s="34"/>
      <c r="U458" s="34"/>
      <c r="V458" s="34"/>
      <c r="W458" s="34"/>
      <c r="X458" s="34"/>
      <c r="Y458" s="34"/>
      <c r="Z458" s="34"/>
      <c r="AA458" s="34"/>
    </row>
    <row r="459" spans="1:27" ht="15">
      <c r="A459" s="66" t="s">
        <v>212</v>
      </c>
      <c r="B459" s="66" t="s">
        <v>242</v>
      </c>
      <c r="C459" s="67" t="s">
        <v>4454</v>
      </c>
      <c r="D459" s="68">
        <v>5</v>
      </c>
      <c r="E459" s="69"/>
      <c r="F459" s="70">
        <v>20</v>
      </c>
      <c r="G459" s="67"/>
      <c r="H459" s="71"/>
      <c r="I459" s="72"/>
      <c r="J459" s="72"/>
      <c r="K459" s="34"/>
      <c r="L459" s="79">
        <v>459</v>
      </c>
      <c r="M459" s="79"/>
      <c r="N459" s="74"/>
      <c r="O459" s="81" t="s">
        <v>944</v>
      </c>
      <c r="P459">
        <v>1</v>
      </c>
      <c r="Q459" s="80" t="e">
        <f>REPLACE(INDEX(GroupVertices[Group],MATCH(Edges[[#This Row],[Vertex 1]],GroupVertices[Vertex],0)),1,1,"")</f>
        <v>#N/A</v>
      </c>
      <c r="R459" s="80" t="str">
        <f>REPLACE(INDEX(GroupVertices[Group],MATCH(Edges[[#This Row],[Vertex 2]],GroupVertices[Vertex],0)),1,1,"")</f>
        <v>1</v>
      </c>
      <c r="S459" s="34"/>
      <c r="T459" s="34"/>
      <c r="U459" s="34"/>
      <c r="V459" s="34"/>
      <c r="W459" s="34"/>
      <c r="X459" s="34"/>
      <c r="Y459" s="34"/>
      <c r="Z459" s="34"/>
      <c r="AA459" s="34"/>
    </row>
    <row r="460" spans="1:27" ht="15">
      <c r="A460" s="66" t="s">
        <v>212</v>
      </c>
      <c r="B460" s="66" t="s">
        <v>602</v>
      </c>
      <c r="C460" s="67" t="s">
        <v>4454</v>
      </c>
      <c r="D460" s="68">
        <v>5</v>
      </c>
      <c r="E460" s="69"/>
      <c r="F460" s="70">
        <v>20</v>
      </c>
      <c r="G460" s="67"/>
      <c r="H460" s="71"/>
      <c r="I460" s="72"/>
      <c r="J460" s="72"/>
      <c r="K460" s="34"/>
      <c r="L460" s="79">
        <v>460</v>
      </c>
      <c r="M460" s="79"/>
      <c r="N460" s="74"/>
      <c r="O460" s="81" t="s">
        <v>944</v>
      </c>
      <c r="P460">
        <v>1</v>
      </c>
      <c r="Q460" s="80" t="e">
        <f>REPLACE(INDEX(GroupVertices[Group],MATCH(Edges[[#This Row],[Vertex 1]],GroupVertices[Vertex],0)),1,1,"")</f>
        <v>#N/A</v>
      </c>
      <c r="R460" s="80" t="str">
        <f>REPLACE(INDEX(GroupVertices[Group],MATCH(Edges[[#This Row],[Vertex 2]],GroupVertices[Vertex],0)),1,1,"")</f>
        <v>2</v>
      </c>
      <c r="S460" s="34"/>
      <c r="T460" s="34"/>
      <c r="U460" s="34"/>
      <c r="V460" s="34"/>
      <c r="W460" s="34"/>
      <c r="X460" s="34"/>
      <c r="Y460" s="34"/>
      <c r="Z460" s="34"/>
      <c r="AA460" s="34"/>
    </row>
    <row r="461" spans="1:27" ht="15">
      <c r="A461" s="66" t="s">
        <v>212</v>
      </c>
      <c r="B461" s="66" t="s">
        <v>248</v>
      </c>
      <c r="C461" s="67" t="s">
        <v>4454</v>
      </c>
      <c r="D461" s="68">
        <v>5</v>
      </c>
      <c r="E461" s="69"/>
      <c r="F461" s="70">
        <v>20</v>
      </c>
      <c r="G461" s="67"/>
      <c r="H461" s="71"/>
      <c r="I461" s="72"/>
      <c r="J461" s="72"/>
      <c r="K461" s="34"/>
      <c r="L461" s="79">
        <v>461</v>
      </c>
      <c r="M461" s="79"/>
      <c r="N461" s="74"/>
      <c r="O461" s="81" t="s">
        <v>944</v>
      </c>
      <c r="P461">
        <v>1</v>
      </c>
      <c r="Q461" s="80" t="e">
        <f>REPLACE(INDEX(GroupVertices[Group],MATCH(Edges[[#This Row],[Vertex 1]],GroupVertices[Vertex],0)),1,1,"")</f>
        <v>#N/A</v>
      </c>
      <c r="R461" s="80" t="str">
        <f>REPLACE(INDEX(GroupVertices[Group],MATCH(Edges[[#This Row],[Vertex 2]],GroupVertices[Vertex],0)),1,1,"")</f>
        <v>1</v>
      </c>
      <c r="S461" s="34"/>
      <c r="T461" s="34"/>
      <c r="U461" s="34"/>
      <c r="V461" s="34"/>
      <c r="W461" s="34"/>
      <c r="X461" s="34"/>
      <c r="Y461" s="34"/>
      <c r="Z461" s="34"/>
      <c r="AA461" s="34"/>
    </row>
    <row r="462" spans="1:27" ht="15">
      <c r="A462" s="66" t="s">
        <v>212</v>
      </c>
      <c r="B462" s="66" t="s">
        <v>603</v>
      </c>
      <c r="C462" s="67" t="s">
        <v>4454</v>
      </c>
      <c r="D462" s="68">
        <v>5</v>
      </c>
      <c r="E462" s="69"/>
      <c r="F462" s="70">
        <v>20</v>
      </c>
      <c r="G462" s="67"/>
      <c r="H462" s="71"/>
      <c r="I462" s="72"/>
      <c r="J462" s="72"/>
      <c r="K462" s="34"/>
      <c r="L462" s="79">
        <v>462</v>
      </c>
      <c r="M462" s="79"/>
      <c r="N462" s="74"/>
      <c r="O462" s="81" t="s">
        <v>944</v>
      </c>
      <c r="P462">
        <v>1</v>
      </c>
      <c r="Q462" s="80" t="e">
        <f>REPLACE(INDEX(GroupVertices[Group],MATCH(Edges[[#This Row],[Vertex 1]],GroupVertices[Vertex],0)),1,1,"")</f>
        <v>#N/A</v>
      </c>
      <c r="R462" s="80" t="str">
        <f>REPLACE(INDEX(GroupVertices[Group],MATCH(Edges[[#This Row],[Vertex 2]],GroupVertices[Vertex],0)),1,1,"")</f>
        <v>2</v>
      </c>
      <c r="S462" s="34"/>
      <c r="T462" s="34"/>
      <c r="U462" s="34"/>
      <c r="V462" s="34"/>
      <c r="W462" s="34"/>
      <c r="X462" s="34"/>
      <c r="Y462" s="34"/>
      <c r="Z462" s="34"/>
      <c r="AA462" s="34"/>
    </row>
    <row r="463" spans="1:27" ht="15">
      <c r="A463" s="66" t="s">
        <v>212</v>
      </c>
      <c r="B463" s="66" t="s">
        <v>252</v>
      </c>
      <c r="C463" s="67" t="s">
        <v>4454</v>
      </c>
      <c r="D463" s="68">
        <v>5</v>
      </c>
      <c r="E463" s="69"/>
      <c r="F463" s="70">
        <v>20</v>
      </c>
      <c r="G463" s="67"/>
      <c r="H463" s="71"/>
      <c r="I463" s="72"/>
      <c r="J463" s="72"/>
      <c r="K463" s="34"/>
      <c r="L463" s="79">
        <v>463</v>
      </c>
      <c r="M463" s="79"/>
      <c r="N463" s="74"/>
      <c r="O463" s="81" t="s">
        <v>944</v>
      </c>
      <c r="P463">
        <v>1</v>
      </c>
      <c r="Q463" s="80" t="e">
        <f>REPLACE(INDEX(GroupVertices[Group],MATCH(Edges[[#This Row],[Vertex 1]],GroupVertices[Vertex],0)),1,1,"")</f>
        <v>#N/A</v>
      </c>
      <c r="R463" s="80" t="str">
        <f>REPLACE(INDEX(GroupVertices[Group],MATCH(Edges[[#This Row],[Vertex 2]],GroupVertices[Vertex],0)),1,1,"")</f>
        <v>1</v>
      </c>
      <c r="S463" s="34"/>
      <c r="T463" s="34"/>
      <c r="U463" s="34"/>
      <c r="V463" s="34"/>
      <c r="W463" s="34"/>
      <c r="X463" s="34"/>
      <c r="Y463" s="34"/>
      <c r="Z463" s="34"/>
      <c r="AA463" s="34"/>
    </row>
    <row r="464" spans="1:27" ht="15">
      <c r="A464" s="66" t="s">
        <v>212</v>
      </c>
      <c r="B464" s="66" t="s">
        <v>249</v>
      </c>
      <c r="C464" s="67" t="s">
        <v>4454</v>
      </c>
      <c r="D464" s="68">
        <v>5</v>
      </c>
      <c r="E464" s="69"/>
      <c r="F464" s="70">
        <v>20</v>
      </c>
      <c r="G464" s="67"/>
      <c r="H464" s="71"/>
      <c r="I464" s="72"/>
      <c r="J464" s="72"/>
      <c r="K464" s="34"/>
      <c r="L464" s="79">
        <v>464</v>
      </c>
      <c r="M464" s="79"/>
      <c r="N464" s="74"/>
      <c r="O464" s="81" t="s">
        <v>944</v>
      </c>
      <c r="P464">
        <v>1</v>
      </c>
      <c r="Q464" s="80" t="e">
        <f>REPLACE(INDEX(GroupVertices[Group],MATCH(Edges[[#This Row],[Vertex 1]],GroupVertices[Vertex],0)),1,1,"")</f>
        <v>#N/A</v>
      </c>
      <c r="R464" s="80" t="str">
        <f>REPLACE(INDEX(GroupVertices[Group],MATCH(Edges[[#This Row],[Vertex 2]],GroupVertices[Vertex],0)),1,1,"")</f>
        <v>2</v>
      </c>
      <c r="S464" s="34"/>
      <c r="T464" s="34"/>
      <c r="U464" s="34"/>
      <c r="V464" s="34"/>
      <c r="W464" s="34"/>
      <c r="X464" s="34"/>
      <c r="Y464" s="34"/>
      <c r="Z464" s="34"/>
      <c r="AA464" s="34"/>
    </row>
    <row r="465" spans="1:27" ht="15">
      <c r="A465" s="66" t="s">
        <v>212</v>
      </c>
      <c r="B465" s="66" t="s">
        <v>604</v>
      </c>
      <c r="C465" s="67" t="s">
        <v>4454</v>
      </c>
      <c r="D465" s="68">
        <v>5</v>
      </c>
      <c r="E465" s="69"/>
      <c r="F465" s="70">
        <v>20</v>
      </c>
      <c r="G465" s="67"/>
      <c r="H465" s="71"/>
      <c r="I465" s="72"/>
      <c r="J465" s="72"/>
      <c r="K465" s="34"/>
      <c r="L465" s="79">
        <v>465</v>
      </c>
      <c r="M465" s="79"/>
      <c r="N465" s="74"/>
      <c r="O465" s="81" t="s">
        <v>944</v>
      </c>
      <c r="P465">
        <v>1</v>
      </c>
      <c r="Q465" s="80" t="e">
        <f>REPLACE(INDEX(GroupVertices[Group],MATCH(Edges[[#This Row],[Vertex 1]],GroupVertices[Vertex],0)),1,1,"")</f>
        <v>#N/A</v>
      </c>
      <c r="R465" s="80" t="str">
        <f>REPLACE(INDEX(GroupVertices[Group],MATCH(Edges[[#This Row],[Vertex 2]],GroupVertices[Vertex],0)),1,1,"")</f>
        <v>1</v>
      </c>
      <c r="S465" s="34"/>
      <c r="T465" s="34"/>
      <c r="U465" s="34"/>
      <c r="V465" s="34"/>
      <c r="W465" s="34"/>
      <c r="X465" s="34"/>
      <c r="Y465" s="34"/>
      <c r="Z465" s="34"/>
      <c r="AA465" s="34"/>
    </row>
    <row r="466" spans="1:27" ht="15">
      <c r="A466" s="66" t="s">
        <v>212</v>
      </c>
      <c r="B466" s="66" t="s">
        <v>224</v>
      </c>
      <c r="C466" s="67" t="s">
        <v>4454</v>
      </c>
      <c r="D466" s="68">
        <v>5</v>
      </c>
      <c r="E466" s="69"/>
      <c r="F466" s="70">
        <v>20</v>
      </c>
      <c r="G466" s="67"/>
      <c r="H466" s="71"/>
      <c r="I466" s="72"/>
      <c r="J466" s="72"/>
      <c r="K466" s="34"/>
      <c r="L466" s="79">
        <v>466</v>
      </c>
      <c r="M466" s="79"/>
      <c r="N466" s="74"/>
      <c r="O466" s="81" t="s">
        <v>944</v>
      </c>
      <c r="P466">
        <v>1</v>
      </c>
      <c r="Q466" s="80" t="e">
        <f>REPLACE(INDEX(GroupVertices[Group],MATCH(Edges[[#This Row],[Vertex 1]],GroupVertices[Vertex],0)),1,1,"")</f>
        <v>#N/A</v>
      </c>
      <c r="R466" s="80" t="str">
        <f>REPLACE(INDEX(GroupVertices[Group],MATCH(Edges[[#This Row],[Vertex 2]],GroupVertices[Vertex],0)),1,1,"")</f>
        <v>2</v>
      </c>
      <c r="S466" s="34"/>
      <c r="T466" s="34"/>
      <c r="U466" s="34"/>
      <c r="V466" s="34"/>
      <c r="W466" s="34"/>
      <c r="X466" s="34"/>
      <c r="Y466" s="34"/>
      <c r="Z466" s="34"/>
      <c r="AA466" s="34"/>
    </row>
    <row r="467" spans="1:27" ht="15">
      <c r="A467" s="66" t="s">
        <v>212</v>
      </c>
      <c r="B467" s="66" t="s">
        <v>254</v>
      </c>
      <c r="C467" s="67" t="s">
        <v>4454</v>
      </c>
      <c r="D467" s="68">
        <v>5</v>
      </c>
      <c r="E467" s="69"/>
      <c r="F467" s="70">
        <v>20</v>
      </c>
      <c r="G467" s="67"/>
      <c r="H467" s="71"/>
      <c r="I467" s="72"/>
      <c r="J467" s="72"/>
      <c r="K467" s="34"/>
      <c r="L467" s="79">
        <v>467</v>
      </c>
      <c r="M467" s="79"/>
      <c r="N467" s="74"/>
      <c r="O467" s="81" t="s">
        <v>944</v>
      </c>
      <c r="P467">
        <v>1</v>
      </c>
      <c r="Q467" s="80" t="e">
        <f>REPLACE(INDEX(GroupVertices[Group],MATCH(Edges[[#This Row],[Vertex 1]],GroupVertices[Vertex],0)),1,1,"")</f>
        <v>#N/A</v>
      </c>
      <c r="R467" s="80" t="str">
        <f>REPLACE(INDEX(GroupVertices[Group],MATCH(Edges[[#This Row],[Vertex 2]],GroupVertices[Vertex],0)),1,1,"")</f>
        <v>3</v>
      </c>
      <c r="S467" s="34"/>
      <c r="T467" s="34"/>
      <c r="U467" s="34"/>
      <c r="V467" s="34"/>
      <c r="W467" s="34"/>
      <c r="X467" s="34"/>
      <c r="Y467" s="34"/>
      <c r="Z467" s="34"/>
      <c r="AA467" s="34"/>
    </row>
    <row r="468" spans="1:27" ht="15">
      <c r="A468" s="66" t="s">
        <v>212</v>
      </c>
      <c r="B468" s="66" t="s">
        <v>605</v>
      </c>
      <c r="C468" s="67" t="s">
        <v>4454</v>
      </c>
      <c r="D468" s="68">
        <v>5</v>
      </c>
      <c r="E468" s="69"/>
      <c r="F468" s="70">
        <v>20</v>
      </c>
      <c r="G468" s="67"/>
      <c r="H468" s="71"/>
      <c r="I468" s="72"/>
      <c r="J468" s="72"/>
      <c r="K468" s="34"/>
      <c r="L468" s="79">
        <v>468</v>
      </c>
      <c r="M468" s="79"/>
      <c r="N468" s="74"/>
      <c r="O468" s="81" t="s">
        <v>944</v>
      </c>
      <c r="P468">
        <v>1</v>
      </c>
      <c r="Q468" s="80" t="e">
        <f>REPLACE(INDEX(GroupVertices[Group],MATCH(Edges[[#This Row],[Vertex 1]],GroupVertices[Vertex],0)),1,1,"")</f>
        <v>#N/A</v>
      </c>
      <c r="R468" s="80" t="str">
        <f>REPLACE(INDEX(GroupVertices[Group],MATCH(Edges[[#This Row],[Vertex 2]],GroupVertices[Vertex],0)),1,1,"")</f>
        <v>1</v>
      </c>
      <c r="S468" s="34"/>
      <c r="T468" s="34"/>
      <c r="U468" s="34"/>
      <c r="V468" s="34"/>
      <c r="W468" s="34"/>
      <c r="X468" s="34"/>
      <c r="Y468" s="34"/>
      <c r="Z468" s="34"/>
      <c r="AA468" s="34"/>
    </row>
    <row r="469" spans="1:27" ht="15">
      <c r="A469" s="66" t="s">
        <v>212</v>
      </c>
      <c r="B469" s="66" t="s">
        <v>606</v>
      </c>
      <c r="C469" s="67" t="s">
        <v>4454</v>
      </c>
      <c r="D469" s="68">
        <v>5</v>
      </c>
      <c r="E469" s="69"/>
      <c r="F469" s="70">
        <v>20</v>
      </c>
      <c r="G469" s="67"/>
      <c r="H469" s="71"/>
      <c r="I469" s="72"/>
      <c r="J469" s="72"/>
      <c r="K469" s="34"/>
      <c r="L469" s="79">
        <v>469</v>
      </c>
      <c r="M469" s="79"/>
      <c r="N469" s="74"/>
      <c r="O469" s="81" t="s">
        <v>944</v>
      </c>
      <c r="P469">
        <v>1</v>
      </c>
      <c r="Q469" s="80" t="e">
        <f>REPLACE(INDEX(GroupVertices[Group],MATCH(Edges[[#This Row],[Vertex 1]],GroupVertices[Vertex],0)),1,1,"")</f>
        <v>#N/A</v>
      </c>
      <c r="R469" s="80" t="str">
        <f>REPLACE(INDEX(GroupVertices[Group],MATCH(Edges[[#This Row],[Vertex 2]],GroupVertices[Vertex],0)),1,1,"")</f>
        <v>2</v>
      </c>
      <c r="S469" s="34"/>
      <c r="T469" s="34"/>
      <c r="U469" s="34"/>
      <c r="V469" s="34"/>
      <c r="W469" s="34"/>
      <c r="X469" s="34"/>
      <c r="Y469" s="34"/>
      <c r="Z469" s="34"/>
      <c r="AA469" s="34"/>
    </row>
    <row r="470" spans="1:27" ht="15">
      <c r="A470" s="66" t="s">
        <v>212</v>
      </c>
      <c r="B470" s="66" t="s">
        <v>259</v>
      </c>
      <c r="C470" s="67" t="s">
        <v>4454</v>
      </c>
      <c r="D470" s="68">
        <v>5</v>
      </c>
      <c r="E470" s="69"/>
      <c r="F470" s="70">
        <v>20</v>
      </c>
      <c r="G470" s="67"/>
      <c r="H470" s="71"/>
      <c r="I470" s="72"/>
      <c r="J470" s="72"/>
      <c r="K470" s="34"/>
      <c r="L470" s="79">
        <v>470</v>
      </c>
      <c r="M470" s="79"/>
      <c r="N470" s="74"/>
      <c r="O470" s="81" t="s">
        <v>944</v>
      </c>
      <c r="P470">
        <v>1</v>
      </c>
      <c r="Q470" s="80" t="e">
        <f>REPLACE(INDEX(GroupVertices[Group],MATCH(Edges[[#This Row],[Vertex 1]],GroupVertices[Vertex],0)),1,1,"")</f>
        <v>#N/A</v>
      </c>
      <c r="R470" s="80" t="str">
        <f>REPLACE(INDEX(GroupVertices[Group],MATCH(Edges[[#This Row],[Vertex 2]],GroupVertices[Vertex],0)),1,1,"")</f>
        <v>2</v>
      </c>
      <c r="S470" s="34"/>
      <c r="T470" s="34"/>
      <c r="U470" s="34"/>
      <c r="V470" s="34"/>
      <c r="W470" s="34"/>
      <c r="X470" s="34"/>
      <c r="Y470" s="34"/>
      <c r="Z470" s="34"/>
      <c r="AA470" s="34"/>
    </row>
    <row r="471" spans="1:27" ht="15">
      <c r="A471" s="66" t="s">
        <v>212</v>
      </c>
      <c r="B471" s="66" t="s">
        <v>214</v>
      </c>
      <c r="C471" s="67" t="s">
        <v>4454</v>
      </c>
      <c r="D471" s="68">
        <v>5</v>
      </c>
      <c r="E471" s="69"/>
      <c r="F471" s="70">
        <v>20</v>
      </c>
      <c r="G471" s="67"/>
      <c r="H471" s="71"/>
      <c r="I471" s="72"/>
      <c r="J471" s="72"/>
      <c r="K471" s="34"/>
      <c r="L471" s="79">
        <v>471</v>
      </c>
      <c r="M471" s="79"/>
      <c r="N471" s="74"/>
      <c r="O471" s="81" t="s">
        <v>944</v>
      </c>
      <c r="P471">
        <v>1</v>
      </c>
      <c r="Q471" s="80" t="e">
        <f>REPLACE(INDEX(GroupVertices[Group],MATCH(Edges[[#This Row],[Vertex 1]],GroupVertices[Vertex],0)),1,1,"")</f>
        <v>#N/A</v>
      </c>
      <c r="R471" s="80" t="str">
        <f>REPLACE(INDEX(GroupVertices[Group],MATCH(Edges[[#This Row],[Vertex 2]],GroupVertices[Vertex],0)),1,1,"")</f>
        <v>1</v>
      </c>
      <c r="S471" s="34"/>
      <c r="T471" s="34"/>
      <c r="U471" s="34"/>
      <c r="V471" s="34"/>
      <c r="W471" s="34"/>
      <c r="X471" s="34"/>
      <c r="Y471" s="34"/>
      <c r="Z471" s="34"/>
      <c r="AA471" s="34"/>
    </row>
    <row r="472" spans="1:27" ht="15">
      <c r="A472" s="66" t="s">
        <v>212</v>
      </c>
      <c r="B472" s="66" t="s">
        <v>253</v>
      </c>
      <c r="C472" s="67" t="s">
        <v>4454</v>
      </c>
      <c r="D472" s="68">
        <v>5</v>
      </c>
      <c r="E472" s="69"/>
      <c r="F472" s="70">
        <v>20</v>
      </c>
      <c r="G472" s="67"/>
      <c r="H472" s="71"/>
      <c r="I472" s="72"/>
      <c r="J472" s="72"/>
      <c r="K472" s="34"/>
      <c r="L472" s="79">
        <v>472</v>
      </c>
      <c r="M472" s="79"/>
      <c r="N472" s="74"/>
      <c r="O472" s="81" t="s">
        <v>944</v>
      </c>
      <c r="P472">
        <v>1</v>
      </c>
      <c r="Q472" s="80" t="e">
        <f>REPLACE(INDEX(GroupVertices[Group],MATCH(Edges[[#This Row],[Vertex 1]],GroupVertices[Vertex],0)),1,1,"")</f>
        <v>#N/A</v>
      </c>
      <c r="R472" s="80" t="str">
        <f>REPLACE(INDEX(GroupVertices[Group],MATCH(Edges[[#This Row],[Vertex 2]],GroupVertices[Vertex],0)),1,1,"")</f>
        <v>1</v>
      </c>
      <c r="S472" s="34"/>
      <c r="T472" s="34"/>
      <c r="U472" s="34"/>
      <c r="V472" s="34"/>
      <c r="W472" s="34"/>
      <c r="X472" s="34"/>
      <c r="Y472" s="34"/>
      <c r="Z472" s="34"/>
      <c r="AA472" s="34"/>
    </row>
    <row r="473" spans="1:27" ht="15">
      <c r="A473" s="66" t="s">
        <v>212</v>
      </c>
      <c r="B473" s="66" t="s">
        <v>607</v>
      </c>
      <c r="C473" s="67" t="s">
        <v>4454</v>
      </c>
      <c r="D473" s="68">
        <v>5</v>
      </c>
      <c r="E473" s="69"/>
      <c r="F473" s="70">
        <v>20</v>
      </c>
      <c r="G473" s="67"/>
      <c r="H473" s="71"/>
      <c r="I473" s="72"/>
      <c r="J473" s="72"/>
      <c r="K473" s="34"/>
      <c r="L473" s="79">
        <v>473</v>
      </c>
      <c r="M473" s="79"/>
      <c r="N473" s="74"/>
      <c r="O473" s="81" t="s">
        <v>944</v>
      </c>
      <c r="P473">
        <v>1</v>
      </c>
      <c r="Q473" s="80" t="e">
        <f>REPLACE(INDEX(GroupVertices[Group],MATCH(Edges[[#This Row],[Vertex 1]],GroupVertices[Vertex],0)),1,1,"")</f>
        <v>#N/A</v>
      </c>
      <c r="R473" s="80" t="str">
        <f>REPLACE(INDEX(GroupVertices[Group],MATCH(Edges[[#This Row],[Vertex 2]],GroupVertices[Vertex],0)),1,1,"")</f>
        <v>1</v>
      </c>
      <c r="S473" s="34"/>
      <c r="T473" s="34"/>
      <c r="U473" s="34"/>
      <c r="V473" s="34"/>
      <c r="W473" s="34"/>
      <c r="X473" s="34"/>
      <c r="Y473" s="34"/>
      <c r="Z473" s="34"/>
      <c r="AA473" s="34"/>
    </row>
    <row r="474" spans="1:27" ht="15">
      <c r="A474" s="66" t="s">
        <v>212</v>
      </c>
      <c r="B474" s="66" t="s">
        <v>250</v>
      </c>
      <c r="C474" s="67" t="s">
        <v>4454</v>
      </c>
      <c r="D474" s="68">
        <v>5</v>
      </c>
      <c r="E474" s="69"/>
      <c r="F474" s="70">
        <v>20</v>
      </c>
      <c r="G474" s="67"/>
      <c r="H474" s="71"/>
      <c r="I474" s="72"/>
      <c r="J474" s="72"/>
      <c r="K474" s="34"/>
      <c r="L474" s="79">
        <v>474</v>
      </c>
      <c r="M474" s="79"/>
      <c r="N474" s="74"/>
      <c r="O474" s="81" t="s">
        <v>944</v>
      </c>
      <c r="P474">
        <v>1</v>
      </c>
      <c r="Q474" s="80" t="e">
        <f>REPLACE(INDEX(GroupVertices[Group],MATCH(Edges[[#This Row],[Vertex 1]],GroupVertices[Vertex],0)),1,1,"")</f>
        <v>#N/A</v>
      </c>
      <c r="R474" s="80" t="str">
        <f>REPLACE(INDEX(GroupVertices[Group],MATCH(Edges[[#This Row],[Vertex 2]],GroupVertices[Vertex],0)),1,1,"")</f>
        <v>2</v>
      </c>
      <c r="S474" s="34"/>
      <c r="T474" s="34"/>
      <c r="U474" s="34"/>
      <c r="V474" s="34"/>
      <c r="W474" s="34"/>
      <c r="X474" s="34"/>
      <c r="Y474" s="34"/>
      <c r="Z474" s="34"/>
      <c r="AA474" s="34"/>
    </row>
    <row r="475" spans="1:27" ht="15">
      <c r="A475" s="66" t="s">
        <v>212</v>
      </c>
      <c r="B475" s="66" t="s">
        <v>234</v>
      </c>
      <c r="C475" s="67" t="s">
        <v>4454</v>
      </c>
      <c r="D475" s="68">
        <v>5</v>
      </c>
      <c r="E475" s="69"/>
      <c r="F475" s="70">
        <v>20</v>
      </c>
      <c r="G475" s="67"/>
      <c r="H475" s="71"/>
      <c r="I475" s="72"/>
      <c r="J475" s="72"/>
      <c r="K475" s="34"/>
      <c r="L475" s="79">
        <v>475</v>
      </c>
      <c r="M475" s="79"/>
      <c r="N475" s="74"/>
      <c r="O475" s="81" t="s">
        <v>944</v>
      </c>
      <c r="P475">
        <v>1</v>
      </c>
      <c r="Q475" s="80" t="e">
        <f>REPLACE(INDEX(GroupVertices[Group],MATCH(Edges[[#This Row],[Vertex 1]],GroupVertices[Vertex],0)),1,1,"")</f>
        <v>#N/A</v>
      </c>
      <c r="R475" s="80" t="str">
        <f>REPLACE(INDEX(GroupVertices[Group],MATCH(Edges[[#This Row],[Vertex 2]],GroupVertices[Vertex],0)),1,1,"")</f>
        <v>4</v>
      </c>
      <c r="S475" s="34"/>
      <c r="T475" s="34"/>
      <c r="U475" s="34"/>
      <c r="V475" s="34"/>
      <c r="W475" s="34"/>
      <c r="X475" s="34"/>
      <c r="Y475" s="34"/>
      <c r="Z475" s="34"/>
      <c r="AA475" s="34"/>
    </row>
    <row r="476" spans="1:27" ht="15">
      <c r="A476" s="66" t="s">
        <v>237</v>
      </c>
      <c r="B476" s="66" t="s">
        <v>212</v>
      </c>
      <c r="C476" s="67" t="s">
        <v>4454</v>
      </c>
      <c r="D476" s="68">
        <v>5</v>
      </c>
      <c r="E476" s="69"/>
      <c r="F476" s="70">
        <v>20</v>
      </c>
      <c r="G476" s="67"/>
      <c r="H476" s="71"/>
      <c r="I476" s="72"/>
      <c r="J476" s="72"/>
      <c r="K476" s="34"/>
      <c r="L476" s="79">
        <v>476</v>
      </c>
      <c r="M476" s="79"/>
      <c r="N476" s="74"/>
      <c r="O476" s="81" t="s">
        <v>944</v>
      </c>
      <c r="P476">
        <v>1</v>
      </c>
      <c r="Q476" s="80" t="str">
        <f>REPLACE(INDEX(GroupVertices[Group],MATCH(Edges[[#This Row],[Vertex 1]],GroupVertices[Vertex],0)),1,1,"")</f>
        <v>1</v>
      </c>
      <c r="R476" s="80" t="e">
        <f>REPLACE(INDEX(GroupVertices[Group],MATCH(Edges[[#This Row],[Vertex 2]],GroupVertices[Vertex],0)),1,1,"")</f>
        <v>#N/A</v>
      </c>
      <c r="S476" s="34"/>
      <c r="T476" s="34"/>
      <c r="U476" s="34"/>
      <c r="V476" s="34"/>
      <c r="W476" s="34"/>
      <c r="X476" s="34"/>
      <c r="Y476" s="34"/>
      <c r="Z476" s="34"/>
      <c r="AA476" s="34"/>
    </row>
    <row r="477" spans="1:27" ht="15">
      <c r="A477" s="66" t="s">
        <v>237</v>
      </c>
      <c r="B477" s="66" t="s">
        <v>608</v>
      </c>
      <c r="C477" s="67" t="s">
        <v>4454</v>
      </c>
      <c r="D477" s="68">
        <v>5</v>
      </c>
      <c r="E477" s="69"/>
      <c r="F477" s="70">
        <v>20</v>
      </c>
      <c r="G477" s="67"/>
      <c r="H477" s="71"/>
      <c r="I477" s="72"/>
      <c r="J477" s="72"/>
      <c r="K477" s="34"/>
      <c r="L477" s="79">
        <v>477</v>
      </c>
      <c r="M477" s="79"/>
      <c r="N477" s="74"/>
      <c r="O477" s="81" t="s">
        <v>944</v>
      </c>
      <c r="P477">
        <v>1</v>
      </c>
      <c r="Q477" s="80" t="str">
        <f>REPLACE(INDEX(GroupVertices[Group],MATCH(Edges[[#This Row],[Vertex 1]],GroupVertices[Vertex],0)),1,1,"")</f>
        <v>1</v>
      </c>
      <c r="R477" s="80" t="e">
        <f>REPLACE(INDEX(GroupVertices[Group],MATCH(Edges[[#This Row],[Vertex 2]],GroupVertices[Vertex],0)),1,1,"")</f>
        <v>#N/A</v>
      </c>
      <c r="S477" s="34"/>
      <c r="T477" s="34"/>
      <c r="U477" s="34"/>
      <c r="V477" s="34"/>
      <c r="W477" s="34"/>
      <c r="X477" s="34"/>
      <c r="Y477" s="34"/>
      <c r="Z477" s="34"/>
      <c r="AA477" s="34"/>
    </row>
    <row r="478" spans="1:27" ht="15">
      <c r="A478" s="66" t="s">
        <v>237</v>
      </c>
      <c r="B478" s="66" t="s">
        <v>609</v>
      </c>
      <c r="C478" s="67" t="s">
        <v>4454</v>
      </c>
      <c r="D478" s="68">
        <v>5</v>
      </c>
      <c r="E478" s="69"/>
      <c r="F478" s="70">
        <v>20</v>
      </c>
      <c r="G478" s="67"/>
      <c r="H478" s="71"/>
      <c r="I478" s="72"/>
      <c r="J478" s="72"/>
      <c r="K478" s="34"/>
      <c r="L478" s="79">
        <v>478</v>
      </c>
      <c r="M478" s="79"/>
      <c r="N478" s="74"/>
      <c r="O478" s="81" t="s">
        <v>944</v>
      </c>
      <c r="P478">
        <v>1</v>
      </c>
      <c r="Q478" s="80" t="str">
        <f>REPLACE(INDEX(GroupVertices[Group],MATCH(Edges[[#This Row],[Vertex 1]],GroupVertices[Vertex],0)),1,1,"")</f>
        <v>1</v>
      </c>
      <c r="R478" s="80" t="e">
        <f>REPLACE(INDEX(GroupVertices[Group],MATCH(Edges[[#This Row],[Vertex 2]],GroupVertices[Vertex],0)),1,1,"")</f>
        <v>#N/A</v>
      </c>
      <c r="S478" s="34"/>
      <c r="T478" s="34"/>
      <c r="U478" s="34"/>
      <c r="V478" s="34"/>
      <c r="W478" s="34"/>
      <c r="X478" s="34"/>
      <c r="Y478" s="34"/>
      <c r="Z478" s="34"/>
      <c r="AA478" s="34"/>
    </row>
    <row r="479" spans="1:27" ht="15">
      <c r="A479" s="66" t="s">
        <v>237</v>
      </c>
      <c r="B479" s="66" t="s">
        <v>610</v>
      </c>
      <c r="C479" s="67" t="s">
        <v>4454</v>
      </c>
      <c r="D479" s="68">
        <v>5</v>
      </c>
      <c r="E479" s="69"/>
      <c r="F479" s="70">
        <v>20</v>
      </c>
      <c r="G479" s="67"/>
      <c r="H479" s="71"/>
      <c r="I479" s="72"/>
      <c r="J479" s="72"/>
      <c r="K479" s="34"/>
      <c r="L479" s="79">
        <v>479</v>
      </c>
      <c r="M479" s="79"/>
      <c r="N479" s="74"/>
      <c r="O479" s="81" t="s">
        <v>944</v>
      </c>
      <c r="P479">
        <v>1</v>
      </c>
      <c r="Q479" s="80" t="str">
        <f>REPLACE(INDEX(GroupVertices[Group],MATCH(Edges[[#This Row],[Vertex 1]],GroupVertices[Vertex],0)),1,1,"")</f>
        <v>1</v>
      </c>
      <c r="R479" s="80" t="e">
        <f>REPLACE(INDEX(GroupVertices[Group],MATCH(Edges[[#This Row],[Vertex 2]],GroupVertices[Vertex],0)),1,1,"")</f>
        <v>#N/A</v>
      </c>
      <c r="S479" s="34"/>
      <c r="T479" s="34"/>
      <c r="U479" s="34"/>
      <c r="V479" s="34"/>
      <c r="W479" s="34"/>
      <c r="X479" s="34"/>
      <c r="Y479" s="34"/>
      <c r="Z479" s="34"/>
      <c r="AA479" s="34"/>
    </row>
    <row r="480" spans="1:27" ht="15">
      <c r="A480" s="66" t="s">
        <v>237</v>
      </c>
      <c r="B480" s="66" t="s">
        <v>611</v>
      </c>
      <c r="C480" s="67" t="s">
        <v>4454</v>
      </c>
      <c r="D480" s="68">
        <v>5</v>
      </c>
      <c r="E480" s="69"/>
      <c r="F480" s="70">
        <v>20</v>
      </c>
      <c r="G480" s="67"/>
      <c r="H480" s="71"/>
      <c r="I480" s="72"/>
      <c r="J480" s="72"/>
      <c r="K480" s="34" t="s">
        <v>65</v>
      </c>
      <c r="L480" s="79">
        <v>480</v>
      </c>
      <c r="M480" s="79"/>
      <c r="N480" s="74"/>
      <c r="O480" s="81" t="s">
        <v>944</v>
      </c>
      <c r="P480">
        <v>1</v>
      </c>
      <c r="Q480" s="80" t="str">
        <f>REPLACE(INDEX(GroupVertices[Group],MATCH(Edges[[#This Row],[Vertex 1]],GroupVertices[Vertex],0)),1,1,"")</f>
        <v>1</v>
      </c>
      <c r="R480" s="80" t="str">
        <f>REPLACE(INDEX(GroupVertices[Group],MATCH(Edges[[#This Row],[Vertex 2]],GroupVertices[Vertex],0)),1,1,"")</f>
        <v>1</v>
      </c>
      <c r="S480" s="34"/>
      <c r="T480" s="34"/>
      <c r="U480" s="34"/>
      <c r="V480" s="34"/>
      <c r="W480" s="34"/>
      <c r="X480" s="34"/>
      <c r="Y480" s="34"/>
      <c r="Z480" s="34"/>
      <c r="AA480" s="34"/>
    </row>
    <row r="481" spans="1:27" ht="15">
      <c r="A481" s="66" t="s">
        <v>237</v>
      </c>
      <c r="B481" s="66" t="s">
        <v>612</v>
      </c>
      <c r="C481" s="67" t="s">
        <v>4454</v>
      </c>
      <c r="D481" s="68">
        <v>5</v>
      </c>
      <c r="E481" s="69"/>
      <c r="F481" s="70">
        <v>20</v>
      </c>
      <c r="G481" s="67"/>
      <c r="H481" s="71"/>
      <c r="I481" s="72"/>
      <c r="J481" s="72"/>
      <c r="K481" s="34" t="s">
        <v>65</v>
      </c>
      <c r="L481" s="79">
        <v>481</v>
      </c>
      <c r="M481" s="79"/>
      <c r="N481" s="74"/>
      <c r="O481" s="81" t="s">
        <v>944</v>
      </c>
      <c r="P481">
        <v>1</v>
      </c>
      <c r="Q481" s="80" t="str">
        <f>REPLACE(INDEX(GroupVertices[Group],MATCH(Edges[[#This Row],[Vertex 1]],GroupVertices[Vertex],0)),1,1,"")</f>
        <v>1</v>
      </c>
      <c r="R481" s="80" t="str">
        <f>REPLACE(INDEX(GroupVertices[Group],MATCH(Edges[[#This Row],[Vertex 2]],GroupVertices[Vertex],0)),1,1,"")</f>
        <v>1</v>
      </c>
      <c r="S481" s="34"/>
      <c r="T481" s="34"/>
      <c r="U481" s="34"/>
      <c r="V481" s="34"/>
      <c r="W481" s="34"/>
      <c r="X481" s="34"/>
      <c r="Y481" s="34"/>
      <c r="Z481" s="34"/>
      <c r="AA481" s="34"/>
    </row>
    <row r="482" spans="1:27" ht="15">
      <c r="A482" s="66" t="s">
        <v>237</v>
      </c>
      <c r="B482" s="66" t="s">
        <v>256</v>
      </c>
      <c r="C482" s="67" t="s">
        <v>4454</v>
      </c>
      <c r="D482" s="68">
        <v>5</v>
      </c>
      <c r="E482" s="69"/>
      <c r="F482" s="70">
        <v>20</v>
      </c>
      <c r="G482" s="67"/>
      <c r="H482" s="71"/>
      <c r="I482" s="72"/>
      <c r="J482" s="72"/>
      <c r="K482" s="34" t="s">
        <v>65</v>
      </c>
      <c r="L482" s="79">
        <v>482</v>
      </c>
      <c r="M482" s="79"/>
      <c r="N482" s="74"/>
      <c r="O482" s="81" t="s">
        <v>944</v>
      </c>
      <c r="P482">
        <v>1</v>
      </c>
      <c r="Q482" s="80" t="str">
        <f>REPLACE(INDEX(GroupVertices[Group],MATCH(Edges[[#This Row],[Vertex 1]],GroupVertices[Vertex],0)),1,1,"")</f>
        <v>1</v>
      </c>
      <c r="R482" s="80" t="str">
        <f>REPLACE(INDEX(GroupVertices[Group],MATCH(Edges[[#This Row],[Vertex 2]],GroupVertices[Vertex],0)),1,1,"")</f>
        <v>1</v>
      </c>
      <c r="S482" s="34"/>
      <c r="T482" s="34"/>
      <c r="U482" s="34"/>
      <c r="V482" s="34"/>
      <c r="W482" s="34"/>
      <c r="X482" s="34"/>
      <c r="Y482" s="34"/>
      <c r="Z482" s="34"/>
      <c r="AA482" s="34"/>
    </row>
    <row r="483" spans="1:27" ht="15">
      <c r="A483" s="66" t="s">
        <v>237</v>
      </c>
      <c r="B483" s="66" t="s">
        <v>260</v>
      </c>
      <c r="C483" s="67" t="s">
        <v>4454</v>
      </c>
      <c r="D483" s="68">
        <v>5</v>
      </c>
      <c r="E483" s="69"/>
      <c r="F483" s="70">
        <v>20</v>
      </c>
      <c r="G483" s="67"/>
      <c r="H483" s="71"/>
      <c r="I483" s="72"/>
      <c r="J483" s="72"/>
      <c r="K483" s="34" t="s">
        <v>65</v>
      </c>
      <c r="L483" s="79">
        <v>483</v>
      </c>
      <c r="M483" s="79"/>
      <c r="N483" s="74"/>
      <c r="O483" s="81" t="s">
        <v>944</v>
      </c>
      <c r="P483">
        <v>1</v>
      </c>
      <c r="Q483" s="80" t="str">
        <f>REPLACE(INDEX(GroupVertices[Group],MATCH(Edges[[#This Row],[Vertex 1]],GroupVertices[Vertex],0)),1,1,"")</f>
        <v>1</v>
      </c>
      <c r="R483" s="80" t="str">
        <f>REPLACE(INDEX(GroupVertices[Group],MATCH(Edges[[#This Row],[Vertex 2]],GroupVertices[Vertex],0)),1,1,"")</f>
        <v>2</v>
      </c>
      <c r="S483" s="34"/>
      <c r="T483" s="34"/>
      <c r="U483" s="34"/>
      <c r="V483" s="34"/>
      <c r="W483" s="34"/>
      <c r="X483" s="34"/>
      <c r="Y483" s="34"/>
      <c r="Z483" s="34"/>
      <c r="AA483" s="34"/>
    </row>
    <row r="484" spans="1:27" ht="15">
      <c r="A484" s="66" t="s">
        <v>237</v>
      </c>
      <c r="B484" s="66" t="s">
        <v>247</v>
      </c>
      <c r="C484" s="67" t="s">
        <v>4454</v>
      </c>
      <c r="D484" s="68">
        <v>5</v>
      </c>
      <c r="E484" s="69"/>
      <c r="F484" s="70">
        <v>20</v>
      </c>
      <c r="G484" s="67"/>
      <c r="H484" s="71"/>
      <c r="I484" s="72"/>
      <c r="J484" s="72"/>
      <c r="K484" s="34" t="s">
        <v>65</v>
      </c>
      <c r="L484" s="79">
        <v>484</v>
      </c>
      <c r="M484" s="79"/>
      <c r="N484" s="74"/>
      <c r="O484" s="81" t="s">
        <v>944</v>
      </c>
      <c r="P484">
        <v>1</v>
      </c>
      <c r="Q484" s="80" t="str">
        <f>REPLACE(INDEX(GroupVertices[Group],MATCH(Edges[[#This Row],[Vertex 1]],GroupVertices[Vertex],0)),1,1,"")</f>
        <v>1</v>
      </c>
      <c r="R484" s="80" t="str">
        <f>REPLACE(INDEX(GroupVertices[Group],MATCH(Edges[[#This Row],[Vertex 2]],GroupVertices[Vertex],0)),1,1,"")</f>
        <v>2</v>
      </c>
      <c r="S484" s="34"/>
      <c r="T484" s="34"/>
      <c r="U484" s="34"/>
      <c r="V484" s="34"/>
      <c r="W484" s="34"/>
      <c r="X484" s="34"/>
      <c r="Y484" s="34"/>
      <c r="Z484" s="34"/>
      <c r="AA484" s="34"/>
    </row>
    <row r="485" spans="1:27" ht="15">
      <c r="A485" s="66" t="s">
        <v>237</v>
      </c>
      <c r="B485" s="66" t="s">
        <v>224</v>
      </c>
      <c r="C485" s="67" t="s">
        <v>4454</v>
      </c>
      <c r="D485" s="68">
        <v>5</v>
      </c>
      <c r="E485" s="69"/>
      <c r="F485" s="70">
        <v>20</v>
      </c>
      <c r="G485" s="67"/>
      <c r="H485" s="71"/>
      <c r="I485" s="72"/>
      <c r="J485" s="72"/>
      <c r="K485" s="34" t="s">
        <v>65</v>
      </c>
      <c r="L485" s="79">
        <v>485</v>
      </c>
      <c r="M485" s="79"/>
      <c r="N485" s="74"/>
      <c r="O485" s="81" t="s">
        <v>944</v>
      </c>
      <c r="P485">
        <v>1</v>
      </c>
      <c r="Q485" s="80" t="str">
        <f>REPLACE(INDEX(GroupVertices[Group],MATCH(Edges[[#This Row],[Vertex 1]],GroupVertices[Vertex],0)),1,1,"")</f>
        <v>1</v>
      </c>
      <c r="R485" s="80" t="str">
        <f>REPLACE(INDEX(GroupVertices[Group],MATCH(Edges[[#This Row],[Vertex 2]],GroupVertices[Vertex],0)),1,1,"")</f>
        <v>2</v>
      </c>
      <c r="S485" s="34"/>
      <c r="T485" s="34"/>
      <c r="U485" s="34"/>
      <c r="V485" s="34"/>
      <c r="W485" s="34"/>
      <c r="X485" s="34"/>
      <c r="Y485" s="34"/>
      <c r="Z485" s="34"/>
      <c r="AA485" s="34"/>
    </row>
    <row r="486" spans="1:27" ht="15">
      <c r="A486" s="66" t="s">
        <v>237</v>
      </c>
      <c r="B486" s="66" t="s">
        <v>257</v>
      </c>
      <c r="C486" s="67" t="s">
        <v>4454</v>
      </c>
      <c r="D486" s="68">
        <v>5</v>
      </c>
      <c r="E486" s="69"/>
      <c r="F486" s="70">
        <v>20</v>
      </c>
      <c r="G486" s="67"/>
      <c r="H486" s="71"/>
      <c r="I486" s="72"/>
      <c r="J486" s="72"/>
      <c r="K486" s="34" t="s">
        <v>65</v>
      </c>
      <c r="L486" s="79">
        <v>486</v>
      </c>
      <c r="M486" s="79"/>
      <c r="N486" s="74"/>
      <c r="O486" s="81" t="s">
        <v>944</v>
      </c>
      <c r="P486">
        <v>1</v>
      </c>
      <c r="Q486" s="80" t="str">
        <f>REPLACE(INDEX(GroupVertices[Group],MATCH(Edges[[#This Row],[Vertex 1]],GroupVertices[Vertex],0)),1,1,"")</f>
        <v>1</v>
      </c>
      <c r="R486" s="80" t="str">
        <f>REPLACE(INDEX(GroupVertices[Group],MATCH(Edges[[#This Row],[Vertex 2]],GroupVertices[Vertex],0)),1,1,"")</f>
        <v>2</v>
      </c>
      <c r="S486" s="34"/>
      <c r="T486" s="34"/>
      <c r="U486" s="34"/>
      <c r="V486" s="34"/>
      <c r="W486" s="34"/>
      <c r="X486" s="34"/>
      <c r="Y486" s="34"/>
      <c r="Z486" s="34"/>
      <c r="AA486" s="34"/>
    </row>
    <row r="487" spans="1:27" ht="15">
      <c r="A487" s="66" t="s">
        <v>237</v>
      </c>
      <c r="B487" s="66" t="s">
        <v>255</v>
      </c>
      <c r="C487" s="67" t="s">
        <v>4454</v>
      </c>
      <c r="D487" s="68">
        <v>5</v>
      </c>
      <c r="E487" s="69"/>
      <c r="F487" s="70">
        <v>20</v>
      </c>
      <c r="G487" s="67"/>
      <c r="H487" s="71"/>
      <c r="I487" s="72"/>
      <c r="J487" s="72"/>
      <c r="K487" s="34" t="s">
        <v>65</v>
      </c>
      <c r="L487" s="79">
        <v>487</v>
      </c>
      <c r="M487" s="79"/>
      <c r="N487" s="74"/>
      <c r="O487" s="81" t="s">
        <v>944</v>
      </c>
      <c r="P487">
        <v>1</v>
      </c>
      <c r="Q487" s="80" t="str">
        <f>REPLACE(INDEX(GroupVertices[Group],MATCH(Edges[[#This Row],[Vertex 1]],GroupVertices[Vertex],0)),1,1,"")</f>
        <v>1</v>
      </c>
      <c r="R487" s="80" t="str">
        <f>REPLACE(INDEX(GroupVertices[Group],MATCH(Edges[[#This Row],[Vertex 2]],GroupVertices[Vertex],0)),1,1,"")</f>
        <v>4</v>
      </c>
      <c r="S487" s="34"/>
      <c r="T487" s="34"/>
      <c r="U487" s="34"/>
      <c r="V487" s="34"/>
      <c r="W487" s="34"/>
      <c r="X487" s="34"/>
      <c r="Y487" s="34"/>
      <c r="Z487" s="34"/>
      <c r="AA487" s="34"/>
    </row>
    <row r="488" spans="1:27" ht="15">
      <c r="A488" s="66" t="s">
        <v>237</v>
      </c>
      <c r="B488" s="66" t="s">
        <v>251</v>
      </c>
      <c r="C488" s="67" t="s">
        <v>4454</v>
      </c>
      <c r="D488" s="68">
        <v>5</v>
      </c>
      <c r="E488" s="69"/>
      <c r="F488" s="70">
        <v>20</v>
      </c>
      <c r="G488" s="67"/>
      <c r="H488" s="71"/>
      <c r="I488" s="72"/>
      <c r="J488" s="72"/>
      <c r="K488" s="34" t="s">
        <v>65</v>
      </c>
      <c r="L488" s="79">
        <v>488</v>
      </c>
      <c r="M488" s="79"/>
      <c r="N488" s="74"/>
      <c r="O488" s="81" t="s">
        <v>944</v>
      </c>
      <c r="P488">
        <v>1</v>
      </c>
      <c r="Q488" s="80" t="str">
        <f>REPLACE(INDEX(GroupVertices[Group],MATCH(Edges[[#This Row],[Vertex 1]],GroupVertices[Vertex],0)),1,1,"")</f>
        <v>1</v>
      </c>
      <c r="R488" s="80" t="str">
        <f>REPLACE(INDEX(GroupVertices[Group],MATCH(Edges[[#This Row],[Vertex 2]],GroupVertices[Vertex],0)),1,1,"")</f>
        <v>2</v>
      </c>
      <c r="S488" s="34"/>
      <c r="T488" s="34"/>
      <c r="U488" s="34"/>
      <c r="V488" s="34"/>
      <c r="W488" s="34"/>
      <c r="X488" s="34"/>
      <c r="Y488" s="34"/>
      <c r="Z488" s="34"/>
      <c r="AA488" s="34"/>
    </row>
    <row r="489" spans="1:27" ht="15">
      <c r="A489" s="66" t="s">
        <v>237</v>
      </c>
      <c r="B489" s="66" t="s">
        <v>261</v>
      </c>
      <c r="C489" s="67" t="s">
        <v>4454</v>
      </c>
      <c r="D489" s="68">
        <v>5</v>
      </c>
      <c r="E489" s="69"/>
      <c r="F489" s="70">
        <v>20</v>
      </c>
      <c r="G489" s="67"/>
      <c r="H489" s="71"/>
      <c r="I489" s="72"/>
      <c r="J489" s="72"/>
      <c r="K489" s="34" t="s">
        <v>65</v>
      </c>
      <c r="L489" s="79">
        <v>489</v>
      </c>
      <c r="M489" s="79"/>
      <c r="N489" s="74"/>
      <c r="O489" s="81" t="s">
        <v>944</v>
      </c>
      <c r="P489">
        <v>1</v>
      </c>
      <c r="Q489" s="80" t="str">
        <f>REPLACE(INDEX(GroupVertices[Group],MATCH(Edges[[#This Row],[Vertex 1]],GroupVertices[Vertex],0)),1,1,"")</f>
        <v>1</v>
      </c>
      <c r="R489" s="80" t="str">
        <f>REPLACE(INDEX(GroupVertices[Group],MATCH(Edges[[#This Row],[Vertex 2]],GroupVertices[Vertex],0)),1,1,"")</f>
        <v>1</v>
      </c>
      <c r="S489" s="34"/>
      <c r="T489" s="34"/>
      <c r="U489" s="34"/>
      <c r="V489" s="34"/>
      <c r="W489" s="34"/>
      <c r="X489" s="34"/>
      <c r="Y489" s="34"/>
      <c r="Z489" s="34"/>
      <c r="AA489" s="34"/>
    </row>
    <row r="490" spans="1:27" ht="15">
      <c r="A490" s="66" t="s">
        <v>237</v>
      </c>
      <c r="B490" s="66" t="s">
        <v>613</v>
      </c>
      <c r="C490" s="67" t="s">
        <v>4454</v>
      </c>
      <c r="D490" s="68">
        <v>5</v>
      </c>
      <c r="E490" s="69"/>
      <c r="F490" s="70">
        <v>20</v>
      </c>
      <c r="G490" s="67"/>
      <c r="H490" s="71"/>
      <c r="I490" s="72"/>
      <c r="J490" s="72"/>
      <c r="K490" s="34" t="s">
        <v>65</v>
      </c>
      <c r="L490" s="79">
        <v>490</v>
      </c>
      <c r="M490" s="79"/>
      <c r="N490" s="74"/>
      <c r="O490" s="81" t="s">
        <v>944</v>
      </c>
      <c r="P490">
        <v>1</v>
      </c>
      <c r="Q490" s="80" t="str">
        <f>REPLACE(INDEX(GroupVertices[Group],MATCH(Edges[[#This Row],[Vertex 1]],GroupVertices[Vertex],0)),1,1,"")</f>
        <v>1</v>
      </c>
      <c r="R490" s="80" t="str">
        <f>REPLACE(INDEX(GroupVertices[Group],MATCH(Edges[[#This Row],[Vertex 2]],GroupVertices[Vertex],0)),1,1,"")</f>
        <v>1</v>
      </c>
      <c r="S490" s="34"/>
      <c r="T490" s="34"/>
      <c r="U490" s="34"/>
      <c r="V490" s="34"/>
      <c r="W490" s="34"/>
      <c r="X490" s="34"/>
      <c r="Y490" s="34"/>
      <c r="Z490" s="34"/>
      <c r="AA490" s="34"/>
    </row>
    <row r="491" spans="1:27" ht="15">
      <c r="A491" s="66" t="s">
        <v>237</v>
      </c>
      <c r="B491" s="66" t="s">
        <v>246</v>
      </c>
      <c r="C491" s="67" t="s">
        <v>4454</v>
      </c>
      <c r="D491" s="68">
        <v>5</v>
      </c>
      <c r="E491" s="69"/>
      <c r="F491" s="70">
        <v>20</v>
      </c>
      <c r="G491" s="67"/>
      <c r="H491" s="71"/>
      <c r="I491" s="72"/>
      <c r="J491" s="72"/>
      <c r="K491" s="34" t="s">
        <v>65</v>
      </c>
      <c r="L491" s="79">
        <v>491</v>
      </c>
      <c r="M491" s="79"/>
      <c r="N491" s="74"/>
      <c r="O491" s="81" t="s">
        <v>944</v>
      </c>
      <c r="P491">
        <v>1</v>
      </c>
      <c r="Q491" s="80" t="str">
        <f>REPLACE(INDEX(GroupVertices[Group],MATCH(Edges[[#This Row],[Vertex 1]],GroupVertices[Vertex],0)),1,1,"")</f>
        <v>1</v>
      </c>
      <c r="R491" s="80" t="str">
        <f>REPLACE(INDEX(GroupVertices[Group],MATCH(Edges[[#This Row],[Vertex 2]],GroupVertices[Vertex],0)),1,1,"")</f>
        <v>2</v>
      </c>
      <c r="S491" s="34"/>
      <c r="T491" s="34"/>
      <c r="U491" s="34"/>
      <c r="V491" s="34"/>
      <c r="W491" s="34"/>
      <c r="X491" s="34"/>
      <c r="Y491" s="34"/>
      <c r="Z491" s="34"/>
      <c r="AA491" s="34"/>
    </row>
    <row r="492" spans="1:27" ht="15">
      <c r="A492" s="66" t="s">
        <v>237</v>
      </c>
      <c r="B492" s="66" t="s">
        <v>235</v>
      </c>
      <c r="C492" s="67" t="s">
        <v>4454</v>
      </c>
      <c r="D492" s="68">
        <v>5</v>
      </c>
      <c r="E492" s="69"/>
      <c r="F492" s="70">
        <v>20</v>
      </c>
      <c r="G492" s="67"/>
      <c r="H492" s="71"/>
      <c r="I492" s="72"/>
      <c r="J492" s="72"/>
      <c r="K492" s="34" t="s">
        <v>65</v>
      </c>
      <c r="L492" s="79">
        <v>492</v>
      </c>
      <c r="M492" s="79"/>
      <c r="N492" s="74"/>
      <c r="O492" s="81" t="s">
        <v>944</v>
      </c>
      <c r="P492">
        <v>1</v>
      </c>
      <c r="Q492" s="80" t="str">
        <f>REPLACE(INDEX(GroupVertices[Group],MATCH(Edges[[#This Row],[Vertex 1]],GroupVertices[Vertex],0)),1,1,"")</f>
        <v>1</v>
      </c>
      <c r="R492" s="80" t="str">
        <f>REPLACE(INDEX(GroupVertices[Group],MATCH(Edges[[#This Row],[Vertex 2]],GroupVertices[Vertex],0)),1,1,"")</f>
        <v>2</v>
      </c>
      <c r="S492" s="34"/>
      <c r="T492" s="34"/>
      <c r="U492" s="34"/>
      <c r="V492" s="34"/>
      <c r="W492" s="34"/>
      <c r="X492" s="34"/>
      <c r="Y492" s="34"/>
      <c r="Z492" s="34"/>
      <c r="AA492" s="34"/>
    </row>
    <row r="493" spans="1:27" ht="15">
      <c r="A493" s="66" t="s">
        <v>237</v>
      </c>
      <c r="B493" s="66" t="s">
        <v>614</v>
      </c>
      <c r="C493" s="67" t="s">
        <v>4454</v>
      </c>
      <c r="D493" s="68">
        <v>5</v>
      </c>
      <c r="E493" s="69"/>
      <c r="F493" s="70">
        <v>20</v>
      </c>
      <c r="G493" s="67"/>
      <c r="H493" s="71"/>
      <c r="I493" s="72"/>
      <c r="J493" s="72"/>
      <c r="K493" s="34" t="s">
        <v>65</v>
      </c>
      <c r="L493" s="79">
        <v>493</v>
      </c>
      <c r="M493" s="79"/>
      <c r="N493" s="74"/>
      <c r="O493" s="81" t="s">
        <v>944</v>
      </c>
      <c r="P493">
        <v>1</v>
      </c>
      <c r="Q493" s="80" t="str">
        <f>REPLACE(INDEX(GroupVertices[Group],MATCH(Edges[[#This Row],[Vertex 1]],GroupVertices[Vertex],0)),1,1,"")</f>
        <v>1</v>
      </c>
      <c r="R493" s="80" t="str">
        <f>REPLACE(INDEX(GroupVertices[Group],MATCH(Edges[[#This Row],[Vertex 2]],GroupVertices[Vertex],0)),1,1,"")</f>
        <v>2</v>
      </c>
      <c r="S493" s="34"/>
      <c r="T493" s="34"/>
      <c r="U493" s="34"/>
      <c r="V493" s="34"/>
      <c r="W493" s="34"/>
      <c r="X493" s="34"/>
      <c r="Y493" s="34"/>
      <c r="Z493" s="34"/>
      <c r="AA493" s="34"/>
    </row>
    <row r="494" spans="1:27" ht="15">
      <c r="A494" s="66" t="s">
        <v>237</v>
      </c>
      <c r="B494" s="66" t="s">
        <v>234</v>
      </c>
      <c r="C494" s="67" t="s">
        <v>4454</v>
      </c>
      <c r="D494" s="68">
        <v>5</v>
      </c>
      <c r="E494" s="69"/>
      <c r="F494" s="70">
        <v>20</v>
      </c>
      <c r="G494" s="67"/>
      <c r="H494" s="71"/>
      <c r="I494" s="72"/>
      <c r="J494" s="72"/>
      <c r="K494" s="34" t="s">
        <v>65</v>
      </c>
      <c r="L494" s="79">
        <v>494</v>
      </c>
      <c r="M494" s="79"/>
      <c r="N494" s="74"/>
      <c r="O494" s="81" t="s">
        <v>944</v>
      </c>
      <c r="P494">
        <v>1</v>
      </c>
      <c r="Q494" s="80" t="str">
        <f>REPLACE(INDEX(GroupVertices[Group],MATCH(Edges[[#This Row],[Vertex 1]],GroupVertices[Vertex],0)),1,1,"")</f>
        <v>1</v>
      </c>
      <c r="R494" s="80" t="str">
        <f>REPLACE(INDEX(GroupVertices[Group],MATCH(Edges[[#This Row],[Vertex 2]],GroupVertices[Vertex],0)),1,1,"")</f>
        <v>4</v>
      </c>
      <c r="S494" s="34"/>
      <c r="T494" s="34"/>
      <c r="U494" s="34"/>
      <c r="V494" s="34"/>
      <c r="W494" s="34"/>
      <c r="X494" s="34"/>
      <c r="Y494" s="34"/>
      <c r="Z494" s="34"/>
      <c r="AA494" s="34"/>
    </row>
    <row r="495" spans="1:27" ht="15">
      <c r="A495" s="66" t="s">
        <v>237</v>
      </c>
      <c r="B495" s="66" t="s">
        <v>240</v>
      </c>
      <c r="C495" s="67" t="s">
        <v>4454</v>
      </c>
      <c r="D495" s="68">
        <v>5</v>
      </c>
      <c r="E495" s="69"/>
      <c r="F495" s="70">
        <v>20</v>
      </c>
      <c r="G495" s="67"/>
      <c r="H495" s="71"/>
      <c r="I495" s="72"/>
      <c r="J495" s="72"/>
      <c r="K495" s="34" t="s">
        <v>65</v>
      </c>
      <c r="L495" s="79">
        <v>495</v>
      </c>
      <c r="M495" s="79"/>
      <c r="N495" s="74"/>
      <c r="O495" s="81" t="s">
        <v>944</v>
      </c>
      <c r="P495">
        <v>1</v>
      </c>
      <c r="Q495" s="80" t="str">
        <f>REPLACE(INDEX(GroupVertices[Group],MATCH(Edges[[#This Row],[Vertex 1]],GroupVertices[Vertex],0)),1,1,"")</f>
        <v>1</v>
      </c>
      <c r="R495" s="80" t="str">
        <f>REPLACE(INDEX(GroupVertices[Group],MATCH(Edges[[#This Row],[Vertex 2]],GroupVertices[Vertex],0)),1,1,"")</f>
        <v>2</v>
      </c>
      <c r="S495" s="34"/>
      <c r="T495" s="34"/>
      <c r="U495" s="34"/>
      <c r="V495" s="34"/>
      <c r="W495" s="34"/>
      <c r="X495" s="34"/>
      <c r="Y495" s="34"/>
      <c r="Z495" s="34"/>
      <c r="AA495" s="34"/>
    </row>
    <row r="496" spans="1:27" ht="15">
      <c r="A496" s="66" t="s">
        <v>237</v>
      </c>
      <c r="B496" s="66" t="s">
        <v>599</v>
      </c>
      <c r="C496" s="67" t="s">
        <v>4454</v>
      </c>
      <c r="D496" s="68">
        <v>5</v>
      </c>
      <c r="E496" s="69"/>
      <c r="F496" s="70">
        <v>20</v>
      </c>
      <c r="G496" s="67"/>
      <c r="H496" s="71"/>
      <c r="I496" s="72"/>
      <c r="J496" s="72"/>
      <c r="K496" s="34" t="s">
        <v>65</v>
      </c>
      <c r="L496" s="79">
        <v>496</v>
      </c>
      <c r="M496" s="79"/>
      <c r="N496" s="74"/>
      <c r="O496" s="81" t="s">
        <v>944</v>
      </c>
      <c r="P496">
        <v>1</v>
      </c>
      <c r="Q496" s="80" t="str">
        <f>REPLACE(INDEX(GroupVertices[Group],MATCH(Edges[[#This Row],[Vertex 1]],GroupVertices[Vertex],0)),1,1,"")</f>
        <v>1</v>
      </c>
      <c r="R496" s="80" t="str">
        <f>REPLACE(INDEX(GroupVertices[Group],MATCH(Edges[[#This Row],[Vertex 2]],GroupVertices[Vertex],0)),1,1,"")</f>
        <v>1</v>
      </c>
      <c r="S496" s="34"/>
      <c r="T496" s="34"/>
      <c r="U496" s="34"/>
      <c r="V496" s="34"/>
      <c r="W496" s="34"/>
      <c r="X496" s="34"/>
      <c r="Y496" s="34"/>
      <c r="Z496" s="34"/>
      <c r="AA496" s="34"/>
    </row>
    <row r="497" spans="1:27" ht="15">
      <c r="A497" s="66" t="s">
        <v>237</v>
      </c>
      <c r="B497" s="66" t="s">
        <v>510</v>
      </c>
      <c r="C497" s="67" t="s">
        <v>4454</v>
      </c>
      <c r="D497" s="68">
        <v>5</v>
      </c>
      <c r="E497" s="69"/>
      <c r="F497" s="70">
        <v>20</v>
      </c>
      <c r="G497" s="67"/>
      <c r="H497" s="71"/>
      <c r="I497" s="72"/>
      <c r="J497" s="72"/>
      <c r="K497" s="34" t="s">
        <v>65</v>
      </c>
      <c r="L497" s="79">
        <v>497</v>
      </c>
      <c r="M497" s="79"/>
      <c r="N497" s="74"/>
      <c r="O497" s="81" t="s">
        <v>944</v>
      </c>
      <c r="P497">
        <v>1</v>
      </c>
      <c r="Q497" s="80" t="str">
        <f>REPLACE(INDEX(GroupVertices[Group],MATCH(Edges[[#This Row],[Vertex 1]],GroupVertices[Vertex],0)),1,1,"")</f>
        <v>1</v>
      </c>
      <c r="R497" s="80" t="str">
        <f>REPLACE(INDEX(GroupVertices[Group],MATCH(Edges[[#This Row],[Vertex 2]],GroupVertices[Vertex],0)),1,1,"")</f>
        <v>2</v>
      </c>
      <c r="S497" s="34"/>
      <c r="T497" s="34"/>
      <c r="U497" s="34"/>
      <c r="V497" s="34"/>
      <c r="W497" s="34"/>
      <c r="X497" s="34"/>
      <c r="Y497" s="34"/>
      <c r="Z497" s="34"/>
      <c r="AA497" s="34"/>
    </row>
    <row r="498" spans="1:27" ht="15">
      <c r="A498" s="66" t="s">
        <v>237</v>
      </c>
      <c r="B498" s="66" t="s">
        <v>223</v>
      </c>
      <c r="C498" s="67" t="s">
        <v>4454</v>
      </c>
      <c r="D498" s="68">
        <v>5</v>
      </c>
      <c r="E498" s="69"/>
      <c r="F498" s="70">
        <v>20</v>
      </c>
      <c r="G498" s="67"/>
      <c r="H498" s="71"/>
      <c r="I498" s="72"/>
      <c r="J498" s="72"/>
      <c r="K498" s="34" t="s">
        <v>65</v>
      </c>
      <c r="L498" s="79">
        <v>498</v>
      </c>
      <c r="M498" s="79"/>
      <c r="N498" s="74"/>
      <c r="O498" s="81" t="s">
        <v>944</v>
      </c>
      <c r="P498">
        <v>1</v>
      </c>
      <c r="Q498" s="80" t="str">
        <f>REPLACE(INDEX(GroupVertices[Group],MATCH(Edges[[#This Row],[Vertex 1]],GroupVertices[Vertex],0)),1,1,"")</f>
        <v>1</v>
      </c>
      <c r="R498" s="80" t="str">
        <f>REPLACE(INDEX(GroupVertices[Group],MATCH(Edges[[#This Row],[Vertex 2]],GroupVertices[Vertex],0)),1,1,"")</f>
        <v>3</v>
      </c>
      <c r="S498" s="34"/>
      <c r="T498" s="34"/>
      <c r="U498" s="34"/>
      <c r="V498" s="34"/>
      <c r="W498" s="34"/>
      <c r="X498" s="34"/>
      <c r="Y498" s="34"/>
      <c r="Z498" s="34"/>
      <c r="AA498" s="34"/>
    </row>
    <row r="499" spans="1:27" ht="15">
      <c r="A499" s="66" t="s">
        <v>237</v>
      </c>
      <c r="B499" s="66" t="s">
        <v>238</v>
      </c>
      <c r="C499" s="67" t="s">
        <v>4454</v>
      </c>
      <c r="D499" s="68">
        <v>5</v>
      </c>
      <c r="E499" s="69"/>
      <c r="F499" s="70">
        <v>20</v>
      </c>
      <c r="G499" s="67"/>
      <c r="H499" s="71"/>
      <c r="I499" s="72"/>
      <c r="J499" s="72"/>
      <c r="K499" s="34" t="s">
        <v>65</v>
      </c>
      <c r="L499" s="79">
        <v>499</v>
      </c>
      <c r="M499" s="79"/>
      <c r="N499" s="74"/>
      <c r="O499" s="81" t="s">
        <v>944</v>
      </c>
      <c r="P499">
        <v>1</v>
      </c>
      <c r="Q499" s="80" t="str">
        <f>REPLACE(INDEX(GroupVertices[Group],MATCH(Edges[[#This Row],[Vertex 1]],GroupVertices[Vertex],0)),1,1,"")</f>
        <v>1</v>
      </c>
      <c r="R499" s="80" t="str">
        <f>REPLACE(INDEX(GroupVertices[Group],MATCH(Edges[[#This Row],[Vertex 2]],GroupVertices[Vertex],0)),1,1,"")</f>
        <v>2</v>
      </c>
      <c r="S499" s="34"/>
      <c r="T499" s="34"/>
      <c r="U499" s="34"/>
      <c r="V499" s="34"/>
      <c r="W499" s="34"/>
      <c r="X499" s="34"/>
      <c r="Y499" s="34"/>
      <c r="Z499" s="34"/>
      <c r="AA499" s="34"/>
    </row>
    <row r="500" spans="1:27" ht="15">
      <c r="A500" s="66" t="s">
        <v>237</v>
      </c>
      <c r="B500" s="66" t="s">
        <v>615</v>
      </c>
      <c r="C500" s="67" t="s">
        <v>4454</v>
      </c>
      <c r="D500" s="68">
        <v>5</v>
      </c>
      <c r="E500" s="69"/>
      <c r="F500" s="70">
        <v>20</v>
      </c>
      <c r="G500" s="67"/>
      <c r="H500" s="71"/>
      <c r="I500" s="72"/>
      <c r="J500" s="72"/>
      <c r="K500" s="34" t="s">
        <v>65</v>
      </c>
      <c r="L500" s="79">
        <v>500</v>
      </c>
      <c r="M500" s="79"/>
      <c r="N500" s="74"/>
      <c r="O500" s="81" t="s">
        <v>944</v>
      </c>
      <c r="P500">
        <v>1</v>
      </c>
      <c r="Q500" s="80" t="str">
        <f>REPLACE(INDEX(GroupVertices[Group],MATCH(Edges[[#This Row],[Vertex 1]],GroupVertices[Vertex],0)),1,1,"")</f>
        <v>1</v>
      </c>
      <c r="R500" s="80" t="str">
        <f>REPLACE(INDEX(GroupVertices[Group],MATCH(Edges[[#This Row],[Vertex 2]],GroupVertices[Vertex],0)),1,1,"")</f>
        <v>1</v>
      </c>
      <c r="S500" s="34"/>
      <c r="T500" s="34"/>
      <c r="U500" s="34"/>
      <c r="V500" s="34"/>
      <c r="W500" s="34"/>
      <c r="X500" s="34"/>
      <c r="Y500" s="34"/>
      <c r="Z500" s="34"/>
      <c r="AA500" s="34"/>
    </row>
    <row r="501" spans="1:27" ht="15">
      <c r="A501" s="66" t="s">
        <v>237</v>
      </c>
      <c r="B501" s="66" t="s">
        <v>241</v>
      </c>
      <c r="C501" s="67" t="s">
        <v>4454</v>
      </c>
      <c r="D501" s="68">
        <v>5</v>
      </c>
      <c r="E501" s="69"/>
      <c r="F501" s="70">
        <v>20</v>
      </c>
      <c r="G501" s="67"/>
      <c r="H501" s="71"/>
      <c r="I501" s="72"/>
      <c r="J501" s="72"/>
      <c r="K501" s="34" t="s">
        <v>65</v>
      </c>
      <c r="L501" s="79">
        <v>501</v>
      </c>
      <c r="M501" s="79"/>
      <c r="N501" s="74"/>
      <c r="O501" s="81" t="s">
        <v>944</v>
      </c>
      <c r="P501">
        <v>1</v>
      </c>
      <c r="Q501" s="80" t="str">
        <f>REPLACE(INDEX(GroupVertices[Group],MATCH(Edges[[#This Row],[Vertex 1]],GroupVertices[Vertex],0)),1,1,"")</f>
        <v>1</v>
      </c>
      <c r="R501" s="80" t="str">
        <f>REPLACE(INDEX(GroupVertices[Group],MATCH(Edges[[#This Row],[Vertex 2]],GroupVertices[Vertex],0)),1,1,"")</f>
        <v>2</v>
      </c>
      <c r="S501" s="34"/>
      <c r="T501" s="34"/>
      <c r="U501" s="34"/>
      <c r="V501" s="34"/>
      <c r="W501" s="34"/>
      <c r="X501" s="34"/>
      <c r="Y501" s="34"/>
      <c r="Z501" s="34"/>
      <c r="AA501" s="34"/>
    </row>
    <row r="502" spans="1:27" ht="15">
      <c r="A502" s="66" t="s">
        <v>237</v>
      </c>
      <c r="B502" s="66" t="s">
        <v>242</v>
      </c>
      <c r="C502" s="67" t="s">
        <v>4454</v>
      </c>
      <c r="D502" s="68">
        <v>5</v>
      </c>
      <c r="E502" s="69"/>
      <c r="F502" s="70">
        <v>20</v>
      </c>
      <c r="G502" s="67"/>
      <c r="H502" s="71"/>
      <c r="I502" s="72"/>
      <c r="J502" s="72"/>
      <c r="K502" s="34" t="s">
        <v>65</v>
      </c>
      <c r="L502" s="79">
        <v>502</v>
      </c>
      <c r="M502" s="79"/>
      <c r="N502" s="74"/>
      <c r="O502" s="81" t="s">
        <v>944</v>
      </c>
      <c r="P502">
        <v>1</v>
      </c>
      <c r="Q502" s="80" t="str">
        <f>REPLACE(INDEX(GroupVertices[Group],MATCH(Edges[[#This Row],[Vertex 1]],GroupVertices[Vertex],0)),1,1,"")</f>
        <v>1</v>
      </c>
      <c r="R502" s="80" t="str">
        <f>REPLACE(INDEX(GroupVertices[Group],MATCH(Edges[[#This Row],[Vertex 2]],GroupVertices[Vertex],0)),1,1,"")</f>
        <v>1</v>
      </c>
      <c r="S502" s="34"/>
      <c r="T502" s="34"/>
      <c r="U502" s="34"/>
      <c r="V502" s="34"/>
      <c r="W502" s="34"/>
      <c r="X502" s="34"/>
      <c r="Y502" s="34"/>
      <c r="Z502" s="34"/>
      <c r="AA502" s="34"/>
    </row>
    <row r="503" spans="1:27" ht="15">
      <c r="A503" s="66" t="s">
        <v>237</v>
      </c>
      <c r="B503" s="66" t="s">
        <v>616</v>
      </c>
      <c r="C503" s="67" t="s">
        <v>4454</v>
      </c>
      <c r="D503" s="68">
        <v>5</v>
      </c>
      <c r="E503" s="69"/>
      <c r="F503" s="70">
        <v>20</v>
      </c>
      <c r="G503" s="67"/>
      <c r="H503" s="71"/>
      <c r="I503" s="72"/>
      <c r="J503" s="72"/>
      <c r="K503" s="34" t="s">
        <v>65</v>
      </c>
      <c r="L503" s="79">
        <v>503</v>
      </c>
      <c r="M503" s="79"/>
      <c r="N503" s="74"/>
      <c r="O503" s="81" t="s">
        <v>944</v>
      </c>
      <c r="P503">
        <v>1</v>
      </c>
      <c r="Q503" s="80" t="str">
        <f>REPLACE(INDEX(GroupVertices[Group],MATCH(Edges[[#This Row],[Vertex 1]],GroupVertices[Vertex],0)),1,1,"")</f>
        <v>1</v>
      </c>
      <c r="R503" s="80" t="str">
        <f>REPLACE(INDEX(GroupVertices[Group],MATCH(Edges[[#This Row],[Vertex 2]],GroupVertices[Vertex],0)),1,1,"")</f>
        <v>1</v>
      </c>
      <c r="S503" s="34"/>
      <c r="T503" s="34"/>
      <c r="U503" s="34"/>
      <c r="V503" s="34"/>
      <c r="W503" s="34"/>
      <c r="X503" s="34"/>
      <c r="Y503" s="34"/>
      <c r="Z503" s="34"/>
      <c r="AA503" s="34"/>
    </row>
    <row r="504" spans="1:27" ht="15">
      <c r="A504" s="66" t="s">
        <v>237</v>
      </c>
      <c r="B504" s="66" t="s">
        <v>259</v>
      </c>
      <c r="C504" s="67" t="s">
        <v>4454</v>
      </c>
      <c r="D504" s="68">
        <v>5</v>
      </c>
      <c r="E504" s="69"/>
      <c r="F504" s="70">
        <v>20</v>
      </c>
      <c r="G504" s="67"/>
      <c r="H504" s="71"/>
      <c r="I504" s="72"/>
      <c r="J504" s="72"/>
      <c r="K504" s="34" t="s">
        <v>65</v>
      </c>
      <c r="L504" s="79">
        <v>504</v>
      </c>
      <c r="M504" s="79"/>
      <c r="N504" s="74"/>
      <c r="O504" s="81" t="s">
        <v>944</v>
      </c>
      <c r="P504">
        <v>1</v>
      </c>
      <c r="Q504" s="80" t="str">
        <f>REPLACE(INDEX(GroupVertices[Group],MATCH(Edges[[#This Row],[Vertex 1]],GroupVertices[Vertex],0)),1,1,"")</f>
        <v>1</v>
      </c>
      <c r="R504" s="80" t="str">
        <f>REPLACE(INDEX(GroupVertices[Group],MATCH(Edges[[#This Row],[Vertex 2]],GroupVertices[Vertex],0)),1,1,"")</f>
        <v>2</v>
      </c>
      <c r="S504" s="34"/>
      <c r="T504" s="34"/>
      <c r="U504" s="34"/>
      <c r="V504" s="34"/>
      <c r="W504" s="34"/>
      <c r="X504" s="34"/>
      <c r="Y504" s="34"/>
      <c r="Z504" s="34"/>
      <c r="AA504" s="34"/>
    </row>
    <row r="505" spans="1:27" ht="15">
      <c r="A505" s="66" t="s">
        <v>237</v>
      </c>
      <c r="B505" s="66" t="s">
        <v>617</v>
      </c>
      <c r="C505" s="67" t="s">
        <v>4454</v>
      </c>
      <c r="D505" s="68">
        <v>5</v>
      </c>
      <c r="E505" s="69"/>
      <c r="F505" s="70">
        <v>20</v>
      </c>
      <c r="G505" s="67"/>
      <c r="H505" s="71"/>
      <c r="I505" s="72"/>
      <c r="J505" s="72"/>
      <c r="K505" s="34" t="s">
        <v>65</v>
      </c>
      <c r="L505" s="79">
        <v>505</v>
      </c>
      <c r="M505" s="79"/>
      <c r="N505" s="74"/>
      <c r="O505" s="81" t="s">
        <v>944</v>
      </c>
      <c r="P505">
        <v>1</v>
      </c>
      <c r="Q505" s="80" t="str">
        <f>REPLACE(INDEX(GroupVertices[Group],MATCH(Edges[[#This Row],[Vertex 1]],GroupVertices[Vertex],0)),1,1,"")</f>
        <v>1</v>
      </c>
      <c r="R505" s="80" t="str">
        <f>REPLACE(INDEX(GroupVertices[Group],MATCH(Edges[[#This Row],[Vertex 2]],GroupVertices[Vertex],0)),1,1,"")</f>
        <v>1</v>
      </c>
      <c r="S505" s="34"/>
      <c r="T505" s="34"/>
      <c r="U505" s="34"/>
      <c r="V505" s="34"/>
      <c r="W505" s="34"/>
      <c r="X505" s="34"/>
      <c r="Y505" s="34"/>
      <c r="Z505" s="34"/>
      <c r="AA505" s="34"/>
    </row>
    <row r="506" spans="1:27" ht="15">
      <c r="A506" s="66" t="s">
        <v>237</v>
      </c>
      <c r="B506" s="66" t="s">
        <v>254</v>
      </c>
      <c r="C506" s="67" t="s">
        <v>4454</v>
      </c>
      <c r="D506" s="68">
        <v>5</v>
      </c>
      <c r="E506" s="69"/>
      <c r="F506" s="70">
        <v>20</v>
      </c>
      <c r="G506" s="67"/>
      <c r="H506" s="71"/>
      <c r="I506" s="72"/>
      <c r="J506" s="72"/>
      <c r="K506" s="34" t="s">
        <v>65</v>
      </c>
      <c r="L506" s="79">
        <v>506</v>
      </c>
      <c r="M506" s="79"/>
      <c r="N506" s="74"/>
      <c r="O506" s="81" t="s">
        <v>944</v>
      </c>
      <c r="P506">
        <v>1</v>
      </c>
      <c r="Q506" s="80" t="str">
        <f>REPLACE(INDEX(GroupVertices[Group],MATCH(Edges[[#This Row],[Vertex 1]],GroupVertices[Vertex],0)),1,1,"")</f>
        <v>1</v>
      </c>
      <c r="R506" s="80" t="str">
        <f>REPLACE(INDEX(GroupVertices[Group],MATCH(Edges[[#This Row],[Vertex 2]],GroupVertices[Vertex],0)),1,1,"")</f>
        <v>3</v>
      </c>
      <c r="S506" s="34"/>
      <c r="T506" s="34"/>
      <c r="U506" s="34"/>
      <c r="V506" s="34"/>
      <c r="W506" s="34"/>
      <c r="X506" s="34"/>
      <c r="Y506" s="34"/>
      <c r="Z506" s="34"/>
      <c r="AA506" s="34"/>
    </row>
    <row r="507" spans="1:27" ht="15">
      <c r="A507" s="66" t="s">
        <v>237</v>
      </c>
      <c r="B507" s="66" t="s">
        <v>253</v>
      </c>
      <c r="C507" s="67" t="s">
        <v>4454</v>
      </c>
      <c r="D507" s="68">
        <v>5</v>
      </c>
      <c r="E507" s="69"/>
      <c r="F507" s="70">
        <v>20</v>
      </c>
      <c r="G507" s="67"/>
      <c r="H507" s="71"/>
      <c r="I507" s="72"/>
      <c r="J507" s="72"/>
      <c r="K507" s="34" t="s">
        <v>65</v>
      </c>
      <c r="L507" s="79">
        <v>507</v>
      </c>
      <c r="M507" s="79"/>
      <c r="N507" s="74"/>
      <c r="O507" s="81" t="s">
        <v>944</v>
      </c>
      <c r="P507">
        <v>1</v>
      </c>
      <c r="Q507" s="80" t="str">
        <f>REPLACE(INDEX(GroupVertices[Group],MATCH(Edges[[#This Row],[Vertex 1]],GroupVertices[Vertex],0)),1,1,"")</f>
        <v>1</v>
      </c>
      <c r="R507" s="80" t="str">
        <f>REPLACE(INDEX(GroupVertices[Group],MATCH(Edges[[#This Row],[Vertex 2]],GroupVertices[Vertex],0)),1,1,"")</f>
        <v>1</v>
      </c>
      <c r="S507" s="34"/>
      <c r="T507" s="34"/>
      <c r="U507" s="34"/>
      <c r="V507" s="34"/>
      <c r="W507" s="34"/>
      <c r="X507" s="34"/>
      <c r="Y507" s="34"/>
      <c r="Z507" s="34"/>
      <c r="AA507" s="34"/>
    </row>
    <row r="508" spans="1:27" ht="15">
      <c r="A508" s="66" t="s">
        <v>237</v>
      </c>
      <c r="B508" s="66" t="s">
        <v>618</v>
      </c>
      <c r="C508" s="67" t="s">
        <v>4454</v>
      </c>
      <c r="D508" s="68">
        <v>5</v>
      </c>
      <c r="E508" s="69"/>
      <c r="F508" s="70">
        <v>20</v>
      </c>
      <c r="G508" s="67"/>
      <c r="H508" s="71"/>
      <c r="I508" s="72"/>
      <c r="J508" s="72"/>
      <c r="K508" s="34" t="s">
        <v>65</v>
      </c>
      <c r="L508" s="79">
        <v>508</v>
      </c>
      <c r="M508" s="79"/>
      <c r="N508" s="74"/>
      <c r="O508" s="81" t="s">
        <v>944</v>
      </c>
      <c r="P508">
        <v>1</v>
      </c>
      <c r="Q508" s="80" t="str">
        <f>REPLACE(INDEX(GroupVertices[Group],MATCH(Edges[[#This Row],[Vertex 1]],GroupVertices[Vertex],0)),1,1,"")</f>
        <v>1</v>
      </c>
      <c r="R508" s="80" t="str">
        <f>REPLACE(INDEX(GroupVertices[Group],MATCH(Edges[[#This Row],[Vertex 2]],GroupVertices[Vertex],0)),1,1,"")</f>
        <v>1</v>
      </c>
      <c r="S508" s="34"/>
      <c r="T508" s="34"/>
      <c r="U508" s="34"/>
      <c r="V508" s="34"/>
      <c r="W508" s="34"/>
      <c r="X508" s="34"/>
      <c r="Y508" s="34"/>
      <c r="Z508" s="34"/>
      <c r="AA508" s="34"/>
    </row>
    <row r="509" spans="1:27" ht="15">
      <c r="A509" s="66" t="s">
        <v>237</v>
      </c>
      <c r="B509" s="66" t="s">
        <v>249</v>
      </c>
      <c r="C509" s="67" t="s">
        <v>4454</v>
      </c>
      <c r="D509" s="68">
        <v>5</v>
      </c>
      <c r="E509" s="69"/>
      <c r="F509" s="70">
        <v>20</v>
      </c>
      <c r="G509" s="67"/>
      <c r="H509" s="71"/>
      <c r="I509" s="72"/>
      <c r="J509" s="72"/>
      <c r="K509" s="34" t="s">
        <v>65</v>
      </c>
      <c r="L509" s="79">
        <v>509</v>
      </c>
      <c r="M509" s="79"/>
      <c r="N509" s="74"/>
      <c r="O509" s="81" t="s">
        <v>944</v>
      </c>
      <c r="P509">
        <v>1</v>
      </c>
      <c r="Q509" s="80" t="str">
        <f>REPLACE(INDEX(GroupVertices[Group],MATCH(Edges[[#This Row],[Vertex 1]],GroupVertices[Vertex],0)),1,1,"")</f>
        <v>1</v>
      </c>
      <c r="R509" s="80" t="str">
        <f>REPLACE(INDEX(GroupVertices[Group],MATCH(Edges[[#This Row],[Vertex 2]],GroupVertices[Vertex],0)),1,1,"")</f>
        <v>2</v>
      </c>
      <c r="S509" s="34"/>
      <c r="T509" s="34"/>
      <c r="U509" s="34"/>
      <c r="V509" s="34"/>
      <c r="W509" s="34"/>
      <c r="X509" s="34"/>
      <c r="Y509" s="34"/>
      <c r="Z509" s="34"/>
      <c r="AA509" s="34"/>
    </row>
    <row r="510" spans="1:27" ht="15">
      <c r="A510" s="66" t="s">
        <v>237</v>
      </c>
      <c r="B510" s="66" t="s">
        <v>250</v>
      </c>
      <c r="C510" s="67" t="s">
        <v>4454</v>
      </c>
      <c r="D510" s="68">
        <v>5</v>
      </c>
      <c r="E510" s="69"/>
      <c r="F510" s="70">
        <v>20</v>
      </c>
      <c r="G510" s="67"/>
      <c r="H510" s="71"/>
      <c r="I510" s="72"/>
      <c r="J510" s="72"/>
      <c r="K510" s="34" t="s">
        <v>65</v>
      </c>
      <c r="L510" s="79">
        <v>510</v>
      </c>
      <c r="M510" s="79"/>
      <c r="N510" s="74"/>
      <c r="O510" s="81" t="s">
        <v>944</v>
      </c>
      <c r="P510">
        <v>1</v>
      </c>
      <c r="Q510" s="80" t="str">
        <f>REPLACE(INDEX(GroupVertices[Group],MATCH(Edges[[#This Row],[Vertex 1]],GroupVertices[Vertex],0)),1,1,"")</f>
        <v>1</v>
      </c>
      <c r="R510" s="80" t="str">
        <f>REPLACE(INDEX(GroupVertices[Group],MATCH(Edges[[#This Row],[Vertex 2]],GroupVertices[Vertex],0)),1,1,"")</f>
        <v>2</v>
      </c>
      <c r="S510" s="34"/>
      <c r="T510" s="34"/>
      <c r="U510" s="34"/>
      <c r="V510" s="34"/>
      <c r="W510" s="34"/>
      <c r="X510" s="34"/>
      <c r="Y510" s="34"/>
      <c r="Z510" s="34"/>
      <c r="AA510" s="34"/>
    </row>
    <row r="511" spans="1:27" ht="15">
      <c r="A511" s="66" t="s">
        <v>237</v>
      </c>
      <c r="B511" s="66" t="s">
        <v>619</v>
      </c>
      <c r="C511" s="67" t="s">
        <v>4454</v>
      </c>
      <c r="D511" s="68">
        <v>5</v>
      </c>
      <c r="E511" s="69"/>
      <c r="F511" s="70">
        <v>20</v>
      </c>
      <c r="G511" s="67"/>
      <c r="H511" s="71"/>
      <c r="I511" s="72"/>
      <c r="J511" s="72"/>
      <c r="K511" s="34" t="s">
        <v>65</v>
      </c>
      <c r="L511" s="79">
        <v>511</v>
      </c>
      <c r="M511" s="79"/>
      <c r="N511" s="74"/>
      <c r="O511" s="81" t="s">
        <v>944</v>
      </c>
      <c r="P511">
        <v>1</v>
      </c>
      <c r="Q511" s="80" t="str">
        <f>REPLACE(INDEX(GroupVertices[Group],MATCH(Edges[[#This Row],[Vertex 1]],GroupVertices[Vertex],0)),1,1,"")</f>
        <v>1</v>
      </c>
      <c r="R511" s="80" t="str">
        <f>REPLACE(INDEX(GroupVertices[Group],MATCH(Edges[[#This Row],[Vertex 2]],GroupVertices[Vertex],0)),1,1,"")</f>
        <v>2</v>
      </c>
      <c r="S511" s="34"/>
      <c r="T511" s="34"/>
      <c r="U511" s="34"/>
      <c r="V511" s="34"/>
      <c r="W511" s="34"/>
      <c r="X511" s="34"/>
      <c r="Y511" s="34"/>
      <c r="Z511" s="34"/>
      <c r="AA511" s="34"/>
    </row>
    <row r="512" spans="1:27" ht="15">
      <c r="A512" s="66" t="s">
        <v>237</v>
      </c>
      <c r="B512" s="66" t="s">
        <v>602</v>
      </c>
      <c r="C512" s="67" t="s">
        <v>4454</v>
      </c>
      <c r="D512" s="68">
        <v>5</v>
      </c>
      <c r="E512" s="69"/>
      <c r="F512" s="70">
        <v>20</v>
      </c>
      <c r="G512" s="67"/>
      <c r="H512" s="71"/>
      <c r="I512" s="72"/>
      <c r="J512" s="72"/>
      <c r="K512" s="34" t="s">
        <v>65</v>
      </c>
      <c r="L512" s="79">
        <v>512</v>
      </c>
      <c r="M512" s="79"/>
      <c r="N512" s="74"/>
      <c r="O512" s="81" t="s">
        <v>944</v>
      </c>
      <c r="P512">
        <v>1</v>
      </c>
      <c r="Q512" s="80" t="str">
        <f>REPLACE(INDEX(GroupVertices[Group],MATCH(Edges[[#This Row],[Vertex 1]],GroupVertices[Vertex],0)),1,1,"")</f>
        <v>1</v>
      </c>
      <c r="R512" s="80" t="str">
        <f>REPLACE(INDEX(GroupVertices[Group],MATCH(Edges[[#This Row],[Vertex 2]],GroupVertices[Vertex],0)),1,1,"")</f>
        <v>2</v>
      </c>
      <c r="S512" s="34"/>
      <c r="T512" s="34"/>
      <c r="U512" s="34"/>
      <c r="V512" s="34"/>
      <c r="W512" s="34"/>
      <c r="X512" s="34"/>
      <c r="Y512" s="34"/>
      <c r="Z512" s="34"/>
      <c r="AA512" s="34"/>
    </row>
    <row r="513" spans="1:27" ht="15">
      <c r="A513" s="66" t="s">
        <v>237</v>
      </c>
      <c r="B513" s="66" t="s">
        <v>248</v>
      </c>
      <c r="C513" s="67" t="s">
        <v>4454</v>
      </c>
      <c r="D513" s="68">
        <v>5</v>
      </c>
      <c r="E513" s="69"/>
      <c r="F513" s="70">
        <v>20</v>
      </c>
      <c r="G513" s="67"/>
      <c r="H513" s="71"/>
      <c r="I513" s="72"/>
      <c r="J513" s="72"/>
      <c r="K513" s="34" t="s">
        <v>65</v>
      </c>
      <c r="L513" s="79">
        <v>513</v>
      </c>
      <c r="M513" s="79"/>
      <c r="N513" s="74"/>
      <c r="O513" s="81" t="s">
        <v>944</v>
      </c>
      <c r="P513">
        <v>1</v>
      </c>
      <c r="Q513" s="80" t="str">
        <f>REPLACE(INDEX(GroupVertices[Group],MATCH(Edges[[#This Row],[Vertex 1]],GroupVertices[Vertex],0)),1,1,"")</f>
        <v>1</v>
      </c>
      <c r="R513" s="80" t="str">
        <f>REPLACE(INDEX(GroupVertices[Group],MATCH(Edges[[#This Row],[Vertex 2]],GroupVertices[Vertex],0)),1,1,"")</f>
        <v>1</v>
      </c>
      <c r="S513" s="34"/>
      <c r="T513" s="34"/>
      <c r="U513" s="34"/>
      <c r="V513" s="34"/>
      <c r="W513" s="34"/>
      <c r="X513" s="34"/>
      <c r="Y513" s="34"/>
      <c r="Z513" s="34"/>
      <c r="AA513" s="34"/>
    </row>
    <row r="514" spans="1:27" ht="15">
      <c r="A514" s="66" t="s">
        <v>237</v>
      </c>
      <c r="B514" s="66" t="s">
        <v>232</v>
      </c>
      <c r="C514" s="67" t="s">
        <v>4454</v>
      </c>
      <c r="D514" s="68">
        <v>5</v>
      </c>
      <c r="E514" s="69"/>
      <c r="F514" s="70">
        <v>20</v>
      </c>
      <c r="G514" s="67"/>
      <c r="H514" s="71"/>
      <c r="I514" s="72"/>
      <c r="J514" s="72"/>
      <c r="K514" s="34" t="s">
        <v>65</v>
      </c>
      <c r="L514" s="79">
        <v>514</v>
      </c>
      <c r="M514" s="79"/>
      <c r="N514" s="74"/>
      <c r="O514" s="81" t="s">
        <v>944</v>
      </c>
      <c r="P514">
        <v>1</v>
      </c>
      <c r="Q514" s="80" t="str">
        <f>REPLACE(INDEX(GroupVertices[Group],MATCH(Edges[[#This Row],[Vertex 1]],GroupVertices[Vertex],0)),1,1,"")</f>
        <v>1</v>
      </c>
      <c r="R514" s="80" t="str">
        <f>REPLACE(INDEX(GroupVertices[Group],MATCH(Edges[[#This Row],[Vertex 2]],GroupVertices[Vertex],0)),1,1,"")</f>
        <v>1</v>
      </c>
      <c r="S514" s="34"/>
      <c r="T514" s="34"/>
      <c r="U514" s="34"/>
      <c r="V514" s="34"/>
      <c r="W514" s="34"/>
      <c r="X514" s="34"/>
      <c r="Y514" s="34"/>
      <c r="Z514" s="34"/>
      <c r="AA514" s="34"/>
    </row>
    <row r="515" spans="1:27" ht="15">
      <c r="A515" s="66" t="s">
        <v>237</v>
      </c>
      <c r="B515" s="66" t="s">
        <v>620</v>
      </c>
      <c r="C515" s="67" t="s">
        <v>4454</v>
      </c>
      <c r="D515" s="68">
        <v>5</v>
      </c>
      <c r="E515" s="69"/>
      <c r="F515" s="70">
        <v>20</v>
      </c>
      <c r="G515" s="67"/>
      <c r="H515" s="71"/>
      <c r="I515" s="72"/>
      <c r="J515" s="72"/>
      <c r="K515" s="34" t="s">
        <v>65</v>
      </c>
      <c r="L515" s="79">
        <v>515</v>
      </c>
      <c r="M515" s="79"/>
      <c r="N515" s="74"/>
      <c r="O515" s="81" t="s">
        <v>944</v>
      </c>
      <c r="P515">
        <v>1</v>
      </c>
      <c r="Q515" s="80" t="str">
        <f>REPLACE(INDEX(GroupVertices[Group],MATCH(Edges[[#This Row],[Vertex 1]],GroupVertices[Vertex],0)),1,1,"")</f>
        <v>1</v>
      </c>
      <c r="R515" s="80" t="str">
        <f>REPLACE(INDEX(GroupVertices[Group],MATCH(Edges[[#This Row],[Vertex 2]],GroupVertices[Vertex],0)),1,1,"")</f>
        <v>1</v>
      </c>
      <c r="S515" s="34"/>
      <c r="T515" s="34"/>
      <c r="U515" s="34"/>
      <c r="V515" s="34"/>
      <c r="W515" s="34"/>
      <c r="X515" s="34"/>
      <c r="Y515" s="34"/>
      <c r="Z515" s="34"/>
      <c r="AA515" s="34"/>
    </row>
    <row r="516" spans="1:27" ht="15">
      <c r="A516" s="66" t="s">
        <v>237</v>
      </c>
      <c r="B516" s="66" t="s">
        <v>220</v>
      </c>
      <c r="C516" s="67" t="s">
        <v>4454</v>
      </c>
      <c r="D516" s="68">
        <v>5</v>
      </c>
      <c r="E516" s="69"/>
      <c r="F516" s="70">
        <v>20</v>
      </c>
      <c r="G516" s="67"/>
      <c r="H516" s="71"/>
      <c r="I516" s="72"/>
      <c r="J516" s="72"/>
      <c r="K516" s="34" t="s">
        <v>65</v>
      </c>
      <c r="L516" s="79">
        <v>516</v>
      </c>
      <c r="M516" s="79"/>
      <c r="N516" s="74"/>
      <c r="O516" s="81" t="s">
        <v>944</v>
      </c>
      <c r="P516">
        <v>1</v>
      </c>
      <c r="Q516" s="80" t="str">
        <f>REPLACE(INDEX(GroupVertices[Group],MATCH(Edges[[#This Row],[Vertex 1]],GroupVertices[Vertex],0)),1,1,"")</f>
        <v>1</v>
      </c>
      <c r="R516" s="80" t="str">
        <f>REPLACE(INDEX(GroupVertices[Group],MATCH(Edges[[#This Row],[Vertex 2]],GroupVertices[Vertex],0)),1,1,"")</f>
        <v>2</v>
      </c>
      <c r="S516" s="34"/>
      <c r="T516" s="34"/>
      <c r="U516" s="34"/>
      <c r="V516" s="34"/>
      <c r="W516" s="34"/>
      <c r="X516" s="34"/>
      <c r="Y516" s="34"/>
      <c r="Z516" s="34"/>
      <c r="AA516" s="34"/>
    </row>
    <row r="517" spans="1:27" ht="15">
      <c r="A517" s="66" t="s">
        <v>237</v>
      </c>
      <c r="B517" s="66" t="s">
        <v>243</v>
      </c>
      <c r="C517" s="67" t="s">
        <v>4454</v>
      </c>
      <c r="D517" s="68">
        <v>5</v>
      </c>
      <c r="E517" s="69"/>
      <c r="F517" s="70">
        <v>20</v>
      </c>
      <c r="G517" s="67"/>
      <c r="H517" s="71"/>
      <c r="I517" s="72"/>
      <c r="J517" s="72"/>
      <c r="K517" s="34" t="s">
        <v>65</v>
      </c>
      <c r="L517" s="79">
        <v>517</v>
      </c>
      <c r="M517" s="79"/>
      <c r="N517" s="74"/>
      <c r="O517" s="81" t="s">
        <v>944</v>
      </c>
      <c r="P517">
        <v>1</v>
      </c>
      <c r="Q517" s="80" t="str">
        <f>REPLACE(INDEX(GroupVertices[Group],MATCH(Edges[[#This Row],[Vertex 1]],GroupVertices[Vertex],0)),1,1,"")</f>
        <v>1</v>
      </c>
      <c r="R517" s="80" t="str">
        <f>REPLACE(INDEX(GroupVertices[Group],MATCH(Edges[[#This Row],[Vertex 2]],GroupVertices[Vertex],0)),1,1,"")</f>
        <v>2</v>
      </c>
      <c r="S517" s="34"/>
      <c r="T517" s="34"/>
      <c r="U517" s="34"/>
      <c r="V517" s="34"/>
      <c r="W517" s="34"/>
      <c r="X517" s="34"/>
      <c r="Y517" s="34"/>
      <c r="Z517" s="34"/>
      <c r="AA517" s="34"/>
    </row>
    <row r="518" spans="1:27" ht="15">
      <c r="A518" s="66" t="s">
        <v>237</v>
      </c>
      <c r="B518" s="66" t="s">
        <v>621</v>
      </c>
      <c r="C518" s="67" t="s">
        <v>4454</v>
      </c>
      <c r="D518" s="68">
        <v>5</v>
      </c>
      <c r="E518" s="69"/>
      <c r="F518" s="70">
        <v>20</v>
      </c>
      <c r="G518" s="67"/>
      <c r="H518" s="71"/>
      <c r="I518" s="72"/>
      <c r="J518" s="72"/>
      <c r="K518" s="34" t="s">
        <v>65</v>
      </c>
      <c r="L518" s="79">
        <v>518</v>
      </c>
      <c r="M518" s="79"/>
      <c r="N518" s="74"/>
      <c r="O518" s="81" t="s">
        <v>944</v>
      </c>
      <c r="P518">
        <v>1</v>
      </c>
      <c r="Q518" s="80" t="str">
        <f>REPLACE(INDEX(GroupVertices[Group],MATCH(Edges[[#This Row],[Vertex 1]],GroupVertices[Vertex],0)),1,1,"")</f>
        <v>1</v>
      </c>
      <c r="R518" s="80" t="str">
        <f>REPLACE(INDEX(GroupVertices[Group],MATCH(Edges[[#This Row],[Vertex 2]],GroupVertices[Vertex],0)),1,1,"")</f>
        <v>2</v>
      </c>
      <c r="S518" s="34"/>
      <c r="T518" s="34"/>
      <c r="U518" s="34"/>
      <c r="V518" s="34"/>
      <c r="W518" s="34"/>
      <c r="X518" s="34"/>
      <c r="Y518" s="34"/>
      <c r="Z518" s="34"/>
      <c r="AA518" s="34"/>
    </row>
    <row r="519" spans="1:27" ht="15">
      <c r="A519" s="66" t="s">
        <v>237</v>
      </c>
      <c r="B519" s="66" t="s">
        <v>622</v>
      </c>
      <c r="C519" s="67" t="s">
        <v>4454</v>
      </c>
      <c r="D519" s="68">
        <v>5</v>
      </c>
      <c r="E519" s="69"/>
      <c r="F519" s="70">
        <v>20</v>
      </c>
      <c r="G519" s="67"/>
      <c r="H519" s="71"/>
      <c r="I519" s="72"/>
      <c r="J519" s="72"/>
      <c r="K519" s="34" t="s">
        <v>65</v>
      </c>
      <c r="L519" s="79">
        <v>519</v>
      </c>
      <c r="M519" s="79"/>
      <c r="N519" s="74"/>
      <c r="O519" s="81" t="s">
        <v>944</v>
      </c>
      <c r="P519">
        <v>1</v>
      </c>
      <c r="Q519" s="80" t="str">
        <f>REPLACE(INDEX(GroupVertices[Group],MATCH(Edges[[#This Row],[Vertex 1]],GroupVertices[Vertex],0)),1,1,"")</f>
        <v>1</v>
      </c>
      <c r="R519" s="80" t="str">
        <f>REPLACE(INDEX(GroupVertices[Group],MATCH(Edges[[#This Row],[Vertex 2]],GroupVertices[Vertex],0)),1,1,"")</f>
        <v>1</v>
      </c>
      <c r="S519" s="34"/>
      <c r="T519" s="34"/>
      <c r="U519" s="34"/>
      <c r="V519" s="34"/>
      <c r="W519" s="34"/>
      <c r="X519" s="34"/>
      <c r="Y519" s="34"/>
      <c r="Z519" s="34"/>
      <c r="AA519" s="34"/>
    </row>
    <row r="520" spans="1:27" ht="15">
      <c r="A520" s="66" t="s">
        <v>237</v>
      </c>
      <c r="B520" s="66" t="s">
        <v>213</v>
      </c>
      <c r="C520" s="67" t="s">
        <v>4454</v>
      </c>
      <c r="D520" s="68">
        <v>5</v>
      </c>
      <c r="E520" s="69"/>
      <c r="F520" s="70">
        <v>20</v>
      </c>
      <c r="G520" s="67"/>
      <c r="H520" s="71"/>
      <c r="I520" s="72"/>
      <c r="J520" s="72"/>
      <c r="K520" s="34" t="s">
        <v>65</v>
      </c>
      <c r="L520" s="79">
        <v>520</v>
      </c>
      <c r="M520" s="79"/>
      <c r="N520" s="74"/>
      <c r="O520" s="81" t="s">
        <v>944</v>
      </c>
      <c r="P520">
        <v>1</v>
      </c>
      <c r="Q520" s="80" t="str">
        <f>REPLACE(INDEX(GroupVertices[Group],MATCH(Edges[[#This Row],[Vertex 1]],GroupVertices[Vertex],0)),1,1,"")</f>
        <v>1</v>
      </c>
      <c r="R520" s="80" t="str">
        <f>REPLACE(INDEX(GroupVertices[Group],MATCH(Edges[[#This Row],[Vertex 2]],GroupVertices[Vertex],0)),1,1,"")</f>
        <v>2</v>
      </c>
      <c r="S520" s="34"/>
      <c r="T520" s="34"/>
      <c r="U520" s="34"/>
      <c r="V520" s="34"/>
      <c r="W520" s="34"/>
      <c r="X520" s="34"/>
      <c r="Y520" s="34"/>
      <c r="Z520" s="34"/>
      <c r="AA520" s="34"/>
    </row>
    <row r="521" spans="1:27" ht="15">
      <c r="A521" s="66" t="s">
        <v>237</v>
      </c>
      <c r="B521" s="66" t="s">
        <v>252</v>
      </c>
      <c r="C521" s="67" t="s">
        <v>4454</v>
      </c>
      <c r="D521" s="68">
        <v>5</v>
      </c>
      <c r="E521" s="69"/>
      <c r="F521" s="70">
        <v>20</v>
      </c>
      <c r="G521" s="67"/>
      <c r="H521" s="71"/>
      <c r="I521" s="72"/>
      <c r="J521" s="72"/>
      <c r="K521" s="34" t="s">
        <v>65</v>
      </c>
      <c r="L521" s="79">
        <v>521</v>
      </c>
      <c r="M521" s="79"/>
      <c r="N521" s="74"/>
      <c r="O521" s="81" t="s">
        <v>944</v>
      </c>
      <c r="P521">
        <v>1</v>
      </c>
      <c r="Q521" s="80" t="str">
        <f>REPLACE(INDEX(GroupVertices[Group],MATCH(Edges[[#This Row],[Vertex 1]],GroupVertices[Vertex],0)),1,1,"")</f>
        <v>1</v>
      </c>
      <c r="R521" s="80" t="str">
        <f>REPLACE(INDEX(GroupVertices[Group],MATCH(Edges[[#This Row],[Vertex 2]],GroupVertices[Vertex],0)),1,1,"")</f>
        <v>1</v>
      </c>
      <c r="S521" s="34"/>
      <c r="T521" s="34"/>
      <c r="U521" s="34"/>
      <c r="V521" s="34"/>
      <c r="W521" s="34"/>
      <c r="X521" s="34"/>
      <c r="Y521" s="34"/>
      <c r="Z521" s="34"/>
      <c r="AA521" s="34"/>
    </row>
    <row r="522" spans="1:27" ht="15">
      <c r="A522" s="66" t="s">
        <v>238</v>
      </c>
      <c r="B522" s="66" t="s">
        <v>623</v>
      </c>
      <c r="C522" s="67" t="s">
        <v>4454</v>
      </c>
      <c r="D522" s="68">
        <v>5</v>
      </c>
      <c r="E522" s="69"/>
      <c r="F522" s="70">
        <v>20</v>
      </c>
      <c r="G522" s="67"/>
      <c r="H522" s="71"/>
      <c r="I522" s="72"/>
      <c r="J522" s="72"/>
      <c r="K522" s="34"/>
      <c r="L522" s="79">
        <v>522</v>
      </c>
      <c r="M522" s="79"/>
      <c r="N522" s="74"/>
      <c r="O522" s="81" t="s">
        <v>944</v>
      </c>
      <c r="P522">
        <v>1</v>
      </c>
      <c r="Q522" s="80" t="str">
        <f>REPLACE(INDEX(GroupVertices[Group],MATCH(Edges[[#This Row],[Vertex 1]],GroupVertices[Vertex],0)),1,1,"")</f>
        <v>2</v>
      </c>
      <c r="R522" s="80" t="e">
        <f>REPLACE(INDEX(GroupVertices[Group],MATCH(Edges[[#This Row],[Vertex 2]],GroupVertices[Vertex],0)),1,1,"")</f>
        <v>#N/A</v>
      </c>
      <c r="S522" s="34"/>
      <c r="T522" s="34"/>
      <c r="U522" s="34"/>
      <c r="V522" s="34"/>
      <c r="W522" s="34"/>
      <c r="X522" s="34"/>
      <c r="Y522" s="34"/>
      <c r="Z522" s="34"/>
      <c r="AA522" s="34"/>
    </row>
    <row r="523" spans="1:27" ht="15">
      <c r="A523" s="66" t="s">
        <v>238</v>
      </c>
      <c r="B523" s="66" t="s">
        <v>624</v>
      </c>
      <c r="C523" s="67" t="s">
        <v>4454</v>
      </c>
      <c r="D523" s="68">
        <v>5</v>
      </c>
      <c r="E523" s="69"/>
      <c r="F523" s="70">
        <v>20</v>
      </c>
      <c r="G523" s="67"/>
      <c r="H523" s="71"/>
      <c r="I523" s="72"/>
      <c r="J523" s="72"/>
      <c r="K523" s="34"/>
      <c r="L523" s="79">
        <v>523</v>
      </c>
      <c r="M523" s="79"/>
      <c r="N523" s="74"/>
      <c r="O523" s="81" t="s">
        <v>944</v>
      </c>
      <c r="P523">
        <v>1</v>
      </c>
      <c r="Q523" s="80" t="str">
        <f>REPLACE(INDEX(GroupVertices[Group],MATCH(Edges[[#This Row],[Vertex 1]],GroupVertices[Vertex],0)),1,1,"")</f>
        <v>2</v>
      </c>
      <c r="R523" s="80" t="e">
        <f>REPLACE(INDEX(GroupVertices[Group],MATCH(Edges[[#This Row],[Vertex 2]],GroupVertices[Vertex],0)),1,1,"")</f>
        <v>#N/A</v>
      </c>
      <c r="S523" s="34"/>
      <c r="T523" s="34"/>
      <c r="U523" s="34"/>
      <c r="V523" s="34"/>
      <c r="W523" s="34"/>
      <c r="X523" s="34"/>
      <c r="Y523" s="34"/>
      <c r="Z523" s="34"/>
      <c r="AA523" s="34"/>
    </row>
    <row r="524" spans="1:27" ht="15">
      <c r="A524" s="66" t="s">
        <v>238</v>
      </c>
      <c r="B524" s="66" t="s">
        <v>625</v>
      </c>
      <c r="C524" s="67" t="s">
        <v>4454</v>
      </c>
      <c r="D524" s="68">
        <v>5</v>
      </c>
      <c r="E524" s="69"/>
      <c r="F524" s="70">
        <v>20</v>
      </c>
      <c r="G524" s="67"/>
      <c r="H524" s="71"/>
      <c r="I524" s="72"/>
      <c r="J524" s="72"/>
      <c r="K524" s="34"/>
      <c r="L524" s="79">
        <v>524</v>
      </c>
      <c r="M524" s="79"/>
      <c r="N524" s="74"/>
      <c r="O524" s="81" t="s">
        <v>944</v>
      </c>
      <c r="P524">
        <v>1</v>
      </c>
      <c r="Q524" s="80" t="str">
        <f>REPLACE(INDEX(GroupVertices[Group],MATCH(Edges[[#This Row],[Vertex 1]],GroupVertices[Vertex],0)),1,1,"")</f>
        <v>2</v>
      </c>
      <c r="R524" s="80" t="e">
        <f>REPLACE(INDEX(GroupVertices[Group],MATCH(Edges[[#This Row],[Vertex 2]],GroupVertices[Vertex],0)),1,1,"")</f>
        <v>#N/A</v>
      </c>
      <c r="S524" s="34"/>
      <c r="T524" s="34"/>
      <c r="U524" s="34"/>
      <c r="V524" s="34"/>
      <c r="W524" s="34"/>
      <c r="X524" s="34"/>
      <c r="Y524" s="34"/>
      <c r="Z524" s="34"/>
      <c r="AA524" s="34"/>
    </row>
    <row r="525" spans="1:27" ht="15">
      <c r="A525" s="66" t="s">
        <v>217</v>
      </c>
      <c r="B525" s="66" t="s">
        <v>626</v>
      </c>
      <c r="C525" s="67" t="s">
        <v>4454</v>
      </c>
      <c r="D525" s="68">
        <v>5</v>
      </c>
      <c r="E525" s="69"/>
      <c r="F525" s="70">
        <v>20</v>
      </c>
      <c r="G525" s="67"/>
      <c r="H525" s="71"/>
      <c r="I525" s="72"/>
      <c r="J525" s="72"/>
      <c r="K525" s="34" t="s">
        <v>65</v>
      </c>
      <c r="L525" s="79">
        <v>525</v>
      </c>
      <c r="M525" s="79"/>
      <c r="N525" s="74"/>
      <c r="O525" s="81" t="s">
        <v>944</v>
      </c>
      <c r="P525">
        <v>1</v>
      </c>
      <c r="Q525" s="80" t="str">
        <f>REPLACE(INDEX(GroupVertices[Group],MATCH(Edges[[#This Row],[Vertex 1]],GroupVertices[Vertex],0)),1,1,"")</f>
        <v>4</v>
      </c>
      <c r="R525" s="80" t="str">
        <f>REPLACE(INDEX(GroupVertices[Group],MATCH(Edges[[#This Row],[Vertex 2]],GroupVertices[Vertex],0)),1,1,"")</f>
        <v>4</v>
      </c>
      <c r="S525" s="34"/>
      <c r="T525" s="34"/>
      <c r="U525" s="34"/>
      <c r="V525" s="34"/>
      <c r="W525" s="34"/>
      <c r="X525" s="34"/>
      <c r="Y525" s="34"/>
      <c r="Z525" s="34"/>
      <c r="AA525" s="34"/>
    </row>
    <row r="526" spans="1:27" ht="15">
      <c r="A526" s="66" t="s">
        <v>238</v>
      </c>
      <c r="B526" s="66" t="s">
        <v>626</v>
      </c>
      <c r="C526" s="67" t="s">
        <v>4454</v>
      </c>
      <c r="D526" s="68">
        <v>5</v>
      </c>
      <c r="E526" s="69"/>
      <c r="F526" s="70">
        <v>20</v>
      </c>
      <c r="G526" s="67"/>
      <c r="H526" s="71"/>
      <c r="I526" s="72"/>
      <c r="J526" s="72"/>
      <c r="K526" s="34" t="s">
        <v>65</v>
      </c>
      <c r="L526" s="79">
        <v>526</v>
      </c>
      <c r="M526" s="79"/>
      <c r="N526" s="74"/>
      <c r="O526" s="81" t="s">
        <v>944</v>
      </c>
      <c r="P526">
        <v>1</v>
      </c>
      <c r="Q526" s="80" t="str">
        <f>REPLACE(INDEX(GroupVertices[Group],MATCH(Edges[[#This Row],[Vertex 1]],GroupVertices[Vertex],0)),1,1,"")</f>
        <v>2</v>
      </c>
      <c r="R526" s="80" t="str">
        <f>REPLACE(INDEX(GroupVertices[Group],MATCH(Edges[[#This Row],[Vertex 2]],GroupVertices[Vertex],0)),1,1,"")</f>
        <v>4</v>
      </c>
      <c r="S526" s="34"/>
      <c r="T526" s="34"/>
      <c r="U526" s="34"/>
      <c r="V526" s="34"/>
      <c r="W526" s="34"/>
      <c r="X526" s="34"/>
      <c r="Y526" s="34"/>
      <c r="Z526" s="34"/>
      <c r="AA526" s="34"/>
    </row>
    <row r="527" spans="1:27" ht="15">
      <c r="A527" s="66" t="s">
        <v>239</v>
      </c>
      <c r="B527" s="66" t="s">
        <v>627</v>
      </c>
      <c r="C527" s="67" t="s">
        <v>4454</v>
      </c>
      <c r="D527" s="68">
        <v>5</v>
      </c>
      <c r="E527" s="69"/>
      <c r="F527" s="70">
        <v>20</v>
      </c>
      <c r="G527" s="67"/>
      <c r="H527" s="71"/>
      <c r="I527" s="72"/>
      <c r="J527" s="72"/>
      <c r="K527" s="34"/>
      <c r="L527" s="79">
        <v>527</v>
      </c>
      <c r="M527" s="79"/>
      <c r="N527" s="74"/>
      <c r="O527" s="81" t="s">
        <v>944</v>
      </c>
      <c r="P527">
        <v>1</v>
      </c>
      <c r="Q527" s="80" t="str">
        <f>REPLACE(INDEX(GroupVertices[Group],MATCH(Edges[[#This Row],[Vertex 1]],GroupVertices[Vertex],0)),1,1,"")</f>
        <v>3</v>
      </c>
      <c r="R527" s="80" t="e">
        <f>REPLACE(INDEX(GroupVertices[Group],MATCH(Edges[[#This Row],[Vertex 2]],GroupVertices[Vertex],0)),1,1,"")</f>
        <v>#N/A</v>
      </c>
      <c r="S527" s="34"/>
      <c r="T527" s="34"/>
      <c r="U527" s="34"/>
      <c r="V527" s="34"/>
      <c r="W527" s="34"/>
      <c r="X527" s="34"/>
      <c r="Y527" s="34"/>
      <c r="Z527" s="34"/>
      <c r="AA527" s="34"/>
    </row>
    <row r="528" spans="1:27" ht="15">
      <c r="A528" s="66" t="s">
        <v>215</v>
      </c>
      <c r="B528" s="66" t="s">
        <v>628</v>
      </c>
      <c r="C528" s="67" t="s">
        <v>4454</v>
      </c>
      <c r="D528" s="68">
        <v>5</v>
      </c>
      <c r="E528" s="69"/>
      <c r="F528" s="70">
        <v>20</v>
      </c>
      <c r="G528" s="67"/>
      <c r="H528" s="71"/>
      <c r="I528" s="72"/>
      <c r="J528" s="72"/>
      <c r="K528" s="34" t="s">
        <v>65</v>
      </c>
      <c r="L528" s="79">
        <v>528</v>
      </c>
      <c r="M528" s="79"/>
      <c r="N528" s="74"/>
      <c r="O528" s="81" t="s">
        <v>944</v>
      </c>
      <c r="P528">
        <v>1</v>
      </c>
      <c r="Q528" s="80" t="str">
        <f>REPLACE(INDEX(GroupVertices[Group],MATCH(Edges[[#This Row],[Vertex 1]],GroupVertices[Vertex],0)),1,1,"")</f>
        <v>3</v>
      </c>
      <c r="R528" s="80" t="str">
        <f>REPLACE(INDEX(GroupVertices[Group],MATCH(Edges[[#This Row],[Vertex 2]],GroupVertices[Vertex],0)),1,1,"")</f>
        <v>3</v>
      </c>
      <c r="S528" s="34"/>
      <c r="T528" s="34"/>
      <c r="U528" s="34"/>
      <c r="V528" s="34"/>
      <c r="W528" s="34"/>
      <c r="X528" s="34"/>
      <c r="Y528" s="34"/>
      <c r="Z528" s="34"/>
      <c r="AA528" s="34"/>
    </row>
    <row r="529" spans="1:27" ht="15">
      <c r="A529" s="66" t="s">
        <v>223</v>
      </c>
      <c r="B529" s="66" t="s">
        <v>628</v>
      </c>
      <c r="C529" s="67" t="s">
        <v>4454</v>
      </c>
      <c r="D529" s="68">
        <v>5</v>
      </c>
      <c r="E529" s="69"/>
      <c r="F529" s="70">
        <v>20</v>
      </c>
      <c r="G529" s="67"/>
      <c r="H529" s="71"/>
      <c r="I529" s="72"/>
      <c r="J529" s="72"/>
      <c r="K529" s="34" t="s">
        <v>65</v>
      </c>
      <c r="L529" s="79">
        <v>529</v>
      </c>
      <c r="M529" s="79"/>
      <c r="N529" s="74"/>
      <c r="O529" s="81" t="s">
        <v>944</v>
      </c>
      <c r="P529">
        <v>1</v>
      </c>
      <c r="Q529" s="80" t="str">
        <f>REPLACE(INDEX(GroupVertices[Group],MATCH(Edges[[#This Row],[Vertex 1]],GroupVertices[Vertex],0)),1,1,"")</f>
        <v>3</v>
      </c>
      <c r="R529" s="80" t="str">
        <f>REPLACE(INDEX(GroupVertices[Group],MATCH(Edges[[#This Row],[Vertex 2]],GroupVertices[Vertex],0)),1,1,"")</f>
        <v>3</v>
      </c>
      <c r="S529" s="34"/>
      <c r="T529" s="34"/>
      <c r="U529" s="34"/>
      <c r="V529" s="34"/>
      <c r="W529" s="34"/>
      <c r="X529" s="34"/>
      <c r="Y529" s="34"/>
      <c r="Z529" s="34"/>
      <c r="AA529" s="34"/>
    </row>
    <row r="530" spans="1:27" ht="15">
      <c r="A530" s="66" t="s">
        <v>239</v>
      </c>
      <c r="B530" s="66" t="s">
        <v>628</v>
      </c>
      <c r="C530" s="67" t="s">
        <v>4454</v>
      </c>
      <c r="D530" s="68">
        <v>5</v>
      </c>
      <c r="E530" s="69"/>
      <c r="F530" s="70">
        <v>20</v>
      </c>
      <c r="G530" s="67"/>
      <c r="H530" s="71"/>
      <c r="I530" s="72"/>
      <c r="J530" s="72"/>
      <c r="K530" s="34" t="s">
        <v>65</v>
      </c>
      <c r="L530" s="79">
        <v>530</v>
      </c>
      <c r="M530" s="79"/>
      <c r="N530" s="74"/>
      <c r="O530" s="81" t="s">
        <v>944</v>
      </c>
      <c r="P530">
        <v>1</v>
      </c>
      <c r="Q530" s="80" t="str">
        <f>REPLACE(INDEX(GroupVertices[Group],MATCH(Edges[[#This Row],[Vertex 1]],GroupVertices[Vertex],0)),1,1,"")</f>
        <v>3</v>
      </c>
      <c r="R530" s="80" t="str">
        <f>REPLACE(INDEX(GroupVertices[Group],MATCH(Edges[[#This Row],[Vertex 2]],GroupVertices[Vertex],0)),1,1,"")</f>
        <v>3</v>
      </c>
      <c r="S530" s="34"/>
      <c r="T530" s="34"/>
      <c r="U530" s="34"/>
      <c r="V530" s="34"/>
      <c r="W530" s="34"/>
      <c r="X530" s="34"/>
      <c r="Y530" s="34"/>
      <c r="Z530" s="34"/>
      <c r="AA530" s="34"/>
    </row>
    <row r="531" spans="1:27" ht="15">
      <c r="A531" s="66" t="s">
        <v>215</v>
      </c>
      <c r="B531" s="66" t="s">
        <v>629</v>
      </c>
      <c r="C531" s="67" t="s">
        <v>4454</v>
      </c>
      <c r="D531" s="68">
        <v>5</v>
      </c>
      <c r="E531" s="69"/>
      <c r="F531" s="70">
        <v>20</v>
      </c>
      <c r="G531" s="67"/>
      <c r="H531" s="71"/>
      <c r="I531" s="72"/>
      <c r="J531" s="72"/>
      <c r="K531" s="34" t="s">
        <v>65</v>
      </c>
      <c r="L531" s="79">
        <v>531</v>
      </c>
      <c r="M531" s="79"/>
      <c r="N531" s="74"/>
      <c r="O531" s="81" t="s">
        <v>944</v>
      </c>
      <c r="P531">
        <v>1</v>
      </c>
      <c r="Q531" s="80" t="str">
        <f>REPLACE(INDEX(GroupVertices[Group],MATCH(Edges[[#This Row],[Vertex 1]],GroupVertices[Vertex],0)),1,1,"")</f>
        <v>3</v>
      </c>
      <c r="R531" s="80" t="str">
        <f>REPLACE(INDEX(GroupVertices[Group],MATCH(Edges[[#This Row],[Vertex 2]],GroupVertices[Vertex],0)),1,1,"")</f>
        <v>3</v>
      </c>
      <c r="S531" s="34"/>
      <c r="T531" s="34"/>
      <c r="U531" s="34"/>
      <c r="V531" s="34"/>
      <c r="W531" s="34"/>
      <c r="X531" s="34"/>
      <c r="Y531" s="34"/>
      <c r="Z531" s="34"/>
      <c r="AA531" s="34"/>
    </row>
    <row r="532" spans="1:27" ht="15">
      <c r="A532" s="66" t="s">
        <v>223</v>
      </c>
      <c r="B532" s="66" t="s">
        <v>629</v>
      </c>
      <c r="C532" s="67" t="s">
        <v>4454</v>
      </c>
      <c r="D532" s="68">
        <v>5</v>
      </c>
      <c r="E532" s="69"/>
      <c r="F532" s="70">
        <v>20</v>
      </c>
      <c r="G532" s="67"/>
      <c r="H532" s="71"/>
      <c r="I532" s="72"/>
      <c r="J532" s="72"/>
      <c r="K532" s="34" t="s">
        <v>65</v>
      </c>
      <c r="L532" s="79">
        <v>532</v>
      </c>
      <c r="M532" s="79"/>
      <c r="N532" s="74"/>
      <c r="O532" s="81" t="s">
        <v>944</v>
      </c>
      <c r="P532">
        <v>1</v>
      </c>
      <c r="Q532" s="80" t="str">
        <f>REPLACE(INDEX(GroupVertices[Group],MATCH(Edges[[#This Row],[Vertex 1]],GroupVertices[Vertex],0)),1,1,"")</f>
        <v>3</v>
      </c>
      <c r="R532" s="80" t="str">
        <f>REPLACE(INDEX(GroupVertices[Group],MATCH(Edges[[#This Row],[Vertex 2]],GroupVertices[Vertex],0)),1,1,"")</f>
        <v>3</v>
      </c>
      <c r="S532" s="34"/>
      <c r="T532" s="34"/>
      <c r="U532" s="34"/>
      <c r="V532" s="34"/>
      <c r="W532" s="34"/>
      <c r="X532" s="34"/>
      <c r="Y532" s="34"/>
      <c r="Z532" s="34"/>
      <c r="AA532" s="34"/>
    </row>
    <row r="533" spans="1:27" ht="15">
      <c r="A533" s="66" t="s">
        <v>227</v>
      </c>
      <c r="B533" s="66" t="s">
        <v>629</v>
      </c>
      <c r="C533" s="67" t="s">
        <v>4454</v>
      </c>
      <c r="D533" s="68">
        <v>5</v>
      </c>
      <c r="E533" s="69"/>
      <c r="F533" s="70">
        <v>20</v>
      </c>
      <c r="G533" s="67"/>
      <c r="H533" s="71"/>
      <c r="I533" s="72"/>
      <c r="J533" s="72"/>
      <c r="K533" s="34" t="s">
        <v>65</v>
      </c>
      <c r="L533" s="79">
        <v>533</v>
      </c>
      <c r="M533" s="79"/>
      <c r="N533" s="74"/>
      <c r="O533" s="81" t="s">
        <v>944</v>
      </c>
      <c r="P533">
        <v>1</v>
      </c>
      <c r="Q533" s="80" t="str">
        <f>REPLACE(INDEX(GroupVertices[Group],MATCH(Edges[[#This Row],[Vertex 1]],GroupVertices[Vertex],0)),1,1,"")</f>
        <v>3</v>
      </c>
      <c r="R533" s="80" t="str">
        <f>REPLACE(INDEX(GroupVertices[Group],MATCH(Edges[[#This Row],[Vertex 2]],GroupVertices[Vertex],0)),1,1,"")</f>
        <v>3</v>
      </c>
      <c r="S533" s="34"/>
      <c r="T533" s="34"/>
      <c r="U533" s="34"/>
      <c r="V533" s="34"/>
      <c r="W533" s="34"/>
      <c r="X533" s="34"/>
      <c r="Y533" s="34"/>
      <c r="Z533" s="34"/>
      <c r="AA533" s="34"/>
    </row>
    <row r="534" spans="1:27" ht="15">
      <c r="A534" s="66" t="s">
        <v>228</v>
      </c>
      <c r="B534" s="66" t="s">
        <v>629</v>
      </c>
      <c r="C534" s="67" t="s">
        <v>4454</v>
      </c>
      <c r="D534" s="68">
        <v>5</v>
      </c>
      <c r="E534" s="69"/>
      <c r="F534" s="70">
        <v>20</v>
      </c>
      <c r="G534" s="67"/>
      <c r="H534" s="71"/>
      <c r="I534" s="72"/>
      <c r="J534" s="72"/>
      <c r="K534" s="34" t="s">
        <v>65</v>
      </c>
      <c r="L534" s="79">
        <v>534</v>
      </c>
      <c r="M534" s="79"/>
      <c r="N534" s="74"/>
      <c r="O534" s="81" t="s">
        <v>944</v>
      </c>
      <c r="P534">
        <v>1</v>
      </c>
      <c r="Q534" s="80" t="str">
        <f>REPLACE(INDEX(GroupVertices[Group],MATCH(Edges[[#This Row],[Vertex 1]],GroupVertices[Vertex],0)),1,1,"")</f>
        <v>3</v>
      </c>
      <c r="R534" s="80" t="str">
        <f>REPLACE(INDEX(GroupVertices[Group],MATCH(Edges[[#This Row],[Vertex 2]],GroupVertices[Vertex],0)),1,1,"")</f>
        <v>3</v>
      </c>
      <c r="S534" s="34"/>
      <c r="T534" s="34"/>
      <c r="U534" s="34"/>
      <c r="V534" s="34"/>
      <c r="W534" s="34"/>
      <c r="X534" s="34"/>
      <c r="Y534" s="34"/>
      <c r="Z534" s="34"/>
      <c r="AA534" s="34"/>
    </row>
    <row r="535" spans="1:27" ht="15">
      <c r="A535" s="66" t="s">
        <v>233</v>
      </c>
      <c r="B535" s="66" t="s">
        <v>629</v>
      </c>
      <c r="C535" s="67" t="s">
        <v>4454</v>
      </c>
      <c r="D535" s="68">
        <v>5</v>
      </c>
      <c r="E535" s="69"/>
      <c r="F535" s="70">
        <v>20</v>
      </c>
      <c r="G535" s="67"/>
      <c r="H535" s="71"/>
      <c r="I535" s="72"/>
      <c r="J535" s="72"/>
      <c r="K535" s="34" t="s">
        <v>65</v>
      </c>
      <c r="L535" s="79">
        <v>535</v>
      </c>
      <c r="M535" s="79"/>
      <c r="N535" s="74"/>
      <c r="O535" s="81" t="s">
        <v>944</v>
      </c>
      <c r="P535">
        <v>1</v>
      </c>
      <c r="Q535" s="80" t="str">
        <f>REPLACE(INDEX(GroupVertices[Group],MATCH(Edges[[#This Row],[Vertex 1]],GroupVertices[Vertex],0)),1,1,"")</f>
        <v>2</v>
      </c>
      <c r="R535" s="80" t="str">
        <f>REPLACE(INDEX(GroupVertices[Group],MATCH(Edges[[#This Row],[Vertex 2]],GroupVertices[Vertex],0)),1,1,"")</f>
        <v>3</v>
      </c>
      <c r="S535" s="34"/>
      <c r="T535" s="34"/>
      <c r="U535" s="34"/>
      <c r="V535" s="34"/>
      <c r="W535" s="34"/>
      <c r="X535" s="34"/>
      <c r="Y535" s="34"/>
      <c r="Z535" s="34"/>
      <c r="AA535" s="34"/>
    </row>
    <row r="536" spans="1:27" ht="15">
      <c r="A536" s="66" t="s">
        <v>239</v>
      </c>
      <c r="B536" s="66" t="s">
        <v>629</v>
      </c>
      <c r="C536" s="67" t="s">
        <v>4454</v>
      </c>
      <c r="D536" s="68">
        <v>5</v>
      </c>
      <c r="E536" s="69"/>
      <c r="F536" s="70">
        <v>20</v>
      </c>
      <c r="G536" s="67"/>
      <c r="H536" s="71"/>
      <c r="I536" s="72"/>
      <c r="J536" s="72"/>
      <c r="K536" s="34" t="s">
        <v>65</v>
      </c>
      <c r="L536" s="79">
        <v>536</v>
      </c>
      <c r="M536" s="79"/>
      <c r="N536" s="74"/>
      <c r="O536" s="81" t="s">
        <v>944</v>
      </c>
      <c r="P536">
        <v>1</v>
      </c>
      <c r="Q536" s="80" t="str">
        <f>REPLACE(INDEX(GroupVertices[Group],MATCH(Edges[[#This Row],[Vertex 1]],GroupVertices[Vertex],0)),1,1,"")</f>
        <v>3</v>
      </c>
      <c r="R536" s="80" t="str">
        <f>REPLACE(INDEX(GroupVertices[Group],MATCH(Edges[[#This Row],[Vertex 2]],GroupVertices[Vertex],0)),1,1,"")</f>
        <v>3</v>
      </c>
      <c r="S536" s="34"/>
      <c r="T536" s="34"/>
      <c r="U536" s="34"/>
      <c r="V536" s="34"/>
      <c r="W536" s="34"/>
      <c r="X536" s="34"/>
      <c r="Y536" s="34"/>
      <c r="Z536" s="34"/>
      <c r="AA536" s="34"/>
    </row>
    <row r="537" spans="1:27" ht="15">
      <c r="A537" s="66" t="s">
        <v>239</v>
      </c>
      <c r="B537" s="66" t="s">
        <v>630</v>
      </c>
      <c r="C537" s="67" t="s">
        <v>4454</v>
      </c>
      <c r="D537" s="68">
        <v>5</v>
      </c>
      <c r="E537" s="69"/>
      <c r="F537" s="70">
        <v>20</v>
      </c>
      <c r="G537" s="67"/>
      <c r="H537" s="71"/>
      <c r="I537" s="72"/>
      <c r="J537" s="72"/>
      <c r="K537" s="34"/>
      <c r="L537" s="79">
        <v>537</v>
      </c>
      <c r="M537" s="79"/>
      <c r="N537" s="74"/>
      <c r="O537" s="81" t="s">
        <v>944</v>
      </c>
      <c r="P537">
        <v>1</v>
      </c>
      <c r="Q537" s="80" t="str">
        <f>REPLACE(INDEX(GroupVertices[Group],MATCH(Edges[[#This Row],[Vertex 1]],GroupVertices[Vertex],0)),1,1,"")</f>
        <v>3</v>
      </c>
      <c r="R537" s="80" t="e">
        <f>REPLACE(INDEX(GroupVertices[Group],MATCH(Edges[[#This Row],[Vertex 2]],GroupVertices[Vertex],0)),1,1,"")</f>
        <v>#N/A</v>
      </c>
      <c r="S537" s="34"/>
      <c r="T537" s="34"/>
      <c r="U537" s="34"/>
      <c r="V537" s="34"/>
      <c r="W537" s="34"/>
      <c r="X537" s="34"/>
      <c r="Y537" s="34"/>
      <c r="Z537" s="34"/>
      <c r="AA537" s="34"/>
    </row>
    <row r="538" spans="1:27" ht="15">
      <c r="A538" s="66" t="s">
        <v>239</v>
      </c>
      <c r="B538" s="66" t="s">
        <v>631</v>
      </c>
      <c r="C538" s="67" t="s">
        <v>4454</v>
      </c>
      <c r="D538" s="68">
        <v>5</v>
      </c>
      <c r="E538" s="69"/>
      <c r="F538" s="70">
        <v>20</v>
      </c>
      <c r="G538" s="67"/>
      <c r="H538" s="71"/>
      <c r="I538" s="72"/>
      <c r="J538" s="72"/>
      <c r="K538" s="34"/>
      <c r="L538" s="79">
        <v>538</v>
      </c>
      <c r="M538" s="79"/>
      <c r="N538" s="74"/>
      <c r="O538" s="81" t="s">
        <v>944</v>
      </c>
      <c r="P538">
        <v>1</v>
      </c>
      <c r="Q538" s="80" t="str">
        <f>REPLACE(INDEX(GroupVertices[Group],MATCH(Edges[[#This Row],[Vertex 1]],GroupVertices[Vertex],0)),1,1,"")</f>
        <v>3</v>
      </c>
      <c r="R538" s="80" t="e">
        <f>REPLACE(INDEX(GroupVertices[Group],MATCH(Edges[[#This Row],[Vertex 2]],GroupVertices[Vertex],0)),1,1,"")</f>
        <v>#N/A</v>
      </c>
      <c r="S538" s="34"/>
      <c r="T538" s="34"/>
      <c r="U538" s="34"/>
      <c r="V538" s="34"/>
      <c r="W538" s="34"/>
      <c r="X538" s="34"/>
      <c r="Y538" s="34"/>
      <c r="Z538" s="34"/>
      <c r="AA538" s="34"/>
    </row>
    <row r="539" spans="1:27" ht="15">
      <c r="A539" s="66" t="s">
        <v>239</v>
      </c>
      <c r="B539" s="66" t="s">
        <v>632</v>
      </c>
      <c r="C539" s="67" t="s">
        <v>4454</v>
      </c>
      <c r="D539" s="68">
        <v>5</v>
      </c>
      <c r="E539" s="69"/>
      <c r="F539" s="70">
        <v>20</v>
      </c>
      <c r="G539" s="67"/>
      <c r="H539" s="71"/>
      <c r="I539" s="72"/>
      <c r="J539" s="72"/>
      <c r="K539" s="34"/>
      <c r="L539" s="79">
        <v>539</v>
      </c>
      <c r="M539" s="79"/>
      <c r="N539" s="74"/>
      <c r="O539" s="81" t="s">
        <v>944</v>
      </c>
      <c r="P539">
        <v>1</v>
      </c>
      <c r="Q539" s="80" t="str">
        <f>REPLACE(INDEX(GroupVertices[Group],MATCH(Edges[[#This Row],[Vertex 1]],GroupVertices[Vertex],0)),1,1,"")</f>
        <v>3</v>
      </c>
      <c r="R539" s="80" t="e">
        <f>REPLACE(INDEX(GroupVertices[Group],MATCH(Edges[[#This Row],[Vertex 2]],GroupVertices[Vertex],0)),1,1,"")</f>
        <v>#N/A</v>
      </c>
      <c r="S539" s="34"/>
      <c r="T539" s="34"/>
      <c r="U539" s="34"/>
      <c r="V539" s="34"/>
      <c r="W539" s="34"/>
      <c r="X539" s="34"/>
      <c r="Y539" s="34"/>
      <c r="Z539" s="34"/>
      <c r="AA539" s="34"/>
    </row>
    <row r="540" spans="1:27" ht="15">
      <c r="A540" s="66" t="s">
        <v>239</v>
      </c>
      <c r="B540" s="66" t="s">
        <v>633</v>
      </c>
      <c r="C540" s="67" t="s">
        <v>4454</v>
      </c>
      <c r="D540" s="68">
        <v>5</v>
      </c>
      <c r="E540" s="69"/>
      <c r="F540" s="70">
        <v>20</v>
      </c>
      <c r="G540" s="67"/>
      <c r="H540" s="71"/>
      <c r="I540" s="72"/>
      <c r="J540" s="72"/>
      <c r="K540" s="34"/>
      <c r="L540" s="79">
        <v>540</v>
      </c>
      <c r="M540" s="79"/>
      <c r="N540" s="74"/>
      <c r="O540" s="81" t="s">
        <v>944</v>
      </c>
      <c r="P540">
        <v>1</v>
      </c>
      <c r="Q540" s="80" t="str">
        <f>REPLACE(INDEX(GroupVertices[Group],MATCH(Edges[[#This Row],[Vertex 1]],GroupVertices[Vertex],0)),1,1,"")</f>
        <v>3</v>
      </c>
      <c r="R540" s="80" t="e">
        <f>REPLACE(INDEX(GroupVertices[Group],MATCH(Edges[[#This Row],[Vertex 2]],GroupVertices[Vertex],0)),1,1,"")</f>
        <v>#N/A</v>
      </c>
      <c r="S540" s="34"/>
      <c r="T540" s="34"/>
      <c r="U540" s="34"/>
      <c r="V540" s="34"/>
      <c r="W540" s="34"/>
      <c r="X540" s="34"/>
      <c r="Y540" s="34"/>
      <c r="Z540" s="34"/>
      <c r="AA540" s="34"/>
    </row>
    <row r="541" spans="1:27" ht="15">
      <c r="A541" s="66" t="s">
        <v>240</v>
      </c>
      <c r="B541" s="66" t="s">
        <v>634</v>
      </c>
      <c r="C541" s="67" t="s">
        <v>4454</v>
      </c>
      <c r="D541" s="68">
        <v>5</v>
      </c>
      <c r="E541" s="69"/>
      <c r="F541" s="70">
        <v>20</v>
      </c>
      <c r="G541" s="67"/>
      <c r="H541" s="71"/>
      <c r="I541" s="72"/>
      <c r="J541" s="72"/>
      <c r="K541" s="34"/>
      <c r="L541" s="79">
        <v>541</v>
      </c>
      <c r="M541" s="79"/>
      <c r="N541" s="74"/>
      <c r="O541" s="81" t="s">
        <v>944</v>
      </c>
      <c r="P541">
        <v>1</v>
      </c>
      <c r="Q541" s="80" t="str">
        <f>REPLACE(INDEX(GroupVertices[Group],MATCH(Edges[[#This Row],[Vertex 1]],GroupVertices[Vertex],0)),1,1,"")</f>
        <v>2</v>
      </c>
      <c r="R541" s="80" t="e">
        <f>REPLACE(INDEX(GroupVertices[Group],MATCH(Edges[[#This Row],[Vertex 2]],GroupVertices[Vertex],0)),1,1,"")</f>
        <v>#N/A</v>
      </c>
      <c r="S541" s="34"/>
      <c r="T541" s="34"/>
      <c r="U541" s="34"/>
      <c r="V541" s="34"/>
      <c r="W541" s="34"/>
      <c r="X541" s="34"/>
      <c r="Y541" s="34"/>
      <c r="Z541" s="34"/>
      <c r="AA541" s="34"/>
    </row>
    <row r="542" spans="1:27" ht="15">
      <c r="A542" s="66" t="s">
        <v>213</v>
      </c>
      <c r="B542" s="66" t="s">
        <v>635</v>
      </c>
      <c r="C542" s="67" t="s">
        <v>4454</v>
      </c>
      <c r="D542" s="68">
        <v>5</v>
      </c>
      <c r="E542" s="69"/>
      <c r="F542" s="70">
        <v>20</v>
      </c>
      <c r="G542" s="67"/>
      <c r="H542" s="71"/>
      <c r="I542" s="72"/>
      <c r="J542" s="72"/>
      <c r="K542" s="34" t="s">
        <v>65</v>
      </c>
      <c r="L542" s="79">
        <v>542</v>
      </c>
      <c r="M542" s="79"/>
      <c r="N542" s="74"/>
      <c r="O542" s="81" t="s">
        <v>944</v>
      </c>
      <c r="P542">
        <v>1</v>
      </c>
      <c r="Q542" s="80" t="str">
        <f>REPLACE(INDEX(GroupVertices[Group],MATCH(Edges[[#This Row],[Vertex 1]],GroupVertices[Vertex],0)),1,1,"")</f>
        <v>2</v>
      </c>
      <c r="R542" s="80" t="str">
        <f>REPLACE(INDEX(GroupVertices[Group],MATCH(Edges[[#This Row],[Vertex 2]],GroupVertices[Vertex],0)),1,1,"")</f>
        <v>2</v>
      </c>
      <c r="S542" s="34"/>
      <c r="T542" s="34"/>
      <c r="U542" s="34"/>
      <c r="V542" s="34"/>
      <c r="W542" s="34"/>
      <c r="X542" s="34"/>
      <c r="Y542" s="34"/>
      <c r="Z542" s="34"/>
      <c r="AA542" s="34"/>
    </row>
    <row r="543" spans="1:27" ht="15">
      <c r="A543" s="66" t="s">
        <v>224</v>
      </c>
      <c r="B543" s="66" t="s">
        <v>635</v>
      </c>
      <c r="C543" s="67" t="s">
        <v>4454</v>
      </c>
      <c r="D543" s="68">
        <v>5</v>
      </c>
      <c r="E543" s="69"/>
      <c r="F543" s="70">
        <v>20</v>
      </c>
      <c r="G543" s="67"/>
      <c r="H543" s="71"/>
      <c r="I543" s="72"/>
      <c r="J543" s="72"/>
      <c r="K543" s="34" t="s">
        <v>65</v>
      </c>
      <c r="L543" s="79">
        <v>543</v>
      </c>
      <c r="M543" s="79"/>
      <c r="N543" s="74"/>
      <c r="O543" s="81" t="s">
        <v>944</v>
      </c>
      <c r="P543">
        <v>1</v>
      </c>
      <c r="Q543" s="80" t="str">
        <f>REPLACE(INDEX(GroupVertices[Group],MATCH(Edges[[#This Row],[Vertex 1]],GroupVertices[Vertex],0)),1,1,"")</f>
        <v>2</v>
      </c>
      <c r="R543" s="80" t="str">
        <f>REPLACE(INDEX(GroupVertices[Group],MATCH(Edges[[#This Row],[Vertex 2]],GroupVertices[Vertex],0)),1,1,"")</f>
        <v>2</v>
      </c>
      <c r="S543" s="34"/>
      <c r="T543" s="34"/>
      <c r="U543" s="34"/>
      <c r="V543" s="34"/>
      <c r="W543" s="34"/>
      <c r="X543" s="34"/>
      <c r="Y543" s="34"/>
      <c r="Z543" s="34"/>
      <c r="AA543" s="34"/>
    </row>
    <row r="544" spans="1:27" ht="15">
      <c r="A544" s="66" t="s">
        <v>235</v>
      </c>
      <c r="B544" s="66" t="s">
        <v>635</v>
      </c>
      <c r="C544" s="67" t="s">
        <v>4454</v>
      </c>
      <c r="D544" s="68">
        <v>5</v>
      </c>
      <c r="E544" s="69"/>
      <c r="F544" s="70">
        <v>20</v>
      </c>
      <c r="G544" s="67"/>
      <c r="H544" s="71"/>
      <c r="I544" s="72"/>
      <c r="J544" s="72"/>
      <c r="K544" s="34" t="s">
        <v>65</v>
      </c>
      <c r="L544" s="79">
        <v>544</v>
      </c>
      <c r="M544" s="79"/>
      <c r="N544" s="74"/>
      <c r="O544" s="81" t="s">
        <v>944</v>
      </c>
      <c r="P544">
        <v>1</v>
      </c>
      <c r="Q544" s="80" t="str">
        <f>REPLACE(INDEX(GroupVertices[Group],MATCH(Edges[[#This Row],[Vertex 1]],GroupVertices[Vertex],0)),1,1,"")</f>
        <v>2</v>
      </c>
      <c r="R544" s="80" t="str">
        <f>REPLACE(INDEX(GroupVertices[Group],MATCH(Edges[[#This Row],[Vertex 2]],GroupVertices[Vertex],0)),1,1,"")</f>
        <v>2</v>
      </c>
      <c r="S544" s="34"/>
      <c r="T544" s="34"/>
      <c r="U544" s="34"/>
      <c r="V544" s="34"/>
      <c r="W544" s="34"/>
      <c r="X544" s="34"/>
      <c r="Y544" s="34"/>
      <c r="Z544" s="34"/>
      <c r="AA544" s="34"/>
    </row>
    <row r="545" spans="1:27" ht="15">
      <c r="A545" s="66" t="s">
        <v>240</v>
      </c>
      <c r="B545" s="66" t="s">
        <v>635</v>
      </c>
      <c r="C545" s="67" t="s">
        <v>4454</v>
      </c>
      <c r="D545" s="68">
        <v>5</v>
      </c>
      <c r="E545" s="69"/>
      <c r="F545" s="70">
        <v>20</v>
      </c>
      <c r="G545" s="67"/>
      <c r="H545" s="71"/>
      <c r="I545" s="72"/>
      <c r="J545" s="72"/>
      <c r="K545" s="34" t="s">
        <v>65</v>
      </c>
      <c r="L545" s="79">
        <v>545</v>
      </c>
      <c r="M545" s="79"/>
      <c r="N545" s="74"/>
      <c r="O545" s="81" t="s">
        <v>944</v>
      </c>
      <c r="P545">
        <v>1</v>
      </c>
      <c r="Q545" s="80" t="str">
        <f>REPLACE(INDEX(GroupVertices[Group],MATCH(Edges[[#This Row],[Vertex 1]],GroupVertices[Vertex],0)),1,1,"")</f>
        <v>2</v>
      </c>
      <c r="R545" s="80" t="str">
        <f>REPLACE(INDEX(GroupVertices[Group],MATCH(Edges[[#This Row],[Vertex 2]],GroupVertices[Vertex],0)),1,1,"")</f>
        <v>2</v>
      </c>
      <c r="S545" s="34"/>
      <c r="T545" s="34"/>
      <c r="U545" s="34"/>
      <c r="V545" s="34"/>
      <c r="W545" s="34"/>
      <c r="X545" s="34"/>
      <c r="Y545" s="34"/>
      <c r="Z545" s="34"/>
      <c r="AA545" s="34"/>
    </row>
    <row r="546" spans="1:27" ht="15">
      <c r="A546" s="66" t="s">
        <v>240</v>
      </c>
      <c r="B546" s="66" t="s">
        <v>636</v>
      </c>
      <c r="C546" s="67" t="s">
        <v>4454</v>
      </c>
      <c r="D546" s="68">
        <v>5</v>
      </c>
      <c r="E546" s="69"/>
      <c r="F546" s="70">
        <v>20</v>
      </c>
      <c r="G546" s="67"/>
      <c r="H546" s="71"/>
      <c r="I546" s="72"/>
      <c r="J546" s="72"/>
      <c r="K546" s="34"/>
      <c r="L546" s="79">
        <v>546</v>
      </c>
      <c r="M546" s="79"/>
      <c r="N546" s="74"/>
      <c r="O546" s="81" t="s">
        <v>944</v>
      </c>
      <c r="P546">
        <v>1</v>
      </c>
      <c r="Q546" s="80" t="str">
        <f>REPLACE(INDEX(GroupVertices[Group],MATCH(Edges[[#This Row],[Vertex 1]],GroupVertices[Vertex],0)),1,1,"")</f>
        <v>2</v>
      </c>
      <c r="R546" s="80" t="e">
        <f>REPLACE(INDEX(GroupVertices[Group],MATCH(Edges[[#This Row],[Vertex 2]],GroupVertices[Vertex],0)),1,1,"")</f>
        <v>#N/A</v>
      </c>
      <c r="S546" s="34"/>
      <c r="T546" s="34"/>
      <c r="U546" s="34"/>
      <c r="V546" s="34"/>
      <c r="W546" s="34"/>
      <c r="X546" s="34"/>
      <c r="Y546" s="34"/>
      <c r="Z546" s="34"/>
      <c r="AA546" s="34"/>
    </row>
    <row r="547" spans="1:27" ht="15">
      <c r="A547" s="66" t="s">
        <v>240</v>
      </c>
      <c r="B547" s="66" t="s">
        <v>637</v>
      </c>
      <c r="C547" s="67" t="s">
        <v>4454</v>
      </c>
      <c r="D547" s="68">
        <v>5</v>
      </c>
      <c r="E547" s="69"/>
      <c r="F547" s="70">
        <v>20</v>
      </c>
      <c r="G547" s="67"/>
      <c r="H547" s="71"/>
      <c r="I547" s="72"/>
      <c r="J547" s="72"/>
      <c r="K547" s="34"/>
      <c r="L547" s="79">
        <v>547</v>
      </c>
      <c r="M547" s="79"/>
      <c r="N547" s="74"/>
      <c r="O547" s="81" t="s">
        <v>944</v>
      </c>
      <c r="P547">
        <v>1</v>
      </c>
      <c r="Q547" s="80" t="str">
        <f>REPLACE(INDEX(GroupVertices[Group],MATCH(Edges[[#This Row],[Vertex 1]],GroupVertices[Vertex],0)),1,1,"")</f>
        <v>2</v>
      </c>
      <c r="R547" s="80" t="e">
        <f>REPLACE(INDEX(GroupVertices[Group],MATCH(Edges[[#This Row],[Vertex 2]],GroupVertices[Vertex],0)),1,1,"")</f>
        <v>#N/A</v>
      </c>
      <c r="S547" s="34"/>
      <c r="T547" s="34"/>
      <c r="U547" s="34"/>
      <c r="V547" s="34"/>
      <c r="W547" s="34"/>
      <c r="X547" s="34"/>
      <c r="Y547" s="34"/>
      <c r="Z547" s="34"/>
      <c r="AA547" s="34"/>
    </row>
    <row r="548" spans="1:27" ht="15">
      <c r="A548" s="66" t="s">
        <v>240</v>
      </c>
      <c r="B548" s="66" t="s">
        <v>638</v>
      </c>
      <c r="C548" s="67" t="s">
        <v>4454</v>
      </c>
      <c r="D548" s="68">
        <v>5</v>
      </c>
      <c r="E548" s="69"/>
      <c r="F548" s="70">
        <v>20</v>
      </c>
      <c r="G548" s="67"/>
      <c r="H548" s="71"/>
      <c r="I548" s="72"/>
      <c r="J548" s="72"/>
      <c r="K548" s="34"/>
      <c r="L548" s="79">
        <v>548</v>
      </c>
      <c r="M548" s="79"/>
      <c r="N548" s="74"/>
      <c r="O548" s="81" t="s">
        <v>944</v>
      </c>
      <c r="P548">
        <v>1</v>
      </c>
      <c r="Q548" s="80" t="str">
        <f>REPLACE(INDEX(GroupVertices[Group],MATCH(Edges[[#This Row],[Vertex 1]],GroupVertices[Vertex],0)),1,1,"")</f>
        <v>2</v>
      </c>
      <c r="R548" s="80" t="e">
        <f>REPLACE(INDEX(GroupVertices[Group],MATCH(Edges[[#This Row],[Vertex 2]],GroupVertices[Vertex],0)),1,1,"")</f>
        <v>#N/A</v>
      </c>
      <c r="S548" s="34"/>
      <c r="T548" s="34"/>
      <c r="U548" s="34"/>
      <c r="V548" s="34"/>
      <c r="W548" s="34"/>
      <c r="X548" s="34"/>
      <c r="Y548" s="34"/>
      <c r="Z548" s="34"/>
      <c r="AA548" s="34"/>
    </row>
    <row r="549" spans="1:27" ht="15">
      <c r="A549" s="66" t="s">
        <v>240</v>
      </c>
      <c r="B549" s="66" t="s">
        <v>639</v>
      </c>
      <c r="C549" s="67" t="s">
        <v>4454</v>
      </c>
      <c r="D549" s="68">
        <v>5</v>
      </c>
      <c r="E549" s="69"/>
      <c r="F549" s="70">
        <v>20</v>
      </c>
      <c r="G549" s="67"/>
      <c r="H549" s="71"/>
      <c r="I549" s="72"/>
      <c r="J549" s="72"/>
      <c r="K549" s="34"/>
      <c r="L549" s="79">
        <v>549</v>
      </c>
      <c r="M549" s="79"/>
      <c r="N549" s="74"/>
      <c r="O549" s="81" t="s">
        <v>944</v>
      </c>
      <c r="P549">
        <v>1</v>
      </c>
      <c r="Q549" s="80" t="str">
        <f>REPLACE(INDEX(GroupVertices[Group],MATCH(Edges[[#This Row],[Vertex 1]],GroupVertices[Vertex],0)),1,1,"")</f>
        <v>2</v>
      </c>
      <c r="R549" s="80" t="e">
        <f>REPLACE(INDEX(GroupVertices[Group],MATCH(Edges[[#This Row],[Vertex 2]],GroupVertices[Vertex],0)),1,1,"")</f>
        <v>#N/A</v>
      </c>
      <c r="S549" s="34"/>
      <c r="T549" s="34"/>
      <c r="U549" s="34"/>
      <c r="V549" s="34"/>
      <c r="W549" s="34"/>
      <c r="X549" s="34"/>
      <c r="Y549" s="34"/>
      <c r="Z549" s="34"/>
      <c r="AA549" s="34"/>
    </row>
    <row r="550" spans="1:27" ht="15">
      <c r="A550" s="66" t="s">
        <v>213</v>
      </c>
      <c r="B550" s="66" t="s">
        <v>479</v>
      </c>
      <c r="C550" s="67" t="s">
        <v>4454</v>
      </c>
      <c r="D550" s="68">
        <v>5</v>
      </c>
      <c r="E550" s="69"/>
      <c r="F550" s="70">
        <v>20</v>
      </c>
      <c r="G550" s="67"/>
      <c r="H550" s="71"/>
      <c r="I550" s="72"/>
      <c r="J550" s="72"/>
      <c r="K550" s="34" t="s">
        <v>65</v>
      </c>
      <c r="L550" s="79">
        <v>550</v>
      </c>
      <c r="M550" s="79"/>
      <c r="N550" s="74"/>
      <c r="O550" s="81" t="s">
        <v>944</v>
      </c>
      <c r="P550">
        <v>1</v>
      </c>
      <c r="Q550" s="80" t="str">
        <f>REPLACE(INDEX(GroupVertices[Group],MATCH(Edges[[#This Row],[Vertex 1]],GroupVertices[Vertex],0)),1,1,"")</f>
        <v>2</v>
      </c>
      <c r="R550" s="80" t="str">
        <f>REPLACE(INDEX(GroupVertices[Group],MATCH(Edges[[#This Row],[Vertex 2]],GroupVertices[Vertex],0)),1,1,"")</f>
        <v>2</v>
      </c>
      <c r="S550" s="34"/>
      <c r="T550" s="34"/>
      <c r="U550" s="34"/>
      <c r="V550" s="34"/>
      <c r="W550" s="34"/>
      <c r="X550" s="34"/>
      <c r="Y550" s="34"/>
      <c r="Z550" s="34"/>
      <c r="AA550" s="34"/>
    </row>
    <row r="551" spans="1:27" ht="15">
      <c r="A551" s="66" t="s">
        <v>229</v>
      </c>
      <c r="B551" s="66" t="s">
        <v>479</v>
      </c>
      <c r="C551" s="67" t="s">
        <v>4454</v>
      </c>
      <c r="D551" s="68">
        <v>5</v>
      </c>
      <c r="E551" s="69"/>
      <c r="F551" s="70">
        <v>20</v>
      </c>
      <c r="G551" s="67"/>
      <c r="H551" s="71"/>
      <c r="I551" s="72"/>
      <c r="J551" s="72"/>
      <c r="K551" s="34" t="s">
        <v>65</v>
      </c>
      <c r="L551" s="79">
        <v>551</v>
      </c>
      <c r="M551" s="79"/>
      <c r="N551" s="74"/>
      <c r="O551" s="81" t="s">
        <v>944</v>
      </c>
      <c r="P551">
        <v>1</v>
      </c>
      <c r="Q551" s="80" t="str">
        <f>REPLACE(INDEX(GroupVertices[Group],MATCH(Edges[[#This Row],[Vertex 1]],GroupVertices[Vertex],0)),1,1,"")</f>
        <v>1</v>
      </c>
      <c r="R551" s="80" t="str">
        <f>REPLACE(INDEX(GroupVertices[Group],MATCH(Edges[[#This Row],[Vertex 2]],GroupVertices[Vertex],0)),1,1,"")</f>
        <v>2</v>
      </c>
      <c r="S551" s="34"/>
      <c r="T551" s="34"/>
      <c r="U551" s="34"/>
      <c r="V551" s="34"/>
      <c r="W551" s="34"/>
      <c r="X551" s="34"/>
      <c r="Y551" s="34"/>
      <c r="Z551" s="34"/>
      <c r="AA551" s="34"/>
    </row>
    <row r="552" spans="1:27" ht="15">
      <c r="A552" s="66" t="s">
        <v>233</v>
      </c>
      <c r="B552" s="66" t="s">
        <v>479</v>
      </c>
      <c r="C552" s="67" t="s">
        <v>4454</v>
      </c>
      <c r="D552" s="68">
        <v>5</v>
      </c>
      <c r="E552" s="69"/>
      <c r="F552" s="70">
        <v>20</v>
      </c>
      <c r="G552" s="67"/>
      <c r="H552" s="71"/>
      <c r="I552" s="72"/>
      <c r="J552" s="72"/>
      <c r="K552" s="34" t="s">
        <v>65</v>
      </c>
      <c r="L552" s="79">
        <v>552</v>
      </c>
      <c r="M552" s="79"/>
      <c r="N552" s="74"/>
      <c r="O552" s="81" t="s">
        <v>944</v>
      </c>
      <c r="P552">
        <v>1</v>
      </c>
      <c r="Q552" s="80" t="str">
        <f>REPLACE(INDEX(GroupVertices[Group],MATCH(Edges[[#This Row],[Vertex 1]],GroupVertices[Vertex],0)),1,1,"")</f>
        <v>2</v>
      </c>
      <c r="R552" s="80" t="str">
        <f>REPLACE(INDEX(GroupVertices[Group],MATCH(Edges[[#This Row],[Vertex 2]],GroupVertices[Vertex],0)),1,1,"")</f>
        <v>2</v>
      </c>
      <c r="S552" s="34"/>
      <c r="T552" s="34"/>
      <c r="U552" s="34"/>
      <c r="V552" s="34"/>
      <c r="W552" s="34"/>
      <c r="X552" s="34"/>
      <c r="Y552" s="34"/>
      <c r="Z552" s="34"/>
      <c r="AA552" s="34"/>
    </row>
    <row r="553" spans="1:27" ht="15">
      <c r="A553" s="66" t="s">
        <v>241</v>
      </c>
      <c r="B553" s="66" t="s">
        <v>479</v>
      </c>
      <c r="C553" s="67" t="s">
        <v>4454</v>
      </c>
      <c r="D553" s="68">
        <v>5</v>
      </c>
      <c r="E553" s="69"/>
      <c r="F553" s="70">
        <v>20</v>
      </c>
      <c r="G553" s="67"/>
      <c r="H553" s="71"/>
      <c r="I553" s="72"/>
      <c r="J553" s="72"/>
      <c r="K553" s="34" t="s">
        <v>65</v>
      </c>
      <c r="L553" s="79">
        <v>553</v>
      </c>
      <c r="M553" s="79"/>
      <c r="N553" s="74"/>
      <c r="O553" s="81" t="s">
        <v>944</v>
      </c>
      <c r="P553">
        <v>1</v>
      </c>
      <c r="Q553" s="80" t="str">
        <f>REPLACE(INDEX(GroupVertices[Group],MATCH(Edges[[#This Row],[Vertex 1]],GroupVertices[Vertex],0)),1,1,"")</f>
        <v>2</v>
      </c>
      <c r="R553" s="80" t="str">
        <f>REPLACE(INDEX(GroupVertices[Group],MATCH(Edges[[#This Row],[Vertex 2]],GroupVertices[Vertex],0)),1,1,"")</f>
        <v>2</v>
      </c>
      <c r="S553" s="34"/>
      <c r="T553" s="34"/>
      <c r="U553" s="34"/>
      <c r="V553" s="34"/>
      <c r="W553" s="34"/>
      <c r="X553" s="34"/>
      <c r="Y553" s="34"/>
      <c r="Z553" s="34"/>
      <c r="AA553" s="34"/>
    </row>
    <row r="554" spans="1:27" ht="15">
      <c r="A554" s="66" t="s">
        <v>241</v>
      </c>
      <c r="B554" s="66" t="s">
        <v>640</v>
      </c>
      <c r="C554" s="67" t="s">
        <v>4454</v>
      </c>
      <c r="D554" s="68">
        <v>5</v>
      </c>
      <c r="E554" s="69"/>
      <c r="F554" s="70">
        <v>20</v>
      </c>
      <c r="G554" s="67"/>
      <c r="H554" s="71"/>
      <c r="I554" s="72"/>
      <c r="J554" s="72"/>
      <c r="K554" s="34"/>
      <c r="L554" s="79">
        <v>554</v>
      </c>
      <c r="M554" s="79"/>
      <c r="N554" s="74"/>
      <c r="O554" s="81" t="s">
        <v>944</v>
      </c>
      <c r="P554">
        <v>1</v>
      </c>
      <c r="Q554" s="80" t="str">
        <f>REPLACE(INDEX(GroupVertices[Group],MATCH(Edges[[#This Row],[Vertex 1]],GroupVertices[Vertex],0)),1,1,"")</f>
        <v>2</v>
      </c>
      <c r="R554" s="80" t="e">
        <f>REPLACE(INDEX(GroupVertices[Group],MATCH(Edges[[#This Row],[Vertex 2]],GroupVertices[Vertex],0)),1,1,"")</f>
        <v>#N/A</v>
      </c>
      <c r="S554" s="34"/>
      <c r="T554" s="34"/>
      <c r="U554" s="34"/>
      <c r="V554" s="34"/>
      <c r="W554" s="34"/>
      <c r="X554" s="34"/>
      <c r="Y554" s="34"/>
      <c r="Z554" s="34"/>
      <c r="AA554" s="34"/>
    </row>
    <row r="555" spans="1:27" ht="15">
      <c r="A555" s="66" t="s">
        <v>222</v>
      </c>
      <c r="B555" s="66" t="s">
        <v>641</v>
      </c>
      <c r="C555" s="67" t="s">
        <v>4454</v>
      </c>
      <c r="D555" s="68">
        <v>5</v>
      </c>
      <c r="E555" s="69"/>
      <c r="F555" s="70">
        <v>20</v>
      </c>
      <c r="G555" s="67"/>
      <c r="H555" s="71"/>
      <c r="I555" s="72"/>
      <c r="J555" s="72"/>
      <c r="K555" s="34" t="s">
        <v>65</v>
      </c>
      <c r="L555" s="79">
        <v>555</v>
      </c>
      <c r="M555" s="79"/>
      <c r="N555" s="74"/>
      <c r="O555" s="81" t="s">
        <v>944</v>
      </c>
      <c r="P555">
        <v>1</v>
      </c>
      <c r="Q555" s="80" t="str">
        <f>REPLACE(INDEX(GroupVertices[Group],MATCH(Edges[[#This Row],[Vertex 1]],GroupVertices[Vertex],0)),1,1,"")</f>
        <v>2</v>
      </c>
      <c r="R555" s="80" t="str">
        <f>REPLACE(INDEX(GroupVertices[Group],MATCH(Edges[[#This Row],[Vertex 2]],GroupVertices[Vertex],0)),1,1,"")</f>
        <v>2</v>
      </c>
      <c r="S555" s="34"/>
      <c r="T555" s="34"/>
      <c r="U555" s="34"/>
      <c r="V555" s="34"/>
      <c r="W555" s="34"/>
      <c r="X555" s="34"/>
      <c r="Y555" s="34"/>
      <c r="Z555" s="34"/>
      <c r="AA555" s="34"/>
    </row>
    <row r="556" spans="1:27" ht="15">
      <c r="A556" s="66" t="s">
        <v>241</v>
      </c>
      <c r="B556" s="66" t="s">
        <v>641</v>
      </c>
      <c r="C556" s="67" t="s">
        <v>4454</v>
      </c>
      <c r="D556" s="68">
        <v>5</v>
      </c>
      <c r="E556" s="69"/>
      <c r="F556" s="70">
        <v>20</v>
      </c>
      <c r="G556" s="67"/>
      <c r="H556" s="71"/>
      <c r="I556" s="72"/>
      <c r="J556" s="72"/>
      <c r="K556" s="34" t="s">
        <v>65</v>
      </c>
      <c r="L556" s="79">
        <v>556</v>
      </c>
      <c r="M556" s="79"/>
      <c r="N556" s="74"/>
      <c r="O556" s="81" t="s">
        <v>944</v>
      </c>
      <c r="P556">
        <v>1</v>
      </c>
      <c r="Q556" s="80" t="str">
        <f>REPLACE(INDEX(GroupVertices[Group],MATCH(Edges[[#This Row],[Vertex 1]],GroupVertices[Vertex],0)),1,1,"")</f>
        <v>2</v>
      </c>
      <c r="R556" s="80" t="str">
        <f>REPLACE(INDEX(GroupVertices[Group],MATCH(Edges[[#This Row],[Vertex 2]],GroupVertices[Vertex],0)),1,1,"")</f>
        <v>2</v>
      </c>
      <c r="S556" s="34"/>
      <c r="T556" s="34"/>
      <c r="U556" s="34"/>
      <c r="V556" s="34"/>
      <c r="W556" s="34"/>
      <c r="X556" s="34"/>
      <c r="Y556" s="34"/>
      <c r="Z556" s="34"/>
      <c r="AA556" s="34"/>
    </row>
    <row r="557" spans="1:27" ht="15">
      <c r="A557" s="66" t="s">
        <v>217</v>
      </c>
      <c r="B557" s="66" t="s">
        <v>642</v>
      </c>
      <c r="C557" s="67" t="s">
        <v>4454</v>
      </c>
      <c r="D557" s="68">
        <v>5</v>
      </c>
      <c r="E557" s="69"/>
      <c r="F557" s="70">
        <v>20</v>
      </c>
      <c r="G557" s="67"/>
      <c r="H557" s="71"/>
      <c r="I557" s="72"/>
      <c r="J557" s="72"/>
      <c r="K557" s="34" t="s">
        <v>65</v>
      </c>
      <c r="L557" s="79">
        <v>557</v>
      </c>
      <c r="M557" s="79"/>
      <c r="N557" s="74"/>
      <c r="O557" s="81" t="s">
        <v>944</v>
      </c>
      <c r="P557">
        <v>1</v>
      </c>
      <c r="Q557" s="80" t="str">
        <f>REPLACE(INDEX(GroupVertices[Group],MATCH(Edges[[#This Row],[Vertex 1]],GroupVertices[Vertex],0)),1,1,"")</f>
        <v>4</v>
      </c>
      <c r="R557" s="80" t="str">
        <f>REPLACE(INDEX(GroupVertices[Group],MATCH(Edges[[#This Row],[Vertex 2]],GroupVertices[Vertex],0)),1,1,"")</f>
        <v>4</v>
      </c>
      <c r="S557" s="34"/>
      <c r="T557" s="34"/>
      <c r="U557" s="34"/>
      <c r="V557" s="34"/>
      <c r="W557" s="34"/>
      <c r="X557" s="34"/>
      <c r="Y557" s="34"/>
      <c r="Z557" s="34"/>
      <c r="AA557" s="34"/>
    </row>
    <row r="558" spans="1:27" ht="15">
      <c r="A558" s="66" t="s">
        <v>222</v>
      </c>
      <c r="B558" s="66" t="s">
        <v>642</v>
      </c>
      <c r="C558" s="67" t="s">
        <v>4454</v>
      </c>
      <c r="D558" s="68">
        <v>5</v>
      </c>
      <c r="E558" s="69"/>
      <c r="F558" s="70">
        <v>20</v>
      </c>
      <c r="G558" s="67"/>
      <c r="H558" s="71"/>
      <c r="I558" s="72"/>
      <c r="J558" s="72"/>
      <c r="K558" s="34" t="s">
        <v>65</v>
      </c>
      <c r="L558" s="79">
        <v>558</v>
      </c>
      <c r="M558" s="79"/>
      <c r="N558" s="74"/>
      <c r="O558" s="81" t="s">
        <v>944</v>
      </c>
      <c r="P558">
        <v>1</v>
      </c>
      <c r="Q558" s="80" t="str">
        <f>REPLACE(INDEX(GroupVertices[Group],MATCH(Edges[[#This Row],[Vertex 1]],GroupVertices[Vertex],0)),1,1,"")</f>
        <v>2</v>
      </c>
      <c r="R558" s="80" t="str">
        <f>REPLACE(INDEX(GroupVertices[Group],MATCH(Edges[[#This Row],[Vertex 2]],GroupVertices[Vertex],0)),1,1,"")</f>
        <v>4</v>
      </c>
      <c r="S558" s="34"/>
      <c r="T558" s="34"/>
      <c r="U558" s="34"/>
      <c r="V558" s="34"/>
      <c r="W558" s="34"/>
      <c r="X558" s="34"/>
      <c r="Y558" s="34"/>
      <c r="Z558" s="34"/>
      <c r="AA558" s="34"/>
    </row>
    <row r="559" spans="1:27" ht="15">
      <c r="A559" s="66" t="s">
        <v>241</v>
      </c>
      <c r="B559" s="66" t="s">
        <v>642</v>
      </c>
      <c r="C559" s="67" t="s">
        <v>4454</v>
      </c>
      <c r="D559" s="68">
        <v>5</v>
      </c>
      <c r="E559" s="69"/>
      <c r="F559" s="70">
        <v>20</v>
      </c>
      <c r="G559" s="67"/>
      <c r="H559" s="71"/>
      <c r="I559" s="72"/>
      <c r="J559" s="72"/>
      <c r="K559" s="34" t="s">
        <v>65</v>
      </c>
      <c r="L559" s="79">
        <v>559</v>
      </c>
      <c r="M559" s="79"/>
      <c r="N559" s="74"/>
      <c r="O559" s="81" t="s">
        <v>944</v>
      </c>
      <c r="P559">
        <v>1</v>
      </c>
      <c r="Q559" s="80" t="str">
        <f>REPLACE(INDEX(GroupVertices[Group],MATCH(Edges[[#This Row],[Vertex 1]],GroupVertices[Vertex],0)),1,1,"")</f>
        <v>2</v>
      </c>
      <c r="R559" s="80" t="str">
        <f>REPLACE(INDEX(GroupVertices[Group],MATCH(Edges[[#This Row],[Vertex 2]],GroupVertices[Vertex],0)),1,1,"")</f>
        <v>4</v>
      </c>
      <c r="S559" s="34"/>
      <c r="T559" s="34"/>
      <c r="U559" s="34"/>
      <c r="V559" s="34"/>
      <c r="W559" s="34"/>
      <c r="X559" s="34"/>
      <c r="Y559" s="34"/>
      <c r="Z559" s="34"/>
      <c r="AA559" s="34"/>
    </row>
    <row r="560" spans="1:27" ht="15">
      <c r="A560" s="66" t="s">
        <v>241</v>
      </c>
      <c r="B560" s="66" t="s">
        <v>643</v>
      </c>
      <c r="C560" s="67" t="s">
        <v>4454</v>
      </c>
      <c r="D560" s="68">
        <v>5</v>
      </c>
      <c r="E560" s="69"/>
      <c r="F560" s="70">
        <v>20</v>
      </c>
      <c r="G560" s="67"/>
      <c r="H560" s="71"/>
      <c r="I560" s="72"/>
      <c r="J560" s="72"/>
      <c r="K560" s="34"/>
      <c r="L560" s="79">
        <v>560</v>
      </c>
      <c r="M560" s="79"/>
      <c r="N560" s="74"/>
      <c r="O560" s="81" t="s">
        <v>944</v>
      </c>
      <c r="P560">
        <v>1</v>
      </c>
      <c r="Q560" s="80" t="str">
        <f>REPLACE(INDEX(GroupVertices[Group],MATCH(Edges[[#This Row],[Vertex 1]],GroupVertices[Vertex],0)),1,1,"")</f>
        <v>2</v>
      </c>
      <c r="R560" s="80" t="e">
        <f>REPLACE(INDEX(GroupVertices[Group],MATCH(Edges[[#This Row],[Vertex 2]],GroupVertices[Vertex],0)),1,1,"")</f>
        <v>#N/A</v>
      </c>
      <c r="S560" s="34"/>
      <c r="T560" s="34"/>
      <c r="U560" s="34"/>
      <c r="V560" s="34"/>
      <c r="W560" s="34"/>
      <c r="X560" s="34"/>
      <c r="Y560" s="34"/>
      <c r="Z560" s="34"/>
      <c r="AA560" s="34"/>
    </row>
    <row r="561" spans="1:27" ht="15">
      <c r="A561" s="66" t="s">
        <v>224</v>
      </c>
      <c r="B561" s="66" t="s">
        <v>606</v>
      </c>
      <c r="C561" s="67" t="s">
        <v>4454</v>
      </c>
      <c r="D561" s="68">
        <v>5</v>
      </c>
      <c r="E561" s="69"/>
      <c r="F561" s="70">
        <v>20</v>
      </c>
      <c r="G561" s="67"/>
      <c r="H561" s="71"/>
      <c r="I561" s="72"/>
      <c r="J561" s="72"/>
      <c r="K561" s="34" t="s">
        <v>65</v>
      </c>
      <c r="L561" s="79">
        <v>561</v>
      </c>
      <c r="M561" s="79"/>
      <c r="N561" s="74"/>
      <c r="O561" s="81" t="s">
        <v>944</v>
      </c>
      <c r="P561">
        <v>1</v>
      </c>
      <c r="Q561" s="80" t="str">
        <f>REPLACE(INDEX(GroupVertices[Group],MATCH(Edges[[#This Row],[Vertex 1]],GroupVertices[Vertex],0)),1,1,"")</f>
        <v>2</v>
      </c>
      <c r="R561" s="80" t="str">
        <f>REPLACE(INDEX(GroupVertices[Group],MATCH(Edges[[#This Row],[Vertex 2]],GroupVertices[Vertex],0)),1,1,"")</f>
        <v>2</v>
      </c>
      <c r="S561" s="34"/>
      <c r="T561" s="34"/>
      <c r="U561" s="34"/>
      <c r="V561" s="34"/>
      <c r="W561" s="34"/>
      <c r="X561" s="34"/>
      <c r="Y561" s="34"/>
      <c r="Z561" s="34"/>
      <c r="AA561" s="34"/>
    </row>
    <row r="562" spans="1:27" ht="15">
      <c r="A562" s="66" t="s">
        <v>232</v>
      </c>
      <c r="B562" s="66" t="s">
        <v>606</v>
      </c>
      <c r="C562" s="67" t="s">
        <v>4454</v>
      </c>
      <c r="D562" s="68">
        <v>5</v>
      </c>
      <c r="E562" s="69"/>
      <c r="F562" s="70">
        <v>20</v>
      </c>
      <c r="G562" s="67"/>
      <c r="H562" s="71"/>
      <c r="I562" s="72"/>
      <c r="J562" s="72"/>
      <c r="K562" s="34" t="s">
        <v>65</v>
      </c>
      <c r="L562" s="79">
        <v>562</v>
      </c>
      <c r="M562" s="79"/>
      <c r="N562" s="74"/>
      <c r="O562" s="81" t="s">
        <v>944</v>
      </c>
      <c r="P562">
        <v>1</v>
      </c>
      <c r="Q562" s="80" t="str">
        <f>REPLACE(INDEX(GroupVertices[Group],MATCH(Edges[[#This Row],[Vertex 1]],GroupVertices[Vertex],0)),1,1,"")</f>
        <v>1</v>
      </c>
      <c r="R562" s="80" t="str">
        <f>REPLACE(INDEX(GroupVertices[Group],MATCH(Edges[[#This Row],[Vertex 2]],GroupVertices[Vertex],0)),1,1,"")</f>
        <v>2</v>
      </c>
      <c r="S562" s="34"/>
      <c r="T562" s="34"/>
      <c r="U562" s="34"/>
      <c r="V562" s="34"/>
      <c r="W562" s="34"/>
      <c r="X562" s="34"/>
      <c r="Y562" s="34"/>
      <c r="Z562" s="34"/>
      <c r="AA562" s="34"/>
    </row>
    <row r="563" spans="1:27" ht="15">
      <c r="A563" s="66" t="s">
        <v>241</v>
      </c>
      <c r="B563" s="66" t="s">
        <v>606</v>
      </c>
      <c r="C563" s="67" t="s">
        <v>4454</v>
      </c>
      <c r="D563" s="68">
        <v>5</v>
      </c>
      <c r="E563" s="69"/>
      <c r="F563" s="70">
        <v>20</v>
      </c>
      <c r="G563" s="67"/>
      <c r="H563" s="71"/>
      <c r="I563" s="72"/>
      <c r="J563" s="72"/>
      <c r="K563" s="34" t="s">
        <v>65</v>
      </c>
      <c r="L563" s="79">
        <v>563</v>
      </c>
      <c r="M563" s="79"/>
      <c r="N563" s="74"/>
      <c r="O563" s="81" t="s">
        <v>944</v>
      </c>
      <c r="P563">
        <v>1</v>
      </c>
      <c r="Q563" s="80" t="str">
        <f>REPLACE(INDEX(GroupVertices[Group],MATCH(Edges[[#This Row],[Vertex 1]],GroupVertices[Vertex],0)),1,1,"")</f>
        <v>2</v>
      </c>
      <c r="R563" s="80" t="str">
        <f>REPLACE(INDEX(GroupVertices[Group],MATCH(Edges[[#This Row],[Vertex 2]],GroupVertices[Vertex],0)),1,1,"")</f>
        <v>2</v>
      </c>
      <c r="S563" s="34"/>
      <c r="T563" s="34"/>
      <c r="U563" s="34"/>
      <c r="V563" s="34"/>
      <c r="W563" s="34"/>
      <c r="X563" s="34"/>
      <c r="Y563" s="34"/>
      <c r="Z563" s="34"/>
      <c r="AA563" s="34"/>
    </row>
    <row r="564" spans="1:27" ht="15">
      <c r="A564" s="66" t="s">
        <v>241</v>
      </c>
      <c r="B564" s="66" t="s">
        <v>644</v>
      </c>
      <c r="C564" s="67" t="s">
        <v>4454</v>
      </c>
      <c r="D564" s="68">
        <v>5</v>
      </c>
      <c r="E564" s="69"/>
      <c r="F564" s="70">
        <v>20</v>
      </c>
      <c r="G564" s="67"/>
      <c r="H564" s="71"/>
      <c r="I564" s="72"/>
      <c r="J564" s="72"/>
      <c r="K564" s="34"/>
      <c r="L564" s="79">
        <v>564</v>
      </c>
      <c r="M564" s="79"/>
      <c r="N564" s="74"/>
      <c r="O564" s="81" t="s">
        <v>944</v>
      </c>
      <c r="P564">
        <v>1</v>
      </c>
      <c r="Q564" s="80" t="str">
        <f>REPLACE(INDEX(GroupVertices[Group],MATCH(Edges[[#This Row],[Vertex 1]],GroupVertices[Vertex],0)),1,1,"")</f>
        <v>2</v>
      </c>
      <c r="R564" s="80" t="e">
        <f>REPLACE(INDEX(GroupVertices[Group],MATCH(Edges[[#This Row],[Vertex 2]],GroupVertices[Vertex],0)),1,1,"")</f>
        <v>#N/A</v>
      </c>
      <c r="S564" s="34"/>
      <c r="T564" s="34"/>
      <c r="U564" s="34"/>
      <c r="V564" s="34"/>
      <c r="W564" s="34"/>
      <c r="X564" s="34"/>
      <c r="Y564" s="34"/>
      <c r="Z564" s="34"/>
      <c r="AA564" s="34"/>
    </row>
    <row r="565" spans="1:27" ht="15">
      <c r="A565" s="66" t="s">
        <v>242</v>
      </c>
      <c r="B565" s="66" t="s">
        <v>645</v>
      </c>
      <c r="C565" s="67" t="s">
        <v>4454</v>
      </c>
      <c r="D565" s="68">
        <v>5</v>
      </c>
      <c r="E565" s="69"/>
      <c r="F565" s="70">
        <v>20</v>
      </c>
      <c r="G565" s="67"/>
      <c r="H565" s="71"/>
      <c r="I565" s="72"/>
      <c r="J565" s="72"/>
      <c r="K565" s="34"/>
      <c r="L565" s="79">
        <v>565</v>
      </c>
      <c r="M565" s="79"/>
      <c r="N565" s="74"/>
      <c r="O565" s="81" t="s">
        <v>944</v>
      </c>
      <c r="P565">
        <v>1</v>
      </c>
      <c r="Q565" s="80" t="str">
        <f>REPLACE(INDEX(GroupVertices[Group],MATCH(Edges[[#This Row],[Vertex 1]],GroupVertices[Vertex],0)),1,1,"")</f>
        <v>1</v>
      </c>
      <c r="R565" s="80" t="e">
        <f>REPLACE(INDEX(GroupVertices[Group],MATCH(Edges[[#This Row],[Vertex 2]],GroupVertices[Vertex],0)),1,1,"")</f>
        <v>#N/A</v>
      </c>
      <c r="S565" s="34"/>
      <c r="T565" s="34"/>
      <c r="U565" s="34"/>
      <c r="V565" s="34"/>
      <c r="W565" s="34"/>
      <c r="X565" s="34"/>
      <c r="Y565" s="34"/>
      <c r="Z565" s="34"/>
      <c r="AA565" s="34"/>
    </row>
    <row r="566" spans="1:27" ht="15">
      <c r="A566" s="66" t="s">
        <v>242</v>
      </c>
      <c r="B566" s="66" t="s">
        <v>646</v>
      </c>
      <c r="C566" s="67" t="s">
        <v>4454</v>
      </c>
      <c r="D566" s="68">
        <v>5</v>
      </c>
      <c r="E566" s="69"/>
      <c r="F566" s="70">
        <v>20</v>
      </c>
      <c r="G566" s="67"/>
      <c r="H566" s="71"/>
      <c r="I566" s="72"/>
      <c r="J566" s="72"/>
      <c r="K566" s="34"/>
      <c r="L566" s="79">
        <v>566</v>
      </c>
      <c r="M566" s="79"/>
      <c r="N566" s="74"/>
      <c r="O566" s="81" t="s">
        <v>944</v>
      </c>
      <c r="P566">
        <v>1</v>
      </c>
      <c r="Q566" s="80" t="str">
        <f>REPLACE(INDEX(GroupVertices[Group],MATCH(Edges[[#This Row],[Vertex 1]],GroupVertices[Vertex],0)),1,1,"")</f>
        <v>1</v>
      </c>
      <c r="R566" s="80" t="e">
        <f>REPLACE(INDEX(GroupVertices[Group],MATCH(Edges[[#This Row],[Vertex 2]],GroupVertices[Vertex],0)),1,1,"")</f>
        <v>#N/A</v>
      </c>
      <c r="S566" s="34"/>
      <c r="T566" s="34"/>
      <c r="U566" s="34"/>
      <c r="V566" s="34"/>
      <c r="W566" s="34"/>
      <c r="X566" s="34"/>
      <c r="Y566" s="34"/>
      <c r="Z566" s="34"/>
      <c r="AA566" s="34"/>
    </row>
    <row r="567" spans="1:27" ht="15">
      <c r="A567" s="66" t="s">
        <v>242</v>
      </c>
      <c r="B567" s="66" t="s">
        <v>647</v>
      </c>
      <c r="C567" s="67" t="s">
        <v>4454</v>
      </c>
      <c r="D567" s="68">
        <v>5</v>
      </c>
      <c r="E567" s="69"/>
      <c r="F567" s="70">
        <v>20</v>
      </c>
      <c r="G567" s="67"/>
      <c r="H567" s="71"/>
      <c r="I567" s="72"/>
      <c r="J567" s="72"/>
      <c r="K567" s="34"/>
      <c r="L567" s="79">
        <v>567</v>
      </c>
      <c r="M567" s="79"/>
      <c r="N567" s="74"/>
      <c r="O567" s="81" t="s">
        <v>944</v>
      </c>
      <c r="P567">
        <v>1</v>
      </c>
      <c r="Q567" s="80" t="str">
        <f>REPLACE(INDEX(GroupVertices[Group],MATCH(Edges[[#This Row],[Vertex 1]],GroupVertices[Vertex],0)),1,1,"")</f>
        <v>1</v>
      </c>
      <c r="R567" s="80" t="e">
        <f>REPLACE(INDEX(GroupVertices[Group],MATCH(Edges[[#This Row],[Vertex 2]],GroupVertices[Vertex],0)),1,1,"")</f>
        <v>#N/A</v>
      </c>
      <c r="S567" s="34"/>
      <c r="T567" s="34"/>
      <c r="U567" s="34"/>
      <c r="V567" s="34"/>
      <c r="W567" s="34"/>
      <c r="X567" s="34"/>
      <c r="Y567" s="34"/>
      <c r="Z567" s="34"/>
      <c r="AA567" s="34"/>
    </row>
    <row r="568" spans="1:27" ht="15">
      <c r="A568" s="66" t="s">
        <v>242</v>
      </c>
      <c r="B568" s="66" t="s">
        <v>648</v>
      </c>
      <c r="C568" s="67" t="s">
        <v>4454</v>
      </c>
      <c r="D568" s="68">
        <v>5</v>
      </c>
      <c r="E568" s="69"/>
      <c r="F568" s="70">
        <v>20</v>
      </c>
      <c r="G568" s="67"/>
      <c r="H568" s="71"/>
      <c r="I568" s="72"/>
      <c r="J568" s="72"/>
      <c r="K568" s="34"/>
      <c r="L568" s="79">
        <v>568</v>
      </c>
      <c r="M568" s="79"/>
      <c r="N568" s="74"/>
      <c r="O568" s="81" t="s">
        <v>944</v>
      </c>
      <c r="P568">
        <v>1</v>
      </c>
      <c r="Q568" s="80" t="str">
        <f>REPLACE(INDEX(GroupVertices[Group],MATCH(Edges[[#This Row],[Vertex 1]],GroupVertices[Vertex],0)),1,1,"")</f>
        <v>1</v>
      </c>
      <c r="R568" s="80" t="e">
        <f>REPLACE(INDEX(GroupVertices[Group],MATCH(Edges[[#This Row],[Vertex 2]],GroupVertices[Vertex],0)),1,1,"")</f>
        <v>#N/A</v>
      </c>
      <c r="S568" s="34"/>
      <c r="T568" s="34"/>
      <c r="U568" s="34"/>
      <c r="V568" s="34"/>
      <c r="W568" s="34"/>
      <c r="X568" s="34"/>
      <c r="Y568" s="34"/>
      <c r="Z568" s="34"/>
      <c r="AA568" s="34"/>
    </row>
    <row r="569" spans="1:27" ht="15">
      <c r="A569" s="66" t="s">
        <v>242</v>
      </c>
      <c r="B569" s="66" t="s">
        <v>649</v>
      </c>
      <c r="C569" s="67" t="s">
        <v>4454</v>
      </c>
      <c r="D569" s="68">
        <v>5</v>
      </c>
      <c r="E569" s="69"/>
      <c r="F569" s="70">
        <v>20</v>
      </c>
      <c r="G569" s="67"/>
      <c r="H569" s="71"/>
      <c r="I569" s="72"/>
      <c r="J569" s="72"/>
      <c r="K569" s="34"/>
      <c r="L569" s="79">
        <v>569</v>
      </c>
      <c r="M569" s="79"/>
      <c r="N569" s="74"/>
      <c r="O569" s="81" t="s">
        <v>944</v>
      </c>
      <c r="P569">
        <v>1</v>
      </c>
      <c r="Q569" s="80" t="str">
        <f>REPLACE(INDEX(GroupVertices[Group],MATCH(Edges[[#This Row],[Vertex 1]],GroupVertices[Vertex],0)),1,1,"")</f>
        <v>1</v>
      </c>
      <c r="R569" s="80" t="e">
        <f>REPLACE(INDEX(GroupVertices[Group],MATCH(Edges[[#This Row],[Vertex 2]],GroupVertices[Vertex],0)),1,1,"")</f>
        <v>#N/A</v>
      </c>
      <c r="S569" s="34"/>
      <c r="T569" s="34"/>
      <c r="U569" s="34"/>
      <c r="V569" s="34"/>
      <c r="W569" s="34"/>
      <c r="X569" s="34"/>
      <c r="Y569" s="34"/>
      <c r="Z569" s="34"/>
      <c r="AA569" s="34"/>
    </row>
    <row r="570" spans="1:27" ht="15">
      <c r="A570" s="66" t="s">
        <v>242</v>
      </c>
      <c r="B570" s="66" t="s">
        <v>650</v>
      </c>
      <c r="C570" s="67" t="s">
        <v>4454</v>
      </c>
      <c r="D570" s="68">
        <v>5</v>
      </c>
      <c r="E570" s="69"/>
      <c r="F570" s="70">
        <v>20</v>
      </c>
      <c r="G570" s="67"/>
      <c r="H570" s="71"/>
      <c r="I570" s="72"/>
      <c r="J570" s="72"/>
      <c r="K570" s="34"/>
      <c r="L570" s="79">
        <v>570</v>
      </c>
      <c r="M570" s="79"/>
      <c r="N570" s="74"/>
      <c r="O570" s="81" t="s">
        <v>944</v>
      </c>
      <c r="P570">
        <v>1</v>
      </c>
      <c r="Q570" s="80" t="str">
        <f>REPLACE(INDEX(GroupVertices[Group],MATCH(Edges[[#This Row],[Vertex 1]],GroupVertices[Vertex],0)),1,1,"")</f>
        <v>1</v>
      </c>
      <c r="R570" s="80" t="e">
        <f>REPLACE(INDEX(GroupVertices[Group],MATCH(Edges[[#This Row],[Vertex 2]],GroupVertices[Vertex],0)),1,1,"")</f>
        <v>#N/A</v>
      </c>
      <c r="S570" s="34"/>
      <c r="T570" s="34"/>
      <c r="U570" s="34"/>
      <c r="V570" s="34"/>
      <c r="W570" s="34"/>
      <c r="X570" s="34"/>
      <c r="Y570" s="34"/>
      <c r="Z570" s="34"/>
      <c r="AA570" s="34"/>
    </row>
    <row r="571" spans="1:27" ht="15">
      <c r="A571" s="66" t="s">
        <v>226</v>
      </c>
      <c r="B571" s="66" t="s">
        <v>505</v>
      </c>
      <c r="C571" s="67" t="s">
        <v>4454</v>
      </c>
      <c r="D571" s="68">
        <v>5</v>
      </c>
      <c r="E571" s="69"/>
      <c r="F571" s="70">
        <v>20</v>
      </c>
      <c r="G571" s="67"/>
      <c r="H571" s="71"/>
      <c r="I571" s="72"/>
      <c r="J571" s="72"/>
      <c r="K571" s="34" t="s">
        <v>65</v>
      </c>
      <c r="L571" s="79">
        <v>571</v>
      </c>
      <c r="M571" s="79"/>
      <c r="N571" s="74"/>
      <c r="O571" s="81" t="s">
        <v>944</v>
      </c>
      <c r="P571">
        <v>1</v>
      </c>
      <c r="Q571" s="80" t="str">
        <f>REPLACE(INDEX(GroupVertices[Group],MATCH(Edges[[#This Row],[Vertex 1]],GroupVertices[Vertex],0)),1,1,"")</f>
        <v>4</v>
      </c>
      <c r="R571" s="80" t="str">
        <f>REPLACE(INDEX(GroupVertices[Group],MATCH(Edges[[#This Row],[Vertex 2]],GroupVertices[Vertex],0)),1,1,"")</f>
        <v>1</v>
      </c>
      <c r="S571" s="34"/>
      <c r="T571" s="34"/>
      <c r="U571" s="34"/>
      <c r="V571" s="34"/>
      <c r="W571" s="34"/>
      <c r="X571" s="34"/>
      <c r="Y571" s="34"/>
      <c r="Z571" s="34"/>
      <c r="AA571" s="34"/>
    </row>
    <row r="572" spans="1:27" ht="15">
      <c r="A572" s="66" t="s">
        <v>229</v>
      </c>
      <c r="B572" s="66" t="s">
        <v>505</v>
      </c>
      <c r="C572" s="67" t="s">
        <v>4454</v>
      </c>
      <c r="D572" s="68">
        <v>5</v>
      </c>
      <c r="E572" s="69"/>
      <c r="F572" s="70">
        <v>20</v>
      </c>
      <c r="G572" s="67"/>
      <c r="H572" s="71"/>
      <c r="I572" s="72"/>
      <c r="J572" s="72"/>
      <c r="K572" s="34" t="s">
        <v>65</v>
      </c>
      <c r="L572" s="79">
        <v>572</v>
      </c>
      <c r="M572" s="79"/>
      <c r="N572" s="74"/>
      <c r="O572" s="81" t="s">
        <v>944</v>
      </c>
      <c r="P572">
        <v>1</v>
      </c>
      <c r="Q572" s="80" t="str">
        <f>REPLACE(INDEX(GroupVertices[Group],MATCH(Edges[[#This Row],[Vertex 1]],GroupVertices[Vertex],0)),1,1,"")</f>
        <v>1</v>
      </c>
      <c r="R572" s="80" t="str">
        <f>REPLACE(INDEX(GroupVertices[Group],MATCH(Edges[[#This Row],[Vertex 2]],GroupVertices[Vertex],0)),1,1,"")</f>
        <v>1</v>
      </c>
      <c r="S572" s="34"/>
      <c r="T572" s="34"/>
      <c r="U572" s="34"/>
      <c r="V572" s="34"/>
      <c r="W572" s="34"/>
      <c r="X572" s="34"/>
      <c r="Y572" s="34"/>
      <c r="Z572" s="34"/>
      <c r="AA572" s="34"/>
    </row>
    <row r="573" spans="1:27" ht="15">
      <c r="A573" s="66" t="s">
        <v>231</v>
      </c>
      <c r="B573" s="66" t="s">
        <v>505</v>
      </c>
      <c r="C573" s="67" t="s">
        <v>4454</v>
      </c>
      <c r="D573" s="68">
        <v>5</v>
      </c>
      <c r="E573" s="69"/>
      <c r="F573" s="70">
        <v>20</v>
      </c>
      <c r="G573" s="67"/>
      <c r="H573" s="71"/>
      <c r="I573" s="72"/>
      <c r="J573" s="72"/>
      <c r="K573" s="34" t="s">
        <v>65</v>
      </c>
      <c r="L573" s="79">
        <v>573</v>
      </c>
      <c r="M573" s="79"/>
      <c r="N573" s="74"/>
      <c r="O573" s="81" t="s">
        <v>944</v>
      </c>
      <c r="P573">
        <v>1</v>
      </c>
      <c r="Q573" s="80" t="str">
        <f>REPLACE(INDEX(GroupVertices[Group],MATCH(Edges[[#This Row],[Vertex 1]],GroupVertices[Vertex],0)),1,1,"")</f>
        <v>1</v>
      </c>
      <c r="R573" s="80" t="str">
        <f>REPLACE(INDEX(GroupVertices[Group],MATCH(Edges[[#This Row],[Vertex 2]],GroupVertices[Vertex],0)),1,1,"")</f>
        <v>1</v>
      </c>
      <c r="S573" s="34"/>
      <c r="T573" s="34"/>
      <c r="U573" s="34"/>
      <c r="V573" s="34"/>
      <c r="W573" s="34"/>
      <c r="X573" s="34"/>
      <c r="Y573" s="34"/>
      <c r="Z573" s="34"/>
      <c r="AA573" s="34"/>
    </row>
    <row r="574" spans="1:27" ht="15">
      <c r="A574" s="66" t="s">
        <v>236</v>
      </c>
      <c r="B574" s="66" t="s">
        <v>505</v>
      </c>
      <c r="C574" s="67" t="s">
        <v>4454</v>
      </c>
      <c r="D574" s="68">
        <v>5</v>
      </c>
      <c r="E574" s="69"/>
      <c r="F574" s="70">
        <v>20</v>
      </c>
      <c r="G574" s="67"/>
      <c r="H574" s="71"/>
      <c r="I574" s="72"/>
      <c r="J574" s="72"/>
      <c r="K574" s="34" t="s">
        <v>65</v>
      </c>
      <c r="L574" s="79">
        <v>574</v>
      </c>
      <c r="M574" s="79"/>
      <c r="N574" s="74"/>
      <c r="O574" s="81" t="s">
        <v>944</v>
      </c>
      <c r="P574">
        <v>1</v>
      </c>
      <c r="Q574" s="80" t="str">
        <f>REPLACE(INDEX(GroupVertices[Group],MATCH(Edges[[#This Row],[Vertex 1]],GroupVertices[Vertex],0)),1,1,"")</f>
        <v>1</v>
      </c>
      <c r="R574" s="80" t="str">
        <f>REPLACE(INDEX(GroupVertices[Group],MATCH(Edges[[#This Row],[Vertex 2]],GroupVertices[Vertex],0)),1,1,"")</f>
        <v>1</v>
      </c>
      <c r="S574" s="34"/>
      <c r="T574" s="34"/>
      <c r="U574" s="34"/>
      <c r="V574" s="34"/>
      <c r="W574" s="34"/>
      <c r="X574" s="34"/>
      <c r="Y574" s="34"/>
      <c r="Z574" s="34"/>
      <c r="AA574" s="34"/>
    </row>
    <row r="575" spans="1:27" ht="15">
      <c r="A575" s="66" t="s">
        <v>242</v>
      </c>
      <c r="B575" s="66" t="s">
        <v>505</v>
      </c>
      <c r="C575" s="67" t="s">
        <v>4454</v>
      </c>
      <c r="D575" s="68">
        <v>5</v>
      </c>
      <c r="E575" s="69"/>
      <c r="F575" s="70">
        <v>20</v>
      </c>
      <c r="G575" s="67"/>
      <c r="H575" s="71"/>
      <c r="I575" s="72"/>
      <c r="J575" s="72"/>
      <c r="K575" s="34" t="s">
        <v>65</v>
      </c>
      <c r="L575" s="79">
        <v>575</v>
      </c>
      <c r="M575" s="79"/>
      <c r="N575" s="74"/>
      <c r="O575" s="81" t="s">
        <v>944</v>
      </c>
      <c r="P575">
        <v>1</v>
      </c>
      <c r="Q575" s="80" t="str">
        <f>REPLACE(INDEX(GroupVertices[Group],MATCH(Edges[[#This Row],[Vertex 1]],GroupVertices[Vertex],0)),1,1,"")</f>
        <v>1</v>
      </c>
      <c r="R575" s="80" t="str">
        <f>REPLACE(INDEX(GroupVertices[Group],MATCH(Edges[[#This Row],[Vertex 2]],GroupVertices[Vertex],0)),1,1,"")</f>
        <v>1</v>
      </c>
      <c r="S575" s="34"/>
      <c r="T575" s="34"/>
      <c r="U575" s="34"/>
      <c r="V575" s="34"/>
      <c r="W575" s="34"/>
      <c r="X575" s="34"/>
      <c r="Y575" s="34"/>
      <c r="Z575" s="34"/>
      <c r="AA575" s="34"/>
    </row>
    <row r="576" spans="1:27" ht="15">
      <c r="A576" s="66" t="s">
        <v>242</v>
      </c>
      <c r="B576" s="66" t="s">
        <v>651</v>
      </c>
      <c r="C576" s="67" t="s">
        <v>4454</v>
      </c>
      <c r="D576" s="68">
        <v>5</v>
      </c>
      <c r="E576" s="69"/>
      <c r="F576" s="70">
        <v>20</v>
      </c>
      <c r="G576" s="67"/>
      <c r="H576" s="71"/>
      <c r="I576" s="72"/>
      <c r="J576" s="72"/>
      <c r="K576" s="34"/>
      <c r="L576" s="79">
        <v>576</v>
      </c>
      <c r="M576" s="79"/>
      <c r="N576" s="74"/>
      <c r="O576" s="81" t="s">
        <v>944</v>
      </c>
      <c r="P576">
        <v>1</v>
      </c>
      <c r="Q576" s="80" t="str">
        <f>REPLACE(INDEX(GroupVertices[Group],MATCH(Edges[[#This Row],[Vertex 1]],GroupVertices[Vertex],0)),1,1,"")</f>
        <v>1</v>
      </c>
      <c r="R576" s="80" t="e">
        <f>REPLACE(INDEX(GroupVertices[Group],MATCH(Edges[[#This Row],[Vertex 2]],GroupVertices[Vertex],0)),1,1,"")</f>
        <v>#N/A</v>
      </c>
      <c r="S576" s="34"/>
      <c r="T576" s="34"/>
      <c r="U576" s="34"/>
      <c r="V576" s="34"/>
      <c r="W576" s="34"/>
      <c r="X576" s="34"/>
      <c r="Y576" s="34"/>
      <c r="Z576" s="34"/>
      <c r="AA576" s="34"/>
    </row>
    <row r="577" spans="1:27" ht="15">
      <c r="A577" s="66" t="s">
        <v>242</v>
      </c>
      <c r="B577" s="66" t="s">
        <v>652</v>
      </c>
      <c r="C577" s="67" t="s">
        <v>4454</v>
      </c>
      <c r="D577" s="68">
        <v>5</v>
      </c>
      <c r="E577" s="69"/>
      <c r="F577" s="70">
        <v>20</v>
      </c>
      <c r="G577" s="67"/>
      <c r="H577" s="71"/>
      <c r="I577" s="72"/>
      <c r="J577" s="72"/>
      <c r="K577" s="34"/>
      <c r="L577" s="79">
        <v>577</v>
      </c>
      <c r="M577" s="79"/>
      <c r="N577" s="74"/>
      <c r="O577" s="81" t="s">
        <v>944</v>
      </c>
      <c r="P577">
        <v>1</v>
      </c>
      <c r="Q577" s="80" t="str">
        <f>REPLACE(INDEX(GroupVertices[Group],MATCH(Edges[[#This Row],[Vertex 1]],GroupVertices[Vertex],0)),1,1,"")</f>
        <v>1</v>
      </c>
      <c r="R577" s="80" t="e">
        <f>REPLACE(INDEX(GroupVertices[Group],MATCH(Edges[[#This Row],[Vertex 2]],GroupVertices[Vertex],0)),1,1,"")</f>
        <v>#N/A</v>
      </c>
      <c r="S577" s="34"/>
      <c r="T577" s="34"/>
      <c r="U577" s="34"/>
      <c r="V577" s="34"/>
      <c r="W577" s="34"/>
      <c r="X577" s="34"/>
      <c r="Y577" s="34"/>
      <c r="Z577" s="34"/>
      <c r="AA577" s="34"/>
    </row>
    <row r="578" spans="1:27" ht="15">
      <c r="A578" s="66" t="s">
        <v>242</v>
      </c>
      <c r="B578" s="66" t="s">
        <v>653</v>
      </c>
      <c r="C578" s="67" t="s">
        <v>4454</v>
      </c>
      <c r="D578" s="68">
        <v>5</v>
      </c>
      <c r="E578" s="69"/>
      <c r="F578" s="70">
        <v>20</v>
      </c>
      <c r="G578" s="67"/>
      <c r="H578" s="71"/>
      <c r="I578" s="72"/>
      <c r="J578" s="72"/>
      <c r="K578" s="34"/>
      <c r="L578" s="79">
        <v>578</v>
      </c>
      <c r="M578" s="79"/>
      <c r="N578" s="74"/>
      <c r="O578" s="81" t="s">
        <v>944</v>
      </c>
      <c r="P578">
        <v>1</v>
      </c>
      <c r="Q578" s="80" t="str">
        <f>REPLACE(INDEX(GroupVertices[Group],MATCH(Edges[[#This Row],[Vertex 1]],GroupVertices[Vertex],0)),1,1,"")</f>
        <v>1</v>
      </c>
      <c r="R578" s="80" t="e">
        <f>REPLACE(INDEX(GroupVertices[Group],MATCH(Edges[[#This Row],[Vertex 2]],GroupVertices[Vertex],0)),1,1,"")</f>
        <v>#N/A</v>
      </c>
      <c r="S578" s="34"/>
      <c r="T578" s="34"/>
      <c r="U578" s="34"/>
      <c r="V578" s="34"/>
      <c r="W578" s="34"/>
      <c r="X578" s="34"/>
      <c r="Y578" s="34"/>
      <c r="Z578" s="34"/>
      <c r="AA578" s="34"/>
    </row>
    <row r="579" spans="1:27" ht="15">
      <c r="A579" s="66" t="s">
        <v>242</v>
      </c>
      <c r="B579" s="66" t="s">
        <v>654</v>
      </c>
      <c r="C579" s="67" t="s">
        <v>4454</v>
      </c>
      <c r="D579" s="68">
        <v>5</v>
      </c>
      <c r="E579" s="69"/>
      <c r="F579" s="70">
        <v>20</v>
      </c>
      <c r="G579" s="67"/>
      <c r="H579" s="71"/>
      <c r="I579" s="72"/>
      <c r="J579" s="72"/>
      <c r="K579" s="34"/>
      <c r="L579" s="79">
        <v>579</v>
      </c>
      <c r="M579" s="79"/>
      <c r="N579" s="74"/>
      <c r="O579" s="81" t="s">
        <v>944</v>
      </c>
      <c r="P579">
        <v>1</v>
      </c>
      <c r="Q579" s="80" t="str">
        <f>REPLACE(INDEX(GroupVertices[Group],MATCH(Edges[[#This Row],[Vertex 1]],GroupVertices[Vertex],0)),1,1,"")</f>
        <v>1</v>
      </c>
      <c r="R579" s="80" t="e">
        <f>REPLACE(INDEX(GroupVertices[Group],MATCH(Edges[[#This Row],[Vertex 2]],GroupVertices[Vertex],0)),1,1,"")</f>
        <v>#N/A</v>
      </c>
      <c r="S579" s="34"/>
      <c r="T579" s="34"/>
      <c r="U579" s="34"/>
      <c r="V579" s="34"/>
      <c r="W579" s="34"/>
      <c r="X579" s="34"/>
      <c r="Y579" s="34"/>
      <c r="Z579" s="34"/>
      <c r="AA579" s="34"/>
    </row>
    <row r="580" spans="1:27" ht="15">
      <c r="A580" s="66" t="s">
        <v>242</v>
      </c>
      <c r="B580" s="66" t="s">
        <v>655</v>
      </c>
      <c r="C580" s="67" t="s">
        <v>4454</v>
      </c>
      <c r="D580" s="68">
        <v>5</v>
      </c>
      <c r="E580" s="69"/>
      <c r="F580" s="70">
        <v>20</v>
      </c>
      <c r="G580" s="67"/>
      <c r="H580" s="71"/>
      <c r="I580" s="72"/>
      <c r="J580" s="72"/>
      <c r="K580" s="34"/>
      <c r="L580" s="79">
        <v>580</v>
      </c>
      <c r="M580" s="79"/>
      <c r="N580" s="74"/>
      <c r="O580" s="81" t="s">
        <v>944</v>
      </c>
      <c r="P580">
        <v>1</v>
      </c>
      <c r="Q580" s="80" t="str">
        <f>REPLACE(INDEX(GroupVertices[Group],MATCH(Edges[[#This Row],[Vertex 1]],GroupVertices[Vertex],0)),1,1,"")</f>
        <v>1</v>
      </c>
      <c r="R580" s="80" t="e">
        <f>REPLACE(INDEX(GroupVertices[Group],MATCH(Edges[[#This Row],[Vertex 2]],GroupVertices[Vertex],0)),1,1,"")</f>
        <v>#N/A</v>
      </c>
      <c r="S580" s="34"/>
      <c r="T580" s="34"/>
      <c r="U580" s="34"/>
      <c r="V580" s="34"/>
      <c r="W580" s="34"/>
      <c r="X580" s="34"/>
      <c r="Y580" s="34"/>
      <c r="Z580" s="34"/>
      <c r="AA580" s="34"/>
    </row>
    <row r="581" spans="1:27" ht="15">
      <c r="A581" s="66" t="s">
        <v>222</v>
      </c>
      <c r="B581" s="66" t="s">
        <v>656</v>
      </c>
      <c r="C581" s="67" t="s">
        <v>4454</v>
      </c>
      <c r="D581" s="68">
        <v>5</v>
      </c>
      <c r="E581" s="69"/>
      <c r="F581" s="70">
        <v>20</v>
      </c>
      <c r="G581" s="67"/>
      <c r="H581" s="71"/>
      <c r="I581" s="72"/>
      <c r="J581" s="72"/>
      <c r="K581" s="34" t="s">
        <v>65</v>
      </c>
      <c r="L581" s="79">
        <v>581</v>
      </c>
      <c r="M581" s="79"/>
      <c r="N581" s="74"/>
      <c r="O581" s="81" t="s">
        <v>944</v>
      </c>
      <c r="P581">
        <v>1</v>
      </c>
      <c r="Q581" s="80" t="str">
        <f>REPLACE(INDEX(GroupVertices[Group],MATCH(Edges[[#This Row],[Vertex 1]],GroupVertices[Vertex],0)),1,1,"")</f>
        <v>2</v>
      </c>
      <c r="R581" s="80" t="str">
        <f>REPLACE(INDEX(GroupVertices[Group],MATCH(Edges[[#This Row],[Vertex 2]],GroupVertices[Vertex],0)),1,1,"")</f>
        <v>1</v>
      </c>
      <c r="S581" s="34"/>
      <c r="T581" s="34"/>
      <c r="U581" s="34"/>
      <c r="V581" s="34"/>
      <c r="W581" s="34"/>
      <c r="X581" s="34"/>
      <c r="Y581" s="34"/>
      <c r="Z581" s="34"/>
      <c r="AA581" s="34"/>
    </row>
    <row r="582" spans="1:27" ht="15">
      <c r="A582" s="66" t="s">
        <v>242</v>
      </c>
      <c r="B582" s="66" t="s">
        <v>656</v>
      </c>
      <c r="C582" s="67" t="s">
        <v>4454</v>
      </c>
      <c r="D582" s="68">
        <v>5</v>
      </c>
      <c r="E582" s="69"/>
      <c r="F582" s="70">
        <v>20</v>
      </c>
      <c r="G582" s="67"/>
      <c r="H582" s="71"/>
      <c r="I582" s="72"/>
      <c r="J582" s="72"/>
      <c r="K582" s="34" t="s">
        <v>65</v>
      </c>
      <c r="L582" s="79">
        <v>582</v>
      </c>
      <c r="M582" s="79"/>
      <c r="N582" s="74"/>
      <c r="O582" s="81" t="s">
        <v>944</v>
      </c>
      <c r="P582">
        <v>1</v>
      </c>
      <c r="Q582" s="80" t="str">
        <f>REPLACE(INDEX(GroupVertices[Group],MATCH(Edges[[#This Row],[Vertex 1]],GroupVertices[Vertex],0)),1,1,"")</f>
        <v>1</v>
      </c>
      <c r="R582" s="80" t="str">
        <f>REPLACE(INDEX(GroupVertices[Group],MATCH(Edges[[#This Row],[Vertex 2]],GroupVertices[Vertex],0)),1,1,"")</f>
        <v>1</v>
      </c>
      <c r="S582" s="34"/>
      <c r="T582" s="34"/>
      <c r="U582" s="34"/>
      <c r="V582" s="34"/>
      <c r="W582" s="34"/>
      <c r="X582" s="34"/>
      <c r="Y582" s="34"/>
      <c r="Z582" s="34"/>
      <c r="AA582" s="34"/>
    </row>
    <row r="583" spans="1:27" ht="15">
      <c r="A583" s="66" t="s">
        <v>242</v>
      </c>
      <c r="B583" s="66" t="s">
        <v>657</v>
      </c>
      <c r="C583" s="67" t="s">
        <v>4454</v>
      </c>
      <c r="D583" s="68">
        <v>5</v>
      </c>
      <c r="E583" s="69"/>
      <c r="F583" s="70">
        <v>20</v>
      </c>
      <c r="G583" s="67"/>
      <c r="H583" s="71"/>
      <c r="I583" s="72"/>
      <c r="J583" s="72"/>
      <c r="K583" s="34"/>
      <c r="L583" s="79">
        <v>583</v>
      </c>
      <c r="M583" s="79"/>
      <c r="N583" s="74"/>
      <c r="O583" s="81" t="s">
        <v>944</v>
      </c>
      <c r="P583">
        <v>1</v>
      </c>
      <c r="Q583" s="80" t="str">
        <f>REPLACE(INDEX(GroupVertices[Group],MATCH(Edges[[#This Row],[Vertex 1]],GroupVertices[Vertex],0)),1,1,"")</f>
        <v>1</v>
      </c>
      <c r="R583" s="80" t="e">
        <f>REPLACE(INDEX(GroupVertices[Group],MATCH(Edges[[#This Row],[Vertex 2]],GroupVertices[Vertex],0)),1,1,"")</f>
        <v>#N/A</v>
      </c>
      <c r="S583" s="34"/>
      <c r="T583" s="34"/>
      <c r="U583" s="34"/>
      <c r="V583" s="34"/>
      <c r="W583" s="34"/>
      <c r="X583" s="34"/>
      <c r="Y583" s="34"/>
      <c r="Z583" s="34"/>
      <c r="AA583" s="34"/>
    </row>
    <row r="584" spans="1:27" ht="15">
      <c r="A584" s="66" t="s">
        <v>242</v>
      </c>
      <c r="B584" s="66" t="s">
        <v>658</v>
      </c>
      <c r="C584" s="67" t="s">
        <v>4454</v>
      </c>
      <c r="D584" s="68">
        <v>5</v>
      </c>
      <c r="E584" s="69"/>
      <c r="F584" s="70">
        <v>20</v>
      </c>
      <c r="G584" s="67"/>
      <c r="H584" s="71"/>
      <c r="I584" s="72"/>
      <c r="J584" s="72"/>
      <c r="K584" s="34"/>
      <c r="L584" s="79">
        <v>584</v>
      </c>
      <c r="M584" s="79"/>
      <c r="N584" s="74"/>
      <c r="O584" s="81" t="s">
        <v>944</v>
      </c>
      <c r="P584">
        <v>1</v>
      </c>
      <c r="Q584" s="80" t="str">
        <f>REPLACE(INDEX(GroupVertices[Group],MATCH(Edges[[#This Row],[Vertex 1]],GroupVertices[Vertex],0)),1,1,"")</f>
        <v>1</v>
      </c>
      <c r="R584" s="80" t="e">
        <f>REPLACE(INDEX(GroupVertices[Group],MATCH(Edges[[#This Row],[Vertex 2]],GroupVertices[Vertex],0)),1,1,"")</f>
        <v>#N/A</v>
      </c>
      <c r="S584" s="34"/>
      <c r="T584" s="34"/>
      <c r="U584" s="34"/>
      <c r="V584" s="34"/>
      <c r="W584" s="34"/>
      <c r="X584" s="34"/>
      <c r="Y584" s="34"/>
      <c r="Z584" s="34"/>
      <c r="AA584" s="34"/>
    </row>
    <row r="585" spans="1:27" ht="15">
      <c r="A585" s="66" t="s">
        <v>215</v>
      </c>
      <c r="B585" s="66" t="s">
        <v>659</v>
      </c>
      <c r="C585" s="67" t="s">
        <v>4454</v>
      </c>
      <c r="D585" s="68">
        <v>5</v>
      </c>
      <c r="E585" s="69"/>
      <c r="F585" s="70">
        <v>20</v>
      </c>
      <c r="G585" s="67"/>
      <c r="H585" s="71"/>
      <c r="I585" s="72"/>
      <c r="J585" s="72"/>
      <c r="K585" s="34" t="s">
        <v>65</v>
      </c>
      <c r="L585" s="79">
        <v>585</v>
      </c>
      <c r="M585" s="79"/>
      <c r="N585" s="74"/>
      <c r="O585" s="81" t="s">
        <v>944</v>
      </c>
      <c r="P585">
        <v>1</v>
      </c>
      <c r="Q585" s="80" t="str">
        <f>REPLACE(INDEX(GroupVertices[Group],MATCH(Edges[[#This Row],[Vertex 1]],GroupVertices[Vertex],0)),1,1,"")</f>
        <v>3</v>
      </c>
      <c r="R585" s="80" t="str">
        <f>REPLACE(INDEX(GroupVertices[Group],MATCH(Edges[[#This Row],[Vertex 2]],GroupVertices[Vertex],0)),1,1,"")</f>
        <v>3</v>
      </c>
      <c r="S585" s="34"/>
      <c r="T585" s="34"/>
      <c r="U585" s="34"/>
      <c r="V585" s="34"/>
      <c r="W585" s="34"/>
      <c r="X585" s="34"/>
      <c r="Y585" s="34"/>
      <c r="Z585" s="34"/>
      <c r="AA585" s="34"/>
    </row>
    <row r="586" spans="1:27" ht="15">
      <c r="A586" s="66" t="s">
        <v>216</v>
      </c>
      <c r="B586" s="66" t="s">
        <v>659</v>
      </c>
      <c r="C586" s="67" t="s">
        <v>4454</v>
      </c>
      <c r="D586" s="68">
        <v>5</v>
      </c>
      <c r="E586" s="69"/>
      <c r="F586" s="70">
        <v>20</v>
      </c>
      <c r="G586" s="67"/>
      <c r="H586" s="71"/>
      <c r="I586" s="72"/>
      <c r="J586" s="72"/>
      <c r="K586" s="34" t="s">
        <v>65</v>
      </c>
      <c r="L586" s="79">
        <v>586</v>
      </c>
      <c r="M586" s="79"/>
      <c r="N586" s="74"/>
      <c r="O586" s="81" t="s">
        <v>944</v>
      </c>
      <c r="P586">
        <v>1</v>
      </c>
      <c r="Q586" s="80" t="str">
        <f>REPLACE(INDEX(GroupVertices[Group],MATCH(Edges[[#This Row],[Vertex 1]],GroupVertices[Vertex],0)),1,1,"")</f>
        <v>3</v>
      </c>
      <c r="R586" s="80" t="str">
        <f>REPLACE(INDEX(GroupVertices[Group],MATCH(Edges[[#This Row],[Vertex 2]],GroupVertices[Vertex],0)),1,1,"")</f>
        <v>3</v>
      </c>
      <c r="S586" s="34"/>
      <c r="T586" s="34"/>
      <c r="U586" s="34"/>
      <c r="V586" s="34"/>
      <c r="W586" s="34"/>
      <c r="X586" s="34"/>
      <c r="Y586" s="34"/>
      <c r="Z586" s="34"/>
      <c r="AA586" s="34"/>
    </row>
    <row r="587" spans="1:27" ht="15">
      <c r="A587" s="66" t="s">
        <v>219</v>
      </c>
      <c r="B587" s="66" t="s">
        <v>659</v>
      </c>
      <c r="C587" s="67" t="s">
        <v>4454</v>
      </c>
      <c r="D587" s="68">
        <v>5</v>
      </c>
      <c r="E587" s="69"/>
      <c r="F587" s="70">
        <v>20</v>
      </c>
      <c r="G587" s="67"/>
      <c r="H587" s="71"/>
      <c r="I587" s="72"/>
      <c r="J587" s="72"/>
      <c r="K587" s="34" t="s">
        <v>65</v>
      </c>
      <c r="L587" s="79">
        <v>587</v>
      </c>
      <c r="M587" s="79"/>
      <c r="N587" s="74"/>
      <c r="O587" s="81" t="s">
        <v>944</v>
      </c>
      <c r="P587">
        <v>1</v>
      </c>
      <c r="Q587" s="80" t="str">
        <f>REPLACE(INDEX(GroupVertices[Group],MATCH(Edges[[#This Row],[Vertex 1]],GroupVertices[Vertex],0)),1,1,"")</f>
        <v>3</v>
      </c>
      <c r="R587" s="80" t="str">
        <f>REPLACE(INDEX(GroupVertices[Group],MATCH(Edges[[#This Row],[Vertex 2]],GroupVertices[Vertex],0)),1,1,"")</f>
        <v>3</v>
      </c>
      <c r="S587" s="34"/>
      <c r="T587" s="34"/>
      <c r="U587" s="34"/>
      <c r="V587" s="34"/>
      <c r="W587" s="34"/>
      <c r="X587" s="34"/>
      <c r="Y587" s="34"/>
      <c r="Z587" s="34"/>
      <c r="AA587" s="34"/>
    </row>
    <row r="588" spans="1:27" ht="15">
      <c r="A588" s="66" t="s">
        <v>223</v>
      </c>
      <c r="B588" s="66" t="s">
        <v>659</v>
      </c>
      <c r="C588" s="67" t="s">
        <v>4454</v>
      </c>
      <c r="D588" s="68">
        <v>5</v>
      </c>
      <c r="E588" s="69"/>
      <c r="F588" s="70">
        <v>20</v>
      </c>
      <c r="G588" s="67"/>
      <c r="H588" s="71"/>
      <c r="I588" s="72"/>
      <c r="J588" s="72"/>
      <c r="K588" s="34" t="s">
        <v>65</v>
      </c>
      <c r="L588" s="79">
        <v>588</v>
      </c>
      <c r="M588" s="79"/>
      <c r="N588" s="74"/>
      <c r="O588" s="81" t="s">
        <v>944</v>
      </c>
      <c r="P588">
        <v>1</v>
      </c>
      <c r="Q588" s="80" t="str">
        <f>REPLACE(INDEX(GroupVertices[Group],MATCH(Edges[[#This Row],[Vertex 1]],GroupVertices[Vertex],0)),1,1,"")</f>
        <v>3</v>
      </c>
      <c r="R588" s="80" t="str">
        <f>REPLACE(INDEX(GroupVertices[Group],MATCH(Edges[[#This Row],[Vertex 2]],GroupVertices[Vertex],0)),1,1,"")</f>
        <v>3</v>
      </c>
      <c r="S588" s="34"/>
      <c r="T588" s="34"/>
      <c r="U588" s="34"/>
      <c r="V588" s="34"/>
      <c r="W588" s="34"/>
      <c r="X588" s="34"/>
      <c r="Y588" s="34"/>
      <c r="Z588" s="34"/>
      <c r="AA588" s="34"/>
    </row>
    <row r="589" spans="1:27" ht="15">
      <c r="A589" s="66" t="s">
        <v>228</v>
      </c>
      <c r="B589" s="66" t="s">
        <v>659</v>
      </c>
      <c r="C589" s="67" t="s">
        <v>4454</v>
      </c>
      <c r="D589" s="68">
        <v>5</v>
      </c>
      <c r="E589" s="69"/>
      <c r="F589" s="70">
        <v>20</v>
      </c>
      <c r="G589" s="67"/>
      <c r="H589" s="71"/>
      <c r="I589" s="72"/>
      <c r="J589" s="72"/>
      <c r="K589" s="34" t="s">
        <v>65</v>
      </c>
      <c r="L589" s="79">
        <v>589</v>
      </c>
      <c r="M589" s="79"/>
      <c r="N589" s="74"/>
      <c r="O589" s="81" t="s">
        <v>944</v>
      </c>
      <c r="P589">
        <v>1</v>
      </c>
      <c r="Q589" s="80" t="str">
        <f>REPLACE(INDEX(GroupVertices[Group],MATCH(Edges[[#This Row],[Vertex 1]],GroupVertices[Vertex],0)),1,1,"")</f>
        <v>3</v>
      </c>
      <c r="R589" s="80" t="str">
        <f>REPLACE(INDEX(GroupVertices[Group],MATCH(Edges[[#This Row],[Vertex 2]],GroupVertices[Vertex],0)),1,1,"")</f>
        <v>3</v>
      </c>
      <c r="S589" s="34"/>
      <c r="T589" s="34"/>
      <c r="U589" s="34"/>
      <c r="V589" s="34"/>
      <c r="W589" s="34"/>
      <c r="X589" s="34"/>
      <c r="Y589" s="34"/>
      <c r="Z589" s="34"/>
      <c r="AA589" s="34"/>
    </row>
    <row r="590" spans="1:27" ht="15">
      <c r="A590" s="66" t="s">
        <v>243</v>
      </c>
      <c r="B590" s="66" t="s">
        <v>659</v>
      </c>
      <c r="C590" s="67" t="s">
        <v>4454</v>
      </c>
      <c r="D590" s="68">
        <v>5</v>
      </c>
      <c r="E590" s="69"/>
      <c r="F590" s="70">
        <v>20</v>
      </c>
      <c r="G590" s="67"/>
      <c r="H590" s="71"/>
      <c r="I590" s="72"/>
      <c r="J590" s="72"/>
      <c r="K590" s="34" t="s">
        <v>65</v>
      </c>
      <c r="L590" s="79">
        <v>590</v>
      </c>
      <c r="M590" s="79"/>
      <c r="N590" s="74"/>
      <c r="O590" s="81" t="s">
        <v>944</v>
      </c>
      <c r="P590">
        <v>1</v>
      </c>
      <c r="Q590" s="80" t="str">
        <f>REPLACE(INDEX(GroupVertices[Group],MATCH(Edges[[#This Row],[Vertex 1]],GroupVertices[Vertex],0)),1,1,"")</f>
        <v>2</v>
      </c>
      <c r="R590" s="80" t="str">
        <f>REPLACE(INDEX(GroupVertices[Group],MATCH(Edges[[#This Row],[Vertex 2]],GroupVertices[Vertex],0)),1,1,"")</f>
        <v>3</v>
      </c>
      <c r="S590" s="34"/>
      <c r="T590" s="34"/>
      <c r="U590" s="34"/>
      <c r="V590" s="34"/>
      <c r="W590" s="34"/>
      <c r="X590" s="34"/>
      <c r="Y590" s="34"/>
      <c r="Z590" s="34"/>
      <c r="AA590" s="34"/>
    </row>
    <row r="591" spans="1:27" ht="15">
      <c r="A591" s="66" t="s">
        <v>227</v>
      </c>
      <c r="B591" s="66" t="s">
        <v>660</v>
      </c>
      <c r="C591" s="67" t="s">
        <v>4454</v>
      </c>
      <c r="D591" s="68">
        <v>5</v>
      </c>
      <c r="E591" s="69"/>
      <c r="F591" s="70">
        <v>20</v>
      </c>
      <c r="G591" s="67"/>
      <c r="H591" s="71"/>
      <c r="I591" s="72"/>
      <c r="J591" s="72"/>
      <c r="K591" s="34" t="s">
        <v>65</v>
      </c>
      <c r="L591" s="79">
        <v>591</v>
      </c>
      <c r="M591" s="79"/>
      <c r="N591" s="74"/>
      <c r="O591" s="81" t="s">
        <v>944</v>
      </c>
      <c r="P591">
        <v>1</v>
      </c>
      <c r="Q591" s="80" t="str">
        <f>REPLACE(INDEX(GroupVertices[Group],MATCH(Edges[[#This Row],[Vertex 1]],GroupVertices[Vertex],0)),1,1,"")</f>
        <v>3</v>
      </c>
      <c r="R591" s="80" t="str">
        <f>REPLACE(INDEX(GroupVertices[Group],MATCH(Edges[[#This Row],[Vertex 2]],GroupVertices[Vertex],0)),1,1,"")</f>
        <v>3</v>
      </c>
      <c r="S591" s="34"/>
      <c r="T591" s="34"/>
      <c r="U591" s="34"/>
      <c r="V591" s="34"/>
      <c r="W591" s="34"/>
      <c r="X591" s="34"/>
      <c r="Y591" s="34"/>
      <c r="Z591" s="34"/>
      <c r="AA591" s="34"/>
    </row>
    <row r="592" spans="1:27" ht="15">
      <c r="A592" s="66" t="s">
        <v>228</v>
      </c>
      <c r="B592" s="66" t="s">
        <v>660</v>
      </c>
      <c r="C592" s="67" t="s">
        <v>4454</v>
      </c>
      <c r="D592" s="68">
        <v>5</v>
      </c>
      <c r="E592" s="69"/>
      <c r="F592" s="70">
        <v>20</v>
      </c>
      <c r="G592" s="67"/>
      <c r="H592" s="71"/>
      <c r="I592" s="72"/>
      <c r="J592" s="72"/>
      <c r="K592" s="34" t="s">
        <v>65</v>
      </c>
      <c r="L592" s="79">
        <v>592</v>
      </c>
      <c r="M592" s="79"/>
      <c r="N592" s="74"/>
      <c r="O592" s="81" t="s">
        <v>944</v>
      </c>
      <c r="P592">
        <v>1</v>
      </c>
      <c r="Q592" s="80" t="str">
        <f>REPLACE(INDEX(GroupVertices[Group],MATCH(Edges[[#This Row],[Vertex 1]],GroupVertices[Vertex],0)),1,1,"")</f>
        <v>3</v>
      </c>
      <c r="R592" s="80" t="str">
        <f>REPLACE(INDEX(GroupVertices[Group],MATCH(Edges[[#This Row],[Vertex 2]],GroupVertices[Vertex],0)),1,1,"")</f>
        <v>3</v>
      </c>
      <c r="S592" s="34"/>
      <c r="T592" s="34"/>
      <c r="U592" s="34"/>
      <c r="V592" s="34"/>
      <c r="W592" s="34"/>
      <c r="X592" s="34"/>
      <c r="Y592" s="34"/>
      <c r="Z592" s="34"/>
      <c r="AA592" s="34"/>
    </row>
    <row r="593" spans="1:27" ht="15">
      <c r="A593" s="66" t="s">
        <v>239</v>
      </c>
      <c r="B593" s="66" t="s">
        <v>660</v>
      </c>
      <c r="C593" s="67" t="s">
        <v>4454</v>
      </c>
      <c r="D593" s="68">
        <v>5</v>
      </c>
      <c r="E593" s="69"/>
      <c r="F593" s="70">
        <v>20</v>
      </c>
      <c r="G593" s="67"/>
      <c r="H593" s="71"/>
      <c r="I593" s="72"/>
      <c r="J593" s="72"/>
      <c r="K593" s="34" t="s">
        <v>65</v>
      </c>
      <c r="L593" s="79">
        <v>593</v>
      </c>
      <c r="M593" s="79"/>
      <c r="N593" s="74"/>
      <c r="O593" s="81" t="s">
        <v>944</v>
      </c>
      <c r="P593">
        <v>1</v>
      </c>
      <c r="Q593" s="80" t="str">
        <f>REPLACE(INDEX(GroupVertices[Group],MATCH(Edges[[#This Row],[Vertex 1]],GroupVertices[Vertex],0)),1,1,"")</f>
        <v>3</v>
      </c>
      <c r="R593" s="80" t="str">
        <f>REPLACE(INDEX(GroupVertices[Group],MATCH(Edges[[#This Row],[Vertex 2]],GroupVertices[Vertex],0)),1,1,"")</f>
        <v>3</v>
      </c>
      <c r="S593" s="34"/>
      <c r="T593" s="34"/>
      <c r="U593" s="34"/>
      <c r="V593" s="34"/>
      <c r="W593" s="34"/>
      <c r="X593" s="34"/>
      <c r="Y593" s="34"/>
      <c r="Z593" s="34"/>
      <c r="AA593" s="34"/>
    </row>
    <row r="594" spans="1:27" ht="15">
      <c r="A594" s="66" t="s">
        <v>243</v>
      </c>
      <c r="B594" s="66" t="s">
        <v>660</v>
      </c>
      <c r="C594" s="67" t="s">
        <v>4454</v>
      </c>
      <c r="D594" s="68">
        <v>5</v>
      </c>
      <c r="E594" s="69"/>
      <c r="F594" s="70">
        <v>20</v>
      </c>
      <c r="G594" s="67"/>
      <c r="H594" s="71"/>
      <c r="I594" s="72"/>
      <c r="J594" s="72"/>
      <c r="K594" s="34" t="s">
        <v>65</v>
      </c>
      <c r="L594" s="79">
        <v>594</v>
      </c>
      <c r="M594" s="79"/>
      <c r="N594" s="74"/>
      <c r="O594" s="81" t="s">
        <v>944</v>
      </c>
      <c r="P594">
        <v>1</v>
      </c>
      <c r="Q594" s="80" t="str">
        <f>REPLACE(INDEX(GroupVertices[Group],MATCH(Edges[[#This Row],[Vertex 1]],GroupVertices[Vertex],0)),1,1,"")</f>
        <v>2</v>
      </c>
      <c r="R594" s="80" t="str">
        <f>REPLACE(INDEX(GroupVertices[Group],MATCH(Edges[[#This Row],[Vertex 2]],GroupVertices[Vertex],0)),1,1,"")</f>
        <v>3</v>
      </c>
      <c r="S594" s="34"/>
      <c r="T594" s="34"/>
      <c r="U594" s="34"/>
      <c r="V594" s="34"/>
      <c r="W594" s="34"/>
      <c r="X594" s="34"/>
      <c r="Y594" s="34"/>
      <c r="Z594" s="34"/>
      <c r="AA594" s="34"/>
    </row>
    <row r="595" spans="1:27" ht="15">
      <c r="A595" s="66" t="s">
        <v>221</v>
      </c>
      <c r="B595" s="66" t="s">
        <v>661</v>
      </c>
      <c r="C595" s="67" t="s">
        <v>4454</v>
      </c>
      <c r="D595" s="68">
        <v>5</v>
      </c>
      <c r="E595" s="69"/>
      <c r="F595" s="70">
        <v>20</v>
      </c>
      <c r="G595" s="67"/>
      <c r="H595" s="71"/>
      <c r="I595" s="72"/>
      <c r="J595" s="72"/>
      <c r="K595" s="34" t="s">
        <v>65</v>
      </c>
      <c r="L595" s="79">
        <v>595</v>
      </c>
      <c r="M595" s="79"/>
      <c r="N595" s="74"/>
      <c r="O595" s="81" t="s">
        <v>944</v>
      </c>
      <c r="P595">
        <v>1</v>
      </c>
      <c r="Q595" s="80" t="str">
        <f>REPLACE(INDEX(GroupVertices[Group],MATCH(Edges[[#This Row],[Vertex 1]],GroupVertices[Vertex],0)),1,1,"")</f>
        <v>2</v>
      </c>
      <c r="R595" s="80" t="str">
        <f>REPLACE(INDEX(GroupVertices[Group],MATCH(Edges[[#This Row],[Vertex 2]],GroupVertices[Vertex],0)),1,1,"")</f>
        <v>2</v>
      </c>
      <c r="S595" s="34"/>
      <c r="T595" s="34"/>
      <c r="U595" s="34"/>
      <c r="V595" s="34"/>
      <c r="W595" s="34"/>
      <c r="X595" s="34"/>
      <c r="Y595" s="34"/>
      <c r="Z595" s="34"/>
      <c r="AA595" s="34"/>
    </row>
    <row r="596" spans="1:27" ht="15">
      <c r="A596" s="66" t="s">
        <v>234</v>
      </c>
      <c r="B596" s="66" t="s">
        <v>661</v>
      </c>
      <c r="C596" s="67" t="s">
        <v>4454</v>
      </c>
      <c r="D596" s="68">
        <v>5</v>
      </c>
      <c r="E596" s="69"/>
      <c r="F596" s="70">
        <v>20</v>
      </c>
      <c r="G596" s="67"/>
      <c r="H596" s="71"/>
      <c r="I596" s="72"/>
      <c r="J596" s="72"/>
      <c r="K596" s="34" t="s">
        <v>65</v>
      </c>
      <c r="L596" s="79">
        <v>596</v>
      </c>
      <c r="M596" s="79"/>
      <c r="N596" s="74"/>
      <c r="O596" s="81" t="s">
        <v>944</v>
      </c>
      <c r="P596">
        <v>1</v>
      </c>
      <c r="Q596" s="80" t="str">
        <f>REPLACE(INDEX(GroupVertices[Group],MATCH(Edges[[#This Row],[Vertex 1]],GroupVertices[Vertex],0)),1,1,"")</f>
        <v>4</v>
      </c>
      <c r="R596" s="80" t="str">
        <f>REPLACE(INDEX(GroupVertices[Group],MATCH(Edges[[#This Row],[Vertex 2]],GroupVertices[Vertex],0)),1,1,"")</f>
        <v>2</v>
      </c>
      <c r="S596" s="34"/>
      <c r="T596" s="34"/>
      <c r="U596" s="34"/>
      <c r="V596" s="34"/>
      <c r="W596" s="34"/>
      <c r="X596" s="34"/>
      <c r="Y596" s="34"/>
      <c r="Z596" s="34"/>
      <c r="AA596" s="34"/>
    </row>
    <row r="597" spans="1:27" ht="15">
      <c r="A597" s="66" t="s">
        <v>243</v>
      </c>
      <c r="B597" s="66" t="s">
        <v>661</v>
      </c>
      <c r="C597" s="67" t="s">
        <v>4454</v>
      </c>
      <c r="D597" s="68">
        <v>5</v>
      </c>
      <c r="E597" s="69"/>
      <c r="F597" s="70">
        <v>20</v>
      </c>
      <c r="G597" s="67"/>
      <c r="H597" s="71"/>
      <c r="I597" s="72"/>
      <c r="J597" s="72"/>
      <c r="K597" s="34" t="s">
        <v>65</v>
      </c>
      <c r="L597" s="79">
        <v>597</v>
      </c>
      <c r="M597" s="79"/>
      <c r="N597" s="74"/>
      <c r="O597" s="81" t="s">
        <v>944</v>
      </c>
      <c r="P597">
        <v>1</v>
      </c>
      <c r="Q597" s="80" t="str">
        <f>REPLACE(INDEX(GroupVertices[Group],MATCH(Edges[[#This Row],[Vertex 1]],GroupVertices[Vertex],0)),1,1,"")</f>
        <v>2</v>
      </c>
      <c r="R597" s="80" t="str">
        <f>REPLACE(INDEX(GroupVertices[Group],MATCH(Edges[[#This Row],[Vertex 2]],GroupVertices[Vertex],0)),1,1,"")</f>
        <v>2</v>
      </c>
      <c r="S597" s="34"/>
      <c r="T597" s="34"/>
      <c r="U597" s="34"/>
      <c r="V597" s="34"/>
      <c r="W597" s="34"/>
      <c r="X597" s="34"/>
      <c r="Y597" s="34"/>
      <c r="Z597" s="34"/>
      <c r="AA597" s="34"/>
    </row>
    <row r="598" spans="1:27" ht="15">
      <c r="A598" s="66" t="s">
        <v>216</v>
      </c>
      <c r="B598" s="66" t="s">
        <v>662</v>
      </c>
      <c r="C598" s="67" t="s">
        <v>4454</v>
      </c>
      <c r="D598" s="68">
        <v>5</v>
      </c>
      <c r="E598" s="69"/>
      <c r="F598" s="70">
        <v>20</v>
      </c>
      <c r="G598" s="67"/>
      <c r="H598" s="71"/>
      <c r="I598" s="72"/>
      <c r="J598" s="72"/>
      <c r="K598" s="34" t="s">
        <v>65</v>
      </c>
      <c r="L598" s="79">
        <v>598</v>
      </c>
      <c r="M598" s="79"/>
      <c r="N598" s="74"/>
      <c r="O598" s="81" t="s">
        <v>944</v>
      </c>
      <c r="P598">
        <v>1</v>
      </c>
      <c r="Q598" s="80" t="str">
        <f>REPLACE(INDEX(GroupVertices[Group],MATCH(Edges[[#This Row],[Vertex 1]],GroupVertices[Vertex],0)),1,1,"")</f>
        <v>3</v>
      </c>
      <c r="R598" s="80" t="str">
        <f>REPLACE(INDEX(GroupVertices[Group],MATCH(Edges[[#This Row],[Vertex 2]],GroupVertices[Vertex],0)),1,1,"")</f>
        <v>2</v>
      </c>
      <c r="S598" s="34"/>
      <c r="T598" s="34"/>
      <c r="U598" s="34"/>
      <c r="V598" s="34"/>
      <c r="W598" s="34"/>
      <c r="X598" s="34"/>
      <c r="Y598" s="34"/>
      <c r="Z598" s="34"/>
      <c r="AA598" s="34"/>
    </row>
    <row r="599" spans="1:27" ht="15">
      <c r="A599" s="66" t="s">
        <v>221</v>
      </c>
      <c r="B599" s="66" t="s">
        <v>662</v>
      </c>
      <c r="C599" s="67" t="s">
        <v>4454</v>
      </c>
      <c r="D599" s="68">
        <v>5</v>
      </c>
      <c r="E599" s="69"/>
      <c r="F599" s="70">
        <v>20</v>
      </c>
      <c r="G599" s="67"/>
      <c r="H599" s="71"/>
      <c r="I599" s="72"/>
      <c r="J599" s="72"/>
      <c r="K599" s="34" t="s">
        <v>65</v>
      </c>
      <c r="L599" s="79">
        <v>599</v>
      </c>
      <c r="M599" s="79"/>
      <c r="N599" s="74"/>
      <c r="O599" s="81" t="s">
        <v>944</v>
      </c>
      <c r="P599">
        <v>1</v>
      </c>
      <c r="Q599" s="80" t="str">
        <f>REPLACE(INDEX(GroupVertices[Group],MATCH(Edges[[#This Row],[Vertex 1]],GroupVertices[Vertex],0)),1,1,"")</f>
        <v>2</v>
      </c>
      <c r="R599" s="80" t="str">
        <f>REPLACE(INDEX(GroupVertices[Group],MATCH(Edges[[#This Row],[Vertex 2]],GroupVertices[Vertex],0)),1,1,"")</f>
        <v>2</v>
      </c>
      <c r="S599" s="34"/>
      <c r="T599" s="34"/>
      <c r="U599" s="34"/>
      <c r="V599" s="34"/>
      <c r="W599" s="34"/>
      <c r="X599" s="34"/>
      <c r="Y599" s="34"/>
      <c r="Z599" s="34"/>
      <c r="AA599" s="34"/>
    </row>
    <row r="600" spans="1:27" ht="15">
      <c r="A600" s="66" t="s">
        <v>228</v>
      </c>
      <c r="B600" s="66" t="s">
        <v>662</v>
      </c>
      <c r="C600" s="67" t="s">
        <v>4454</v>
      </c>
      <c r="D600" s="68">
        <v>5</v>
      </c>
      <c r="E600" s="69"/>
      <c r="F600" s="70">
        <v>20</v>
      </c>
      <c r="G600" s="67"/>
      <c r="H600" s="71"/>
      <c r="I600" s="72"/>
      <c r="J600" s="72"/>
      <c r="K600" s="34" t="s">
        <v>65</v>
      </c>
      <c r="L600" s="79">
        <v>600</v>
      </c>
      <c r="M600" s="79"/>
      <c r="N600" s="74"/>
      <c r="O600" s="81" t="s">
        <v>944</v>
      </c>
      <c r="P600">
        <v>1</v>
      </c>
      <c r="Q600" s="80" t="str">
        <f>REPLACE(INDEX(GroupVertices[Group],MATCH(Edges[[#This Row],[Vertex 1]],GroupVertices[Vertex],0)),1,1,"")</f>
        <v>3</v>
      </c>
      <c r="R600" s="80" t="str">
        <f>REPLACE(INDEX(GroupVertices[Group],MATCH(Edges[[#This Row],[Vertex 2]],GroupVertices[Vertex],0)),1,1,"")</f>
        <v>2</v>
      </c>
      <c r="S600" s="34"/>
      <c r="T600" s="34"/>
      <c r="U600" s="34"/>
      <c r="V600" s="34"/>
      <c r="W600" s="34"/>
      <c r="X600" s="34"/>
      <c r="Y600" s="34"/>
      <c r="Z600" s="34"/>
      <c r="AA600" s="34"/>
    </row>
    <row r="601" spans="1:27" ht="15">
      <c r="A601" s="66" t="s">
        <v>235</v>
      </c>
      <c r="B601" s="66" t="s">
        <v>662</v>
      </c>
      <c r="C601" s="67" t="s">
        <v>4454</v>
      </c>
      <c r="D601" s="68">
        <v>5</v>
      </c>
      <c r="E601" s="69"/>
      <c r="F601" s="70">
        <v>20</v>
      </c>
      <c r="G601" s="67"/>
      <c r="H601" s="71"/>
      <c r="I601" s="72"/>
      <c r="J601" s="72"/>
      <c r="K601" s="34" t="s">
        <v>65</v>
      </c>
      <c r="L601" s="79">
        <v>601</v>
      </c>
      <c r="M601" s="79"/>
      <c r="N601" s="74"/>
      <c r="O601" s="81" t="s">
        <v>944</v>
      </c>
      <c r="P601">
        <v>1</v>
      </c>
      <c r="Q601" s="80" t="str">
        <f>REPLACE(INDEX(GroupVertices[Group],MATCH(Edges[[#This Row],[Vertex 1]],GroupVertices[Vertex],0)),1,1,"")</f>
        <v>2</v>
      </c>
      <c r="R601" s="80" t="str">
        <f>REPLACE(INDEX(GroupVertices[Group],MATCH(Edges[[#This Row],[Vertex 2]],GroupVertices[Vertex],0)),1,1,"")</f>
        <v>2</v>
      </c>
      <c r="S601" s="34"/>
      <c r="T601" s="34"/>
      <c r="U601" s="34"/>
      <c r="V601" s="34"/>
      <c r="W601" s="34"/>
      <c r="X601" s="34"/>
      <c r="Y601" s="34"/>
      <c r="Z601" s="34"/>
      <c r="AA601" s="34"/>
    </row>
    <row r="602" spans="1:27" ht="15">
      <c r="A602" s="66" t="s">
        <v>238</v>
      </c>
      <c r="B602" s="66" t="s">
        <v>662</v>
      </c>
      <c r="C602" s="67" t="s">
        <v>4454</v>
      </c>
      <c r="D602" s="68">
        <v>5</v>
      </c>
      <c r="E602" s="69"/>
      <c r="F602" s="70">
        <v>20</v>
      </c>
      <c r="G602" s="67"/>
      <c r="H602" s="71"/>
      <c r="I602" s="72"/>
      <c r="J602" s="72"/>
      <c r="K602" s="34" t="s">
        <v>65</v>
      </c>
      <c r="L602" s="79">
        <v>602</v>
      </c>
      <c r="M602" s="79"/>
      <c r="N602" s="74"/>
      <c r="O602" s="81" t="s">
        <v>944</v>
      </c>
      <c r="P602">
        <v>1</v>
      </c>
      <c r="Q602" s="80" t="str">
        <f>REPLACE(INDEX(GroupVertices[Group],MATCH(Edges[[#This Row],[Vertex 1]],GroupVertices[Vertex],0)),1,1,"")</f>
        <v>2</v>
      </c>
      <c r="R602" s="80" t="str">
        <f>REPLACE(INDEX(GroupVertices[Group],MATCH(Edges[[#This Row],[Vertex 2]],GroupVertices[Vertex],0)),1,1,"")</f>
        <v>2</v>
      </c>
      <c r="S602" s="34"/>
      <c r="T602" s="34"/>
      <c r="U602" s="34"/>
      <c r="V602" s="34"/>
      <c r="W602" s="34"/>
      <c r="X602" s="34"/>
      <c r="Y602" s="34"/>
      <c r="Z602" s="34"/>
      <c r="AA602" s="34"/>
    </row>
    <row r="603" spans="1:27" ht="15">
      <c r="A603" s="66" t="s">
        <v>239</v>
      </c>
      <c r="B603" s="66" t="s">
        <v>662</v>
      </c>
      <c r="C603" s="67" t="s">
        <v>4454</v>
      </c>
      <c r="D603" s="68">
        <v>5</v>
      </c>
      <c r="E603" s="69"/>
      <c r="F603" s="70">
        <v>20</v>
      </c>
      <c r="G603" s="67"/>
      <c r="H603" s="71"/>
      <c r="I603" s="72"/>
      <c r="J603" s="72"/>
      <c r="K603" s="34" t="s">
        <v>65</v>
      </c>
      <c r="L603" s="79">
        <v>603</v>
      </c>
      <c r="M603" s="79"/>
      <c r="N603" s="74"/>
      <c r="O603" s="81" t="s">
        <v>944</v>
      </c>
      <c r="P603">
        <v>1</v>
      </c>
      <c r="Q603" s="80" t="str">
        <f>REPLACE(INDEX(GroupVertices[Group],MATCH(Edges[[#This Row],[Vertex 1]],GroupVertices[Vertex],0)),1,1,"")</f>
        <v>3</v>
      </c>
      <c r="R603" s="80" t="str">
        <f>REPLACE(INDEX(GroupVertices[Group],MATCH(Edges[[#This Row],[Vertex 2]],GroupVertices[Vertex],0)),1,1,"")</f>
        <v>2</v>
      </c>
      <c r="S603" s="34"/>
      <c r="T603" s="34"/>
      <c r="U603" s="34"/>
      <c r="V603" s="34"/>
      <c r="W603" s="34"/>
      <c r="X603" s="34"/>
      <c r="Y603" s="34"/>
      <c r="Z603" s="34"/>
      <c r="AA603" s="34"/>
    </row>
    <row r="604" spans="1:27" ht="15">
      <c r="A604" s="66" t="s">
        <v>243</v>
      </c>
      <c r="B604" s="66" t="s">
        <v>662</v>
      </c>
      <c r="C604" s="67" t="s">
        <v>4454</v>
      </c>
      <c r="D604" s="68">
        <v>5</v>
      </c>
      <c r="E604" s="69"/>
      <c r="F604" s="70">
        <v>20</v>
      </c>
      <c r="G604" s="67"/>
      <c r="H604" s="71"/>
      <c r="I604" s="72"/>
      <c r="J604" s="72"/>
      <c r="K604" s="34" t="s">
        <v>65</v>
      </c>
      <c r="L604" s="79">
        <v>604</v>
      </c>
      <c r="M604" s="79"/>
      <c r="N604" s="74"/>
      <c r="O604" s="81" t="s">
        <v>944</v>
      </c>
      <c r="P604">
        <v>1</v>
      </c>
      <c r="Q604" s="80" t="str">
        <f>REPLACE(INDEX(GroupVertices[Group],MATCH(Edges[[#This Row],[Vertex 1]],GroupVertices[Vertex],0)),1,1,"")</f>
        <v>2</v>
      </c>
      <c r="R604" s="80" t="str">
        <f>REPLACE(INDEX(GroupVertices[Group],MATCH(Edges[[#This Row],[Vertex 2]],GroupVertices[Vertex],0)),1,1,"")</f>
        <v>2</v>
      </c>
      <c r="S604" s="34"/>
      <c r="T604" s="34"/>
      <c r="U604" s="34"/>
      <c r="V604" s="34"/>
      <c r="W604" s="34"/>
      <c r="X604" s="34"/>
      <c r="Y604" s="34"/>
      <c r="Z604" s="34"/>
      <c r="AA604" s="34"/>
    </row>
    <row r="605" spans="1:27" ht="15">
      <c r="A605" s="66" t="s">
        <v>218</v>
      </c>
      <c r="B605" s="66" t="s">
        <v>226</v>
      </c>
      <c r="C605" s="67" t="s">
        <v>4454</v>
      </c>
      <c r="D605" s="68">
        <v>5</v>
      </c>
      <c r="E605" s="69"/>
      <c r="F605" s="70">
        <v>20</v>
      </c>
      <c r="G605" s="67"/>
      <c r="H605" s="71"/>
      <c r="I605" s="72"/>
      <c r="J605" s="72"/>
      <c r="K605" s="34"/>
      <c r="L605" s="79">
        <v>605</v>
      </c>
      <c r="M605" s="79"/>
      <c r="N605" s="74"/>
      <c r="O605" s="81" t="s">
        <v>944</v>
      </c>
      <c r="P605">
        <v>1</v>
      </c>
      <c r="Q605" s="80" t="e">
        <f>REPLACE(INDEX(GroupVertices[Group],MATCH(Edges[[#This Row],[Vertex 1]],GroupVertices[Vertex],0)),1,1,"")</f>
        <v>#N/A</v>
      </c>
      <c r="R605" s="80" t="str">
        <f>REPLACE(INDEX(GroupVertices[Group],MATCH(Edges[[#This Row],[Vertex 2]],GroupVertices[Vertex],0)),1,1,"")</f>
        <v>4</v>
      </c>
      <c r="S605" s="34"/>
      <c r="T605" s="34"/>
      <c r="U605" s="34"/>
      <c r="V605" s="34"/>
      <c r="W605" s="34"/>
      <c r="X605" s="34"/>
      <c r="Y605" s="34"/>
      <c r="Z605" s="34"/>
      <c r="AA605" s="34"/>
    </row>
    <row r="606" spans="1:27" ht="15">
      <c r="A606" s="66" t="s">
        <v>218</v>
      </c>
      <c r="B606" s="66" t="s">
        <v>231</v>
      </c>
      <c r="C606" s="67" t="s">
        <v>4454</v>
      </c>
      <c r="D606" s="68">
        <v>5</v>
      </c>
      <c r="E606" s="69"/>
      <c r="F606" s="70">
        <v>20</v>
      </c>
      <c r="G606" s="67"/>
      <c r="H606" s="71"/>
      <c r="I606" s="72"/>
      <c r="J606" s="72"/>
      <c r="K606" s="34"/>
      <c r="L606" s="79">
        <v>606</v>
      </c>
      <c r="M606" s="79"/>
      <c r="N606" s="74"/>
      <c r="O606" s="81" t="s">
        <v>944</v>
      </c>
      <c r="P606">
        <v>1</v>
      </c>
      <c r="Q606" s="80" t="e">
        <f>REPLACE(INDEX(GroupVertices[Group],MATCH(Edges[[#This Row],[Vertex 1]],GroupVertices[Vertex],0)),1,1,"")</f>
        <v>#N/A</v>
      </c>
      <c r="R606" s="80" t="str">
        <f>REPLACE(INDEX(GroupVertices[Group],MATCH(Edges[[#This Row],[Vertex 2]],GroupVertices[Vertex],0)),1,1,"")</f>
        <v>1</v>
      </c>
      <c r="S606" s="34"/>
      <c r="T606" s="34"/>
      <c r="U606" s="34"/>
      <c r="V606" s="34"/>
      <c r="W606" s="34"/>
      <c r="X606" s="34"/>
      <c r="Y606" s="34"/>
      <c r="Z606" s="34"/>
      <c r="AA606" s="34"/>
    </row>
    <row r="607" spans="1:27" ht="15">
      <c r="A607" s="66" t="s">
        <v>218</v>
      </c>
      <c r="B607" s="66" t="s">
        <v>227</v>
      </c>
      <c r="C607" s="67" t="s">
        <v>4454</v>
      </c>
      <c r="D607" s="68">
        <v>5</v>
      </c>
      <c r="E607" s="69"/>
      <c r="F607" s="70">
        <v>20</v>
      </c>
      <c r="G607" s="67"/>
      <c r="H607" s="71"/>
      <c r="I607" s="72"/>
      <c r="J607" s="72"/>
      <c r="K607" s="34"/>
      <c r="L607" s="79">
        <v>607</v>
      </c>
      <c r="M607" s="79"/>
      <c r="N607" s="74"/>
      <c r="O607" s="81" t="s">
        <v>944</v>
      </c>
      <c r="P607">
        <v>1</v>
      </c>
      <c r="Q607" s="80" t="e">
        <f>REPLACE(INDEX(GroupVertices[Group],MATCH(Edges[[#This Row],[Vertex 1]],GroupVertices[Vertex],0)),1,1,"")</f>
        <v>#N/A</v>
      </c>
      <c r="R607" s="80" t="str">
        <f>REPLACE(INDEX(GroupVertices[Group],MATCH(Edges[[#This Row],[Vertex 2]],GroupVertices[Vertex],0)),1,1,"")</f>
        <v>3</v>
      </c>
      <c r="S607" s="34"/>
      <c r="T607" s="34"/>
      <c r="U607" s="34"/>
      <c r="V607" s="34"/>
      <c r="W607" s="34"/>
      <c r="X607" s="34"/>
      <c r="Y607" s="34"/>
      <c r="Z607" s="34"/>
      <c r="AA607" s="34"/>
    </row>
    <row r="608" spans="1:27" ht="15">
      <c r="A608" s="66" t="s">
        <v>218</v>
      </c>
      <c r="B608" s="66" t="s">
        <v>215</v>
      </c>
      <c r="C608" s="67" t="s">
        <v>4454</v>
      </c>
      <c r="D608" s="68">
        <v>5</v>
      </c>
      <c r="E608" s="69"/>
      <c r="F608" s="70">
        <v>20</v>
      </c>
      <c r="G608" s="67"/>
      <c r="H608" s="71"/>
      <c r="I608" s="72"/>
      <c r="J608" s="72"/>
      <c r="K608" s="34"/>
      <c r="L608" s="79">
        <v>608</v>
      </c>
      <c r="M608" s="79"/>
      <c r="N608" s="74"/>
      <c r="O608" s="81" t="s">
        <v>944</v>
      </c>
      <c r="P608">
        <v>1</v>
      </c>
      <c r="Q608" s="80" t="e">
        <f>REPLACE(INDEX(GroupVertices[Group],MATCH(Edges[[#This Row],[Vertex 1]],GroupVertices[Vertex],0)),1,1,"")</f>
        <v>#N/A</v>
      </c>
      <c r="R608" s="80" t="str">
        <f>REPLACE(INDEX(GroupVertices[Group],MATCH(Edges[[#This Row],[Vertex 2]],GroupVertices[Vertex],0)),1,1,"")</f>
        <v>3</v>
      </c>
      <c r="S608" s="34"/>
      <c r="T608" s="34"/>
      <c r="U608" s="34"/>
      <c r="V608" s="34"/>
      <c r="W608" s="34"/>
      <c r="X608" s="34"/>
      <c r="Y608" s="34"/>
      <c r="Z608" s="34"/>
      <c r="AA608" s="34"/>
    </row>
    <row r="609" spans="1:27" ht="15">
      <c r="A609" s="66" t="s">
        <v>218</v>
      </c>
      <c r="B609" s="66" t="s">
        <v>257</v>
      </c>
      <c r="C609" s="67" t="s">
        <v>4454</v>
      </c>
      <c r="D609" s="68">
        <v>5</v>
      </c>
      <c r="E609" s="69"/>
      <c r="F609" s="70">
        <v>20</v>
      </c>
      <c r="G609" s="67"/>
      <c r="H609" s="71"/>
      <c r="I609" s="72"/>
      <c r="J609" s="72"/>
      <c r="K609" s="34"/>
      <c r="L609" s="79">
        <v>609</v>
      </c>
      <c r="M609" s="79"/>
      <c r="N609" s="74"/>
      <c r="O609" s="81" t="s">
        <v>944</v>
      </c>
      <c r="P609">
        <v>1</v>
      </c>
      <c r="Q609" s="80" t="e">
        <f>REPLACE(INDEX(GroupVertices[Group],MATCH(Edges[[#This Row],[Vertex 1]],GroupVertices[Vertex],0)),1,1,"")</f>
        <v>#N/A</v>
      </c>
      <c r="R609" s="80" t="str">
        <f>REPLACE(INDEX(GroupVertices[Group],MATCH(Edges[[#This Row],[Vertex 2]],GroupVertices[Vertex],0)),1,1,"")</f>
        <v>2</v>
      </c>
      <c r="S609" s="34"/>
      <c r="T609" s="34"/>
      <c r="U609" s="34"/>
      <c r="V609" s="34"/>
      <c r="W609" s="34"/>
      <c r="X609" s="34"/>
      <c r="Y609" s="34"/>
      <c r="Z609" s="34"/>
      <c r="AA609" s="34"/>
    </row>
    <row r="610" spans="1:27" ht="15">
      <c r="A610" s="66" t="s">
        <v>218</v>
      </c>
      <c r="B610" s="66" t="s">
        <v>247</v>
      </c>
      <c r="C610" s="67" t="s">
        <v>4454</v>
      </c>
      <c r="D610" s="68">
        <v>5</v>
      </c>
      <c r="E610" s="69"/>
      <c r="F610" s="70">
        <v>20</v>
      </c>
      <c r="G610" s="67"/>
      <c r="H610" s="71"/>
      <c r="I610" s="72"/>
      <c r="J610" s="72"/>
      <c r="K610" s="34"/>
      <c r="L610" s="79">
        <v>610</v>
      </c>
      <c r="M610" s="79"/>
      <c r="N610" s="74"/>
      <c r="O610" s="81" t="s">
        <v>944</v>
      </c>
      <c r="P610">
        <v>1</v>
      </c>
      <c r="Q610" s="80" t="e">
        <f>REPLACE(INDEX(GroupVertices[Group],MATCH(Edges[[#This Row],[Vertex 1]],GroupVertices[Vertex],0)),1,1,"")</f>
        <v>#N/A</v>
      </c>
      <c r="R610" s="80" t="str">
        <f>REPLACE(INDEX(GroupVertices[Group],MATCH(Edges[[#This Row],[Vertex 2]],GroupVertices[Vertex],0)),1,1,"")</f>
        <v>2</v>
      </c>
      <c r="S610" s="34"/>
      <c r="T610" s="34"/>
      <c r="U610" s="34"/>
      <c r="V610" s="34"/>
      <c r="W610" s="34"/>
      <c r="X610" s="34"/>
      <c r="Y610" s="34"/>
      <c r="Z610" s="34"/>
      <c r="AA610" s="34"/>
    </row>
    <row r="611" spans="1:27" ht="15">
      <c r="A611" s="66" t="s">
        <v>218</v>
      </c>
      <c r="B611" s="66" t="s">
        <v>246</v>
      </c>
      <c r="C611" s="67" t="s">
        <v>4454</v>
      </c>
      <c r="D611" s="68">
        <v>5</v>
      </c>
      <c r="E611" s="69"/>
      <c r="F611" s="70">
        <v>20</v>
      </c>
      <c r="G611" s="67"/>
      <c r="H611" s="71"/>
      <c r="I611" s="72"/>
      <c r="J611" s="72"/>
      <c r="K611" s="34"/>
      <c r="L611" s="79">
        <v>611</v>
      </c>
      <c r="M611" s="79"/>
      <c r="N611" s="74"/>
      <c r="O611" s="81" t="s">
        <v>944</v>
      </c>
      <c r="P611">
        <v>1</v>
      </c>
      <c r="Q611" s="80" t="e">
        <f>REPLACE(INDEX(GroupVertices[Group],MATCH(Edges[[#This Row],[Vertex 1]],GroupVertices[Vertex],0)),1,1,"")</f>
        <v>#N/A</v>
      </c>
      <c r="R611" s="80" t="str">
        <f>REPLACE(INDEX(GroupVertices[Group],MATCH(Edges[[#This Row],[Vertex 2]],GroupVertices[Vertex],0)),1,1,"")</f>
        <v>2</v>
      </c>
      <c r="S611" s="34"/>
      <c r="T611" s="34"/>
      <c r="U611" s="34"/>
      <c r="V611" s="34"/>
      <c r="W611" s="34"/>
      <c r="X611" s="34"/>
      <c r="Y611" s="34"/>
      <c r="Z611" s="34"/>
      <c r="AA611" s="34"/>
    </row>
    <row r="612" spans="1:27" ht="15">
      <c r="A612" s="66" t="s">
        <v>218</v>
      </c>
      <c r="B612" s="66" t="s">
        <v>235</v>
      </c>
      <c r="C612" s="67" t="s">
        <v>4454</v>
      </c>
      <c r="D612" s="68">
        <v>5</v>
      </c>
      <c r="E612" s="69"/>
      <c r="F612" s="70">
        <v>20</v>
      </c>
      <c r="G612" s="67"/>
      <c r="H612" s="71"/>
      <c r="I612" s="72"/>
      <c r="J612" s="72"/>
      <c r="K612" s="34"/>
      <c r="L612" s="79">
        <v>612</v>
      </c>
      <c r="M612" s="79"/>
      <c r="N612" s="74"/>
      <c r="O612" s="81" t="s">
        <v>944</v>
      </c>
      <c r="P612">
        <v>1</v>
      </c>
      <c r="Q612" s="80" t="e">
        <f>REPLACE(INDEX(GroupVertices[Group],MATCH(Edges[[#This Row],[Vertex 1]],GroupVertices[Vertex],0)),1,1,"")</f>
        <v>#N/A</v>
      </c>
      <c r="R612" s="80" t="str">
        <f>REPLACE(INDEX(GroupVertices[Group],MATCH(Edges[[#This Row],[Vertex 2]],GroupVertices[Vertex],0)),1,1,"")</f>
        <v>2</v>
      </c>
      <c r="S612" s="34"/>
      <c r="T612" s="34"/>
      <c r="U612" s="34"/>
      <c r="V612" s="34"/>
      <c r="W612" s="34"/>
      <c r="X612" s="34"/>
      <c r="Y612" s="34"/>
      <c r="Z612" s="34"/>
      <c r="AA612" s="34"/>
    </row>
    <row r="613" spans="1:27" ht="15">
      <c r="A613" s="66" t="s">
        <v>218</v>
      </c>
      <c r="B613" s="66" t="s">
        <v>602</v>
      </c>
      <c r="C613" s="67" t="s">
        <v>4454</v>
      </c>
      <c r="D613" s="68">
        <v>5</v>
      </c>
      <c r="E613" s="69"/>
      <c r="F613" s="70">
        <v>20</v>
      </c>
      <c r="G613" s="67"/>
      <c r="H613" s="71"/>
      <c r="I613" s="72"/>
      <c r="J613" s="72"/>
      <c r="K613" s="34"/>
      <c r="L613" s="79">
        <v>613</v>
      </c>
      <c r="M613" s="79"/>
      <c r="N613" s="74"/>
      <c r="O613" s="81" t="s">
        <v>944</v>
      </c>
      <c r="P613">
        <v>1</v>
      </c>
      <c r="Q613" s="80" t="e">
        <f>REPLACE(INDEX(GroupVertices[Group],MATCH(Edges[[#This Row],[Vertex 1]],GroupVertices[Vertex],0)),1,1,"")</f>
        <v>#N/A</v>
      </c>
      <c r="R613" s="80" t="str">
        <f>REPLACE(INDEX(GroupVertices[Group],MATCH(Edges[[#This Row],[Vertex 2]],GroupVertices[Vertex],0)),1,1,"")</f>
        <v>2</v>
      </c>
      <c r="S613" s="34"/>
      <c r="T613" s="34"/>
      <c r="U613" s="34"/>
      <c r="V613" s="34"/>
      <c r="W613" s="34"/>
      <c r="X613" s="34"/>
      <c r="Y613" s="34"/>
      <c r="Z613" s="34"/>
      <c r="AA613" s="34"/>
    </row>
    <row r="614" spans="1:27" ht="15">
      <c r="A614" s="66" t="s">
        <v>218</v>
      </c>
      <c r="B614" s="66" t="s">
        <v>233</v>
      </c>
      <c r="C614" s="67" t="s">
        <v>4454</v>
      </c>
      <c r="D614" s="68">
        <v>5</v>
      </c>
      <c r="E614" s="69"/>
      <c r="F614" s="70">
        <v>20</v>
      </c>
      <c r="G614" s="67"/>
      <c r="H614" s="71"/>
      <c r="I614" s="72"/>
      <c r="J614" s="72"/>
      <c r="K614" s="34"/>
      <c r="L614" s="79">
        <v>614</v>
      </c>
      <c r="M614" s="79"/>
      <c r="N614" s="74"/>
      <c r="O614" s="81" t="s">
        <v>944</v>
      </c>
      <c r="P614">
        <v>1</v>
      </c>
      <c r="Q614" s="80" t="e">
        <f>REPLACE(INDEX(GroupVertices[Group],MATCH(Edges[[#This Row],[Vertex 1]],GroupVertices[Vertex],0)),1,1,"")</f>
        <v>#N/A</v>
      </c>
      <c r="R614" s="80" t="str">
        <f>REPLACE(INDEX(GroupVertices[Group],MATCH(Edges[[#This Row],[Vertex 2]],GroupVertices[Vertex],0)),1,1,"")</f>
        <v>2</v>
      </c>
      <c r="S614" s="34"/>
      <c r="T614" s="34"/>
      <c r="U614" s="34"/>
      <c r="V614" s="34"/>
      <c r="W614" s="34"/>
      <c r="X614" s="34"/>
      <c r="Y614" s="34"/>
      <c r="Z614" s="34"/>
      <c r="AA614" s="34"/>
    </row>
    <row r="615" spans="1:27" ht="15">
      <c r="A615" s="66" t="s">
        <v>218</v>
      </c>
      <c r="B615" s="66" t="s">
        <v>484</v>
      </c>
      <c r="C615" s="67" t="s">
        <v>4454</v>
      </c>
      <c r="D615" s="68">
        <v>5</v>
      </c>
      <c r="E615" s="69"/>
      <c r="F615" s="70">
        <v>20</v>
      </c>
      <c r="G615" s="67"/>
      <c r="H615" s="71"/>
      <c r="I615" s="72"/>
      <c r="J615" s="72"/>
      <c r="K615" s="34"/>
      <c r="L615" s="79">
        <v>615</v>
      </c>
      <c r="M615" s="79"/>
      <c r="N615" s="74"/>
      <c r="O615" s="81" t="s">
        <v>944</v>
      </c>
      <c r="P615">
        <v>1</v>
      </c>
      <c r="Q615" s="80" t="e">
        <f>REPLACE(INDEX(GroupVertices[Group],MATCH(Edges[[#This Row],[Vertex 1]],GroupVertices[Vertex],0)),1,1,"")</f>
        <v>#N/A</v>
      </c>
      <c r="R615" s="80" t="str">
        <f>REPLACE(INDEX(GroupVertices[Group],MATCH(Edges[[#This Row],[Vertex 2]],GroupVertices[Vertex],0)),1,1,"")</f>
        <v>1</v>
      </c>
      <c r="S615" s="34"/>
      <c r="T615" s="34"/>
      <c r="U615" s="34"/>
      <c r="V615" s="34"/>
      <c r="W615" s="34"/>
      <c r="X615" s="34"/>
      <c r="Y615" s="34"/>
      <c r="Z615" s="34"/>
      <c r="AA615" s="34"/>
    </row>
    <row r="616" spans="1:27" ht="15">
      <c r="A616" s="66" t="s">
        <v>218</v>
      </c>
      <c r="B616" s="66" t="s">
        <v>238</v>
      </c>
      <c r="C616" s="67" t="s">
        <v>4454</v>
      </c>
      <c r="D616" s="68">
        <v>5</v>
      </c>
      <c r="E616" s="69"/>
      <c r="F616" s="70">
        <v>20</v>
      </c>
      <c r="G616" s="67"/>
      <c r="H616" s="71"/>
      <c r="I616" s="72"/>
      <c r="J616" s="72"/>
      <c r="K616" s="34"/>
      <c r="L616" s="79">
        <v>616</v>
      </c>
      <c r="M616" s="79"/>
      <c r="N616" s="74"/>
      <c r="O616" s="81" t="s">
        <v>944</v>
      </c>
      <c r="P616">
        <v>1</v>
      </c>
      <c r="Q616" s="80" t="e">
        <f>REPLACE(INDEX(GroupVertices[Group],MATCH(Edges[[#This Row],[Vertex 1]],GroupVertices[Vertex],0)),1,1,"")</f>
        <v>#N/A</v>
      </c>
      <c r="R616" s="80" t="str">
        <f>REPLACE(INDEX(GroupVertices[Group],MATCH(Edges[[#This Row],[Vertex 2]],GroupVertices[Vertex],0)),1,1,"")</f>
        <v>2</v>
      </c>
      <c r="S616" s="34"/>
      <c r="T616" s="34"/>
      <c r="U616" s="34"/>
      <c r="V616" s="34"/>
      <c r="W616" s="34"/>
      <c r="X616" s="34"/>
      <c r="Y616" s="34"/>
      <c r="Z616" s="34"/>
      <c r="AA616" s="34"/>
    </row>
    <row r="617" spans="1:27" ht="15">
      <c r="A617" s="66" t="s">
        <v>218</v>
      </c>
      <c r="B617" s="66" t="s">
        <v>229</v>
      </c>
      <c r="C617" s="67" t="s">
        <v>4454</v>
      </c>
      <c r="D617" s="68">
        <v>5</v>
      </c>
      <c r="E617" s="69"/>
      <c r="F617" s="70">
        <v>20</v>
      </c>
      <c r="G617" s="67"/>
      <c r="H617" s="71"/>
      <c r="I617" s="72"/>
      <c r="J617" s="72"/>
      <c r="K617" s="34"/>
      <c r="L617" s="79">
        <v>617</v>
      </c>
      <c r="M617" s="79"/>
      <c r="N617" s="74"/>
      <c r="O617" s="81" t="s">
        <v>944</v>
      </c>
      <c r="P617">
        <v>1</v>
      </c>
      <c r="Q617" s="80" t="e">
        <f>REPLACE(INDEX(GroupVertices[Group],MATCH(Edges[[#This Row],[Vertex 1]],GroupVertices[Vertex],0)),1,1,"")</f>
        <v>#N/A</v>
      </c>
      <c r="R617" s="80" t="str">
        <f>REPLACE(INDEX(GroupVertices[Group],MATCH(Edges[[#This Row],[Vertex 2]],GroupVertices[Vertex],0)),1,1,"")</f>
        <v>1</v>
      </c>
      <c r="S617" s="34"/>
      <c r="T617" s="34"/>
      <c r="U617" s="34"/>
      <c r="V617" s="34"/>
      <c r="W617" s="34"/>
      <c r="X617" s="34"/>
      <c r="Y617" s="34"/>
      <c r="Z617" s="34"/>
      <c r="AA617" s="34"/>
    </row>
    <row r="618" spans="1:27" ht="15">
      <c r="A618" s="66" t="s">
        <v>218</v>
      </c>
      <c r="B618" s="66" t="s">
        <v>255</v>
      </c>
      <c r="C618" s="67" t="s">
        <v>4454</v>
      </c>
      <c r="D618" s="68">
        <v>5</v>
      </c>
      <c r="E618" s="69"/>
      <c r="F618" s="70">
        <v>20</v>
      </c>
      <c r="G618" s="67"/>
      <c r="H618" s="71"/>
      <c r="I618" s="72"/>
      <c r="J618" s="72"/>
      <c r="K618" s="34"/>
      <c r="L618" s="79">
        <v>618</v>
      </c>
      <c r="M618" s="79"/>
      <c r="N618" s="74"/>
      <c r="O618" s="81" t="s">
        <v>944</v>
      </c>
      <c r="P618">
        <v>1</v>
      </c>
      <c r="Q618" s="80" t="e">
        <f>REPLACE(INDEX(GroupVertices[Group],MATCH(Edges[[#This Row],[Vertex 1]],GroupVertices[Vertex],0)),1,1,"")</f>
        <v>#N/A</v>
      </c>
      <c r="R618" s="80" t="str">
        <f>REPLACE(INDEX(GroupVertices[Group],MATCH(Edges[[#This Row],[Vertex 2]],GroupVertices[Vertex],0)),1,1,"")</f>
        <v>4</v>
      </c>
      <c r="S618" s="34"/>
      <c r="T618" s="34"/>
      <c r="U618" s="34"/>
      <c r="V618" s="34"/>
      <c r="W618" s="34"/>
      <c r="X618" s="34"/>
      <c r="Y618" s="34"/>
      <c r="Z618" s="34"/>
      <c r="AA618" s="34"/>
    </row>
    <row r="619" spans="1:27" ht="15">
      <c r="A619" s="66" t="s">
        <v>218</v>
      </c>
      <c r="B619" s="66" t="s">
        <v>256</v>
      </c>
      <c r="C619" s="67" t="s">
        <v>4454</v>
      </c>
      <c r="D619" s="68">
        <v>5</v>
      </c>
      <c r="E619" s="69"/>
      <c r="F619" s="70">
        <v>20</v>
      </c>
      <c r="G619" s="67"/>
      <c r="H619" s="71"/>
      <c r="I619" s="72"/>
      <c r="J619" s="72"/>
      <c r="K619" s="34"/>
      <c r="L619" s="79">
        <v>619</v>
      </c>
      <c r="M619" s="79"/>
      <c r="N619" s="74"/>
      <c r="O619" s="81" t="s">
        <v>944</v>
      </c>
      <c r="P619">
        <v>1</v>
      </c>
      <c r="Q619" s="80" t="e">
        <f>REPLACE(INDEX(GroupVertices[Group],MATCH(Edges[[#This Row],[Vertex 1]],GroupVertices[Vertex],0)),1,1,"")</f>
        <v>#N/A</v>
      </c>
      <c r="R619" s="80" t="str">
        <f>REPLACE(INDEX(GroupVertices[Group],MATCH(Edges[[#This Row],[Vertex 2]],GroupVertices[Vertex],0)),1,1,"")</f>
        <v>1</v>
      </c>
      <c r="S619" s="34"/>
      <c r="T619" s="34"/>
      <c r="U619" s="34"/>
      <c r="V619" s="34"/>
      <c r="W619" s="34"/>
      <c r="X619" s="34"/>
      <c r="Y619" s="34"/>
      <c r="Z619" s="34"/>
      <c r="AA619" s="34"/>
    </row>
    <row r="620" spans="1:27" ht="15">
      <c r="A620" s="66" t="s">
        <v>218</v>
      </c>
      <c r="B620" s="66" t="s">
        <v>251</v>
      </c>
      <c r="C620" s="67" t="s">
        <v>4454</v>
      </c>
      <c r="D620" s="68">
        <v>5</v>
      </c>
      <c r="E620" s="69"/>
      <c r="F620" s="70">
        <v>20</v>
      </c>
      <c r="G620" s="67"/>
      <c r="H620" s="71"/>
      <c r="I620" s="72"/>
      <c r="J620" s="72"/>
      <c r="K620" s="34"/>
      <c r="L620" s="79">
        <v>620</v>
      </c>
      <c r="M620" s="79"/>
      <c r="N620" s="74"/>
      <c r="O620" s="81" t="s">
        <v>944</v>
      </c>
      <c r="P620">
        <v>1</v>
      </c>
      <c r="Q620" s="80" t="e">
        <f>REPLACE(INDEX(GroupVertices[Group],MATCH(Edges[[#This Row],[Vertex 1]],GroupVertices[Vertex],0)),1,1,"")</f>
        <v>#N/A</v>
      </c>
      <c r="R620" s="80" t="str">
        <f>REPLACE(INDEX(GroupVertices[Group],MATCH(Edges[[#This Row],[Vertex 2]],GroupVertices[Vertex],0)),1,1,"")</f>
        <v>2</v>
      </c>
      <c r="S620" s="34"/>
      <c r="T620" s="34"/>
      <c r="U620" s="34"/>
      <c r="V620" s="34"/>
      <c r="W620" s="34"/>
      <c r="X620" s="34"/>
      <c r="Y620" s="34"/>
      <c r="Z620" s="34"/>
      <c r="AA620" s="34"/>
    </row>
    <row r="621" spans="1:27" ht="15">
      <c r="A621" s="66" t="s">
        <v>218</v>
      </c>
      <c r="B621" s="66" t="s">
        <v>663</v>
      </c>
      <c r="C621" s="67" t="s">
        <v>4454</v>
      </c>
      <c r="D621" s="68">
        <v>5</v>
      </c>
      <c r="E621" s="69"/>
      <c r="F621" s="70">
        <v>20</v>
      </c>
      <c r="G621" s="67"/>
      <c r="H621" s="71"/>
      <c r="I621" s="72"/>
      <c r="J621" s="72"/>
      <c r="K621" s="34"/>
      <c r="L621" s="79">
        <v>621</v>
      </c>
      <c r="M621" s="79"/>
      <c r="N621" s="74"/>
      <c r="O621" s="81" t="s">
        <v>944</v>
      </c>
      <c r="P621">
        <v>1</v>
      </c>
      <c r="Q621" s="80" t="e">
        <f>REPLACE(INDEX(GroupVertices[Group],MATCH(Edges[[#This Row],[Vertex 1]],GroupVertices[Vertex],0)),1,1,"")</f>
        <v>#N/A</v>
      </c>
      <c r="R621" s="80" t="str">
        <f>REPLACE(INDEX(GroupVertices[Group],MATCH(Edges[[#This Row],[Vertex 2]],GroupVertices[Vertex],0)),1,1,"")</f>
        <v>1</v>
      </c>
      <c r="S621" s="34"/>
      <c r="T621" s="34"/>
      <c r="U621" s="34"/>
      <c r="V621" s="34"/>
      <c r="W621" s="34"/>
      <c r="X621" s="34"/>
      <c r="Y621" s="34"/>
      <c r="Z621" s="34"/>
      <c r="AA621" s="34"/>
    </row>
    <row r="622" spans="1:27" ht="15">
      <c r="A622" s="66" t="s">
        <v>218</v>
      </c>
      <c r="B622" s="66" t="s">
        <v>258</v>
      </c>
      <c r="C622" s="67" t="s">
        <v>4454</v>
      </c>
      <c r="D622" s="68">
        <v>5</v>
      </c>
      <c r="E622" s="69"/>
      <c r="F622" s="70">
        <v>20</v>
      </c>
      <c r="G622" s="67"/>
      <c r="H622" s="71"/>
      <c r="I622" s="72"/>
      <c r="J622" s="72"/>
      <c r="K622" s="34"/>
      <c r="L622" s="79">
        <v>622</v>
      </c>
      <c r="M622" s="79"/>
      <c r="N622" s="74"/>
      <c r="O622" s="81" t="s">
        <v>944</v>
      </c>
      <c r="P622">
        <v>1</v>
      </c>
      <c r="Q622" s="80" t="e">
        <f>REPLACE(INDEX(GroupVertices[Group],MATCH(Edges[[#This Row],[Vertex 1]],GroupVertices[Vertex],0)),1,1,"")</f>
        <v>#N/A</v>
      </c>
      <c r="R622" s="80" t="str">
        <f>REPLACE(INDEX(GroupVertices[Group],MATCH(Edges[[#This Row],[Vertex 2]],GroupVertices[Vertex],0)),1,1,"")</f>
        <v>1</v>
      </c>
      <c r="S622" s="34"/>
      <c r="T622" s="34"/>
      <c r="U622" s="34"/>
      <c r="V622" s="34"/>
      <c r="W622" s="34"/>
      <c r="X622" s="34"/>
      <c r="Y622" s="34"/>
      <c r="Z622" s="34"/>
      <c r="AA622" s="34"/>
    </row>
    <row r="623" spans="1:27" ht="15">
      <c r="A623" s="66" t="s">
        <v>218</v>
      </c>
      <c r="B623" s="66" t="s">
        <v>224</v>
      </c>
      <c r="C623" s="67" t="s">
        <v>4454</v>
      </c>
      <c r="D623" s="68">
        <v>5</v>
      </c>
      <c r="E623" s="69"/>
      <c r="F623" s="70">
        <v>20</v>
      </c>
      <c r="G623" s="67"/>
      <c r="H623" s="71"/>
      <c r="I623" s="72"/>
      <c r="J623" s="72"/>
      <c r="K623" s="34"/>
      <c r="L623" s="79">
        <v>623</v>
      </c>
      <c r="M623" s="79"/>
      <c r="N623" s="74"/>
      <c r="O623" s="81" t="s">
        <v>944</v>
      </c>
      <c r="P623">
        <v>1</v>
      </c>
      <c r="Q623" s="80" t="e">
        <f>REPLACE(INDEX(GroupVertices[Group],MATCH(Edges[[#This Row],[Vertex 1]],GroupVertices[Vertex],0)),1,1,"")</f>
        <v>#N/A</v>
      </c>
      <c r="R623" s="80" t="str">
        <f>REPLACE(INDEX(GroupVertices[Group],MATCH(Edges[[#This Row],[Vertex 2]],GroupVertices[Vertex],0)),1,1,"")</f>
        <v>2</v>
      </c>
      <c r="S623" s="34"/>
      <c r="T623" s="34"/>
      <c r="U623" s="34"/>
      <c r="V623" s="34"/>
      <c r="W623" s="34"/>
      <c r="X623" s="34"/>
      <c r="Y623" s="34"/>
      <c r="Z623" s="34"/>
      <c r="AA623" s="34"/>
    </row>
    <row r="624" spans="1:27" ht="15">
      <c r="A624" s="66" t="s">
        <v>218</v>
      </c>
      <c r="B624" s="66" t="s">
        <v>510</v>
      </c>
      <c r="C624" s="67" t="s">
        <v>4454</v>
      </c>
      <c r="D624" s="68">
        <v>5</v>
      </c>
      <c r="E624" s="69"/>
      <c r="F624" s="70">
        <v>20</v>
      </c>
      <c r="G624" s="67"/>
      <c r="H624" s="71"/>
      <c r="I624" s="72"/>
      <c r="J624" s="72"/>
      <c r="K624" s="34"/>
      <c r="L624" s="79">
        <v>624</v>
      </c>
      <c r="M624" s="79"/>
      <c r="N624" s="74"/>
      <c r="O624" s="81" t="s">
        <v>944</v>
      </c>
      <c r="P624">
        <v>1</v>
      </c>
      <c r="Q624" s="80" t="e">
        <f>REPLACE(INDEX(GroupVertices[Group],MATCH(Edges[[#This Row],[Vertex 1]],GroupVertices[Vertex],0)),1,1,"")</f>
        <v>#N/A</v>
      </c>
      <c r="R624" s="80" t="str">
        <f>REPLACE(INDEX(GroupVertices[Group],MATCH(Edges[[#This Row],[Vertex 2]],GroupVertices[Vertex],0)),1,1,"")</f>
        <v>2</v>
      </c>
      <c r="S624" s="34"/>
      <c r="T624" s="34"/>
      <c r="U624" s="34"/>
      <c r="V624" s="34"/>
      <c r="W624" s="34"/>
      <c r="X624" s="34"/>
      <c r="Y624" s="34"/>
      <c r="Z624" s="34"/>
      <c r="AA624" s="34"/>
    </row>
    <row r="625" spans="1:27" ht="15">
      <c r="A625" s="66" t="s">
        <v>218</v>
      </c>
      <c r="B625" s="66" t="s">
        <v>260</v>
      </c>
      <c r="C625" s="67" t="s">
        <v>4454</v>
      </c>
      <c r="D625" s="68">
        <v>5</v>
      </c>
      <c r="E625" s="69"/>
      <c r="F625" s="70">
        <v>20</v>
      </c>
      <c r="G625" s="67"/>
      <c r="H625" s="71"/>
      <c r="I625" s="72"/>
      <c r="J625" s="72"/>
      <c r="K625" s="34"/>
      <c r="L625" s="79">
        <v>625</v>
      </c>
      <c r="M625" s="79"/>
      <c r="N625" s="74"/>
      <c r="O625" s="81" t="s">
        <v>944</v>
      </c>
      <c r="P625">
        <v>1</v>
      </c>
      <c r="Q625" s="80" t="e">
        <f>REPLACE(INDEX(GroupVertices[Group],MATCH(Edges[[#This Row],[Vertex 1]],GroupVertices[Vertex],0)),1,1,"")</f>
        <v>#N/A</v>
      </c>
      <c r="R625" s="80" t="str">
        <f>REPLACE(INDEX(GroupVertices[Group],MATCH(Edges[[#This Row],[Vertex 2]],GroupVertices[Vertex],0)),1,1,"")</f>
        <v>2</v>
      </c>
      <c r="S625" s="34"/>
      <c r="T625" s="34"/>
      <c r="U625" s="34"/>
      <c r="V625" s="34"/>
      <c r="W625" s="34"/>
      <c r="X625" s="34"/>
      <c r="Y625" s="34"/>
      <c r="Z625" s="34"/>
      <c r="AA625" s="34"/>
    </row>
    <row r="626" spans="1:27" ht="15">
      <c r="A626" s="66" t="s">
        <v>218</v>
      </c>
      <c r="B626" s="66" t="s">
        <v>222</v>
      </c>
      <c r="C626" s="67" t="s">
        <v>4454</v>
      </c>
      <c r="D626" s="68">
        <v>5</v>
      </c>
      <c r="E626" s="69"/>
      <c r="F626" s="70">
        <v>20</v>
      </c>
      <c r="G626" s="67"/>
      <c r="H626" s="71"/>
      <c r="I626" s="72"/>
      <c r="J626" s="72"/>
      <c r="K626" s="34"/>
      <c r="L626" s="79">
        <v>626</v>
      </c>
      <c r="M626" s="79"/>
      <c r="N626" s="74"/>
      <c r="O626" s="81" t="s">
        <v>944</v>
      </c>
      <c r="P626">
        <v>1</v>
      </c>
      <c r="Q626" s="80" t="e">
        <f>REPLACE(INDEX(GroupVertices[Group],MATCH(Edges[[#This Row],[Vertex 1]],GroupVertices[Vertex],0)),1,1,"")</f>
        <v>#N/A</v>
      </c>
      <c r="R626" s="80" t="str">
        <f>REPLACE(INDEX(GroupVertices[Group],MATCH(Edges[[#This Row],[Vertex 2]],GroupVertices[Vertex],0)),1,1,"")</f>
        <v>2</v>
      </c>
      <c r="S626" s="34"/>
      <c r="T626" s="34"/>
      <c r="U626" s="34"/>
      <c r="V626" s="34"/>
      <c r="W626" s="34"/>
      <c r="X626" s="34"/>
      <c r="Y626" s="34"/>
      <c r="Z626" s="34"/>
      <c r="AA626" s="34"/>
    </row>
    <row r="627" spans="1:27" ht="15">
      <c r="A627" s="66" t="s">
        <v>218</v>
      </c>
      <c r="B627" s="66" t="s">
        <v>252</v>
      </c>
      <c r="C627" s="67" t="s">
        <v>4454</v>
      </c>
      <c r="D627" s="68">
        <v>5</v>
      </c>
      <c r="E627" s="69"/>
      <c r="F627" s="70">
        <v>20</v>
      </c>
      <c r="G627" s="67"/>
      <c r="H627" s="71"/>
      <c r="I627" s="72"/>
      <c r="J627" s="72"/>
      <c r="K627" s="34"/>
      <c r="L627" s="79">
        <v>627</v>
      </c>
      <c r="M627" s="79"/>
      <c r="N627" s="74"/>
      <c r="O627" s="81" t="s">
        <v>944</v>
      </c>
      <c r="P627">
        <v>1</v>
      </c>
      <c r="Q627" s="80" t="e">
        <f>REPLACE(INDEX(GroupVertices[Group],MATCH(Edges[[#This Row],[Vertex 1]],GroupVertices[Vertex],0)),1,1,"")</f>
        <v>#N/A</v>
      </c>
      <c r="R627" s="80" t="str">
        <f>REPLACE(INDEX(GroupVertices[Group],MATCH(Edges[[#This Row],[Vertex 2]],GroupVertices[Vertex],0)),1,1,"")</f>
        <v>1</v>
      </c>
      <c r="S627" s="34"/>
      <c r="T627" s="34"/>
      <c r="U627" s="34"/>
      <c r="V627" s="34"/>
      <c r="W627" s="34"/>
      <c r="X627" s="34"/>
      <c r="Y627" s="34"/>
      <c r="Z627" s="34"/>
      <c r="AA627" s="34"/>
    </row>
    <row r="628" spans="1:27" ht="15">
      <c r="A628" s="66" t="s">
        <v>218</v>
      </c>
      <c r="B628" s="66" t="s">
        <v>259</v>
      </c>
      <c r="C628" s="67" t="s">
        <v>4454</v>
      </c>
      <c r="D628" s="68">
        <v>5</v>
      </c>
      <c r="E628" s="69"/>
      <c r="F628" s="70">
        <v>20</v>
      </c>
      <c r="G628" s="67"/>
      <c r="H628" s="71"/>
      <c r="I628" s="72"/>
      <c r="J628" s="72"/>
      <c r="K628" s="34"/>
      <c r="L628" s="79">
        <v>628</v>
      </c>
      <c r="M628" s="79"/>
      <c r="N628" s="74"/>
      <c r="O628" s="81" t="s">
        <v>944</v>
      </c>
      <c r="P628">
        <v>1</v>
      </c>
      <c r="Q628" s="80" t="e">
        <f>REPLACE(INDEX(GroupVertices[Group],MATCH(Edges[[#This Row],[Vertex 1]],GroupVertices[Vertex],0)),1,1,"")</f>
        <v>#N/A</v>
      </c>
      <c r="R628" s="80" t="str">
        <f>REPLACE(INDEX(GroupVertices[Group],MATCH(Edges[[#This Row],[Vertex 2]],GroupVertices[Vertex],0)),1,1,"")</f>
        <v>2</v>
      </c>
      <c r="S628" s="34"/>
      <c r="T628" s="34"/>
      <c r="U628" s="34"/>
      <c r="V628" s="34"/>
      <c r="W628" s="34"/>
      <c r="X628" s="34"/>
      <c r="Y628" s="34"/>
      <c r="Z628" s="34"/>
      <c r="AA628" s="34"/>
    </row>
    <row r="629" spans="1:27" ht="15">
      <c r="A629" s="66" t="s">
        <v>218</v>
      </c>
      <c r="B629" s="66" t="s">
        <v>249</v>
      </c>
      <c r="C629" s="67" t="s">
        <v>4454</v>
      </c>
      <c r="D629" s="68">
        <v>5</v>
      </c>
      <c r="E629" s="69"/>
      <c r="F629" s="70">
        <v>20</v>
      </c>
      <c r="G629" s="67"/>
      <c r="H629" s="71"/>
      <c r="I629" s="72"/>
      <c r="J629" s="72"/>
      <c r="K629" s="34"/>
      <c r="L629" s="79">
        <v>629</v>
      </c>
      <c r="M629" s="79"/>
      <c r="N629" s="74"/>
      <c r="O629" s="81" t="s">
        <v>944</v>
      </c>
      <c r="P629">
        <v>1</v>
      </c>
      <c r="Q629" s="80" t="e">
        <f>REPLACE(INDEX(GroupVertices[Group],MATCH(Edges[[#This Row],[Vertex 1]],GroupVertices[Vertex],0)),1,1,"")</f>
        <v>#N/A</v>
      </c>
      <c r="R629" s="80" t="str">
        <f>REPLACE(INDEX(GroupVertices[Group],MATCH(Edges[[#This Row],[Vertex 2]],GroupVertices[Vertex],0)),1,1,"")</f>
        <v>2</v>
      </c>
      <c r="S629" s="34"/>
      <c r="T629" s="34"/>
      <c r="U629" s="34"/>
      <c r="V629" s="34"/>
      <c r="W629" s="34"/>
      <c r="X629" s="34"/>
      <c r="Y629" s="34"/>
      <c r="Z629" s="34"/>
      <c r="AA629" s="34"/>
    </row>
    <row r="630" spans="1:27" ht="15">
      <c r="A630" s="66" t="s">
        <v>218</v>
      </c>
      <c r="B630" s="66" t="s">
        <v>240</v>
      </c>
      <c r="C630" s="67" t="s">
        <v>4454</v>
      </c>
      <c r="D630" s="68">
        <v>5</v>
      </c>
      <c r="E630" s="69"/>
      <c r="F630" s="70">
        <v>20</v>
      </c>
      <c r="G630" s="67"/>
      <c r="H630" s="71"/>
      <c r="I630" s="72"/>
      <c r="J630" s="72"/>
      <c r="K630" s="34"/>
      <c r="L630" s="79">
        <v>630</v>
      </c>
      <c r="M630" s="79"/>
      <c r="N630" s="74"/>
      <c r="O630" s="81" t="s">
        <v>944</v>
      </c>
      <c r="P630">
        <v>1</v>
      </c>
      <c r="Q630" s="80" t="e">
        <f>REPLACE(INDEX(GroupVertices[Group],MATCH(Edges[[#This Row],[Vertex 1]],GroupVertices[Vertex],0)),1,1,"")</f>
        <v>#N/A</v>
      </c>
      <c r="R630" s="80" t="str">
        <f>REPLACE(INDEX(GroupVertices[Group],MATCH(Edges[[#This Row],[Vertex 2]],GroupVertices[Vertex],0)),1,1,"")</f>
        <v>2</v>
      </c>
      <c r="S630" s="34"/>
      <c r="T630" s="34"/>
      <c r="U630" s="34"/>
      <c r="V630" s="34"/>
      <c r="W630" s="34"/>
      <c r="X630" s="34"/>
      <c r="Y630" s="34"/>
      <c r="Z630" s="34"/>
      <c r="AA630" s="34"/>
    </row>
    <row r="631" spans="1:27" ht="15">
      <c r="A631" s="66" t="s">
        <v>218</v>
      </c>
      <c r="B631" s="66" t="s">
        <v>254</v>
      </c>
      <c r="C631" s="67" t="s">
        <v>4454</v>
      </c>
      <c r="D631" s="68">
        <v>5</v>
      </c>
      <c r="E631" s="69"/>
      <c r="F631" s="70">
        <v>20</v>
      </c>
      <c r="G631" s="67"/>
      <c r="H631" s="71"/>
      <c r="I631" s="72"/>
      <c r="J631" s="72"/>
      <c r="K631" s="34"/>
      <c r="L631" s="79">
        <v>631</v>
      </c>
      <c r="M631" s="79"/>
      <c r="N631" s="74"/>
      <c r="O631" s="81" t="s">
        <v>944</v>
      </c>
      <c r="P631">
        <v>1</v>
      </c>
      <c r="Q631" s="80" t="e">
        <f>REPLACE(INDEX(GroupVertices[Group],MATCH(Edges[[#This Row],[Vertex 1]],GroupVertices[Vertex],0)),1,1,"")</f>
        <v>#N/A</v>
      </c>
      <c r="R631" s="80" t="str">
        <f>REPLACE(INDEX(GroupVertices[Group],MATCH(Edges[[#This Row],[Vertex 2]],GroupVertices[Vertex],0)),1,1,"")</f>
        <v>3</v>
      </c>
      <c r="S631" s="34"/>
      <c r="T631" s="34"/>
      <c r="U631" s="34"/>
      <c r="V631" s="34"/>
      <c r="W631" s="34"/>
      <c r="X631" s="34"/>
      <c r="Y631" s="34"/>
      <c r="Z631" s="34"/>
      <c r="AA631" s="34"/>
    </row>
    <row r="632" spans="1:27" ht="15">
      <c r="A632" s="66" t="s">
        <v>218</v>
      </c>
      <c r="B632" s="66" t="s">
        <v>241</v>
      </c>
      <c r="C632" s="67" t="s">
        <v>4454</v>
      </c>
      <c r="D632" s="68">
        <v>5</v>
      </c>
      <c r="E632" s="69"/>
      <c r="F632" s="70">
        <v>20</v>
      </c>
      <c r="G632" s="67"/>
      <c r="H632" s="71"/>
      <c r="I632" s="72"/>
      <c r="J632" s="72"/>
      <c r="K632" s="34"/>
      <c r="L632" s="79">
        <v>632</v>
      </c>
      <c r="M632" s="79"/>
      <c r="N632" s="74"/>
      <c r="O632" s="81" t="s">
        <v>944</v>
      </c>
      <c r="P632">
        <v>1</v>
      </c>
      <c r="Q632" s="80" t="e">
        <f>REPLACE(INDEX(GroupVertices[Group],MATCH(Edges[[#This Row],[Vertex 1]],GroupVertices[Vertex],0)),1,1,"")</f>
        <v>#N/A</v>
      </c>
      <c r="R632" s="80" t="str">
        <f>REPLACE(INDEX(GroupVertices[Group],MATCH(Edges[[#This Row],[Vertex 2]],GroupVertices[Vertex],0)),1,1,"")</f>
        <v>2</v>
      </c>
      <c r="S632" s="34"/>
      <c r="T632" s="34"/>
      <c r="U632" s="34"/>
      <c r="V632" s="34"/>
      <c r="W632" s="34"/>
      <c r="X632" s="34"/>
      <c r="Y632" s="34"/>
      <c r="Z632" s="34"/>
      <c r="AA632" s="34"/>
    </row>
    <row r="633" spans="1:27" ht="15">
      <c r="A633" s="66" t="s">
        <v>218</v>
      </c>
      <c r="B633" s="66" t="s">
        <v>217</v>
      </c>
      <c r="C633" s="67" t="s">
        <v>4454</v>
      </c>
      <c r="D633" s="68">
        <v>5</v>
      </c>
      <c r="E633" s="69"/>
      <c r="F633" s="70">
        <v>20</v>
      </c>
      <c r="G633" s="67"/>
      <c r="H633" s="71"/>
      <c r="I633" s="72"/>
      <c r="J633" s="72"/>
      <c r="K633" s="34"/>
      <c r="L633" s="79">
        <v>633</v>
      </c>
      <c r="M633" s="79"/>
      <c r="N633" s="74"/>
      <c r="O633" s="81" t="s">
        <v>944</v>
      </c>
      <c r="P633">
        <v>1</v>
      </c>
      <c r="Q633" s="80" t="e">
        <f>REPLACE(INDEX(GroupVertices[Group],MATCH(Edges[[#This Row],[Vertex 1]],GroupVertices[Vertex],0)),1,1,"")</f>
        <v>#N/A</v>
      </c>
      <c r="R633" s="80" t="str">
        <f>REPLACE(INDEX(GroupVertices[Group],MATCH(Edges[[#This Row],[Vertex 2]],GroupVertices[Vertex],0)),1,1,"")</f>
        <v>4</v>
      </c>
      <c r="S633" s="34"/>
      <c r="T633" s="34"/>
      <c r="U633" s="34"/>
      <c r="V633" s="34"/>
      <c r="W633" s="34"/>
      <c r="X633" s="34"/>
      <c r="Y633" s="34"/>
      <c r="Z633" s="34"/>
      <c r="AA633" s="34"/>
    </row>
    <row r="634" spans="1:27" ht="15">
      <c r="A634" s="66" t="s">
        <v>218</v>
      </c>
      <c r="B634" s="66" t="s">
        <v>253</v>
      </c>
      <c r="C634" s="67" t="s">
        <v>4454</v>
      </c>
      <c r="D634" s="68">
        <v>5</v>
      </c>
      <c r="E634" s="69"/>
      <c r="F634" s="70">
        <v>20</v>
      </c>
      <c r="G634" s="67"/>
      <c r="H634" s="71"/>
      <c r="I634" s="72"/>
      <c r="J634" s="72"/>
      <c r="K634" s="34"/>
      <c r="L634" s="79">
        <v>634</v>
      </c>
      <c r="M634" s="79"/>
      <c r="N634" s="74"/>
      <c r="O634" s="81" t="s">
        <v>944</v>
      </c>
      <c r="P634">
        <v>1</v>
      </c>
      <c r="Q634" s="80" t="e">
        <f>REPLACE(INDEX(GroupVertices[Group],MATCH(Edges[[#This Row],[Vertex 1]],GroupVertices[Vertex],0)),1,1,"")</f>
        <v>#N/A</v>
      </c>
      <c r="R634" s="80" t="str">
        <f>REPLACE(INDEX(GroupVertices[Group],MATCH(Edges[[#This Row],[Vertex 2]],GroupVertices[Vertex],0)),1,1,"")</f>
        <v>1</v>
      </c>
      <c r="S634" s="34"/>
      <c r="T634" s="34"/>
      <c r="U634" s="34"/>
      <c r="V634" s="34"/>
      <c r="W634" s="34"/>
      <c r="X634" s="34"/>
      <c r="Y634" s="34"/>
      <c r="Z634" s="34"/>
      <c r="AA634" s="34"/>
    </row>
    <row r="635" spans="1:27" ht="15">
      <c r="A635" s="66" t="s">
        <v>218</v>
      </c>
      <c r="B635" s="66" t="s">
        <v>243</v>
      </c>
      <c r="C635" s="67" t="s">
        <v>4454</v>
      </c>
      <c r="D635" s="68">
        <v>5</v>
      </c>
      <c r="E635" s="69"/>
      <c r="F635" s="70">
        <v>20</v>
      </c>
      <c r="G635" s="67"/>
      <c r="H635" s="71"/>
      <c r="I635" s="72"/>
      <c r="J635" s="72"/>
      <c r="K635" s="34"/>
      <c r="L635" s="79">
        <v>635</v>
      </c>
      <c r="M635" s="79"/>
      <c r="N635" s="74"/>
      <c r="O635" s="81" t="s">
        <v>944</v>
      </c>
      <c r="P635">
        <v>1</v>
      </c>
      <c r="Q635" s="80" t="e">
        <f>REPLACE(INDEX(GroupVertices[Group],MATCH(Edges[[#This Row],[Vertex 1]],GroupVertices[Vertex],0)),1,1,"")</f>
        <v>#N/A</v>
      </c>
      <c r="R635" s="80" t="str">
        <f>REPLACE(INDEX(GroupVertices[Group],MATCH(Edges[[#This Row],[Vertex 2]],GroupVertices[Vertex],0)),1,1,"")</f>
        <v>2</v>
      </c>
      <c r="S635" s="34"/>
      <c r="T635" s="34"/>
      <c r="U635" s="34"/>
      <c r="V635" s="34"/>
      <c r="W635" s="34"/>
      <c r="X635" s="34"/>
      <c r="Y635" s="34"/>
      <c r="Z635" s="34"/>
      <c r="AA635" s="34"/>
    </row>
    <row r="636" spans="1:27" ht="15">
      <c r="A636" s="66" t="s">
        <v>218</v>
      </c>
      <c r="B636" s="66" t="s">
        <v>213</v>
      </c>
      <c r="C636" s="67" t="s">
        <v>4454</v>
      </c>
      <c r="D636" s="68">
        <v>5</v>
      </c>
      <c r="E636" s="69"/>
      <c r="F636" s="70">
        <v>20</v>
      </c>
      <c r="G636" s="67"/>
      <c r="H636" s="71"/>
      <c r="I636" s="72"/>
      <c r="J636" s="72"/>
      <c r="K636" s="34"/>
      <c r="L636" s="79">
        <v>636</v>
      </c>
      <c r="M636" s="79"/>
      <c r="N636" s="74"/>
      <c r="O636" s="81" t="s">
        <v>944</v>
      </c>
      <c r="P636">
        <v>1</v>
      </c>
      <c r="Q636" s="80" t="e">
        <f>REPLACE(INDEX(GroupVertices[Group],MATCH(Edges[[#This Row],[Vertex 1]],GroupVertices[Vertex],0)),1,1,"")</f>
        <v>#N/A</v>
      </c>
      <c r="R636" s="80" t="str">
        <f>REPLACE(INDEX(GroupVertices[Group],MATCH(Edges[[#This Row],[Vertex 2]],GroupVertices[Vertex],0)),1,1,"")</f>
        <v>2</v>
      </c>
      <c r="S636" s="34"/>
      <c r="T636" s="34"/>
      <c r="U636" s="34"/>
      <c r="V636" s="34"/>
      <c r="W636" s="34"/>
      <c r="X636" s="34"/>
      <c r="Y636" s="34"/>
      <c r="Z636" s="34"/>
      <c r="AA636" s="34"/>
    </row>
    <row r="637" spans="1:27" ht="15">
      <c r="A637" s="66" t="s">
        <v>218</v>
      </c>
      <c r="B637" s="66" t="s">
        <v>664</v>
      </c>
      <c r="C637" s="67" t="s">
        <v>4454</v>
      </c>
      <c r="D637" s="68">
        <v>5</v>
      </c>
      <c r="E637" s="69"/>
      <c r="F637" s="70">
        <v>20</v>
      </c>
      <c r="G637" s="67"/>
      <c r="H637" s="71"/>
      <c r="I637" s="72"/>
      <c r="J637" s="72"/>
      <c r="K637" s="34"/>
      <c r="L637" s="79">
        <v>637</v>
      </c>
      <c r="M637" s="79"/>
      <c r="N637" s="74"/>
      <c r="O637" s="81" t="s">
        <v>944</v>
      </c>
      <c r="P637">
        <v>1</v>
      </c>
      <c r="Q637" s="80" t="e">
        <f>REPLACE(INDEX(GroupVertices[Group],MATCH(Edges[[#This Row],[Vertex 1]],GroupVertices[Vertex],0)),1,1,"")</f>
        <v>#N/A</v>
      </c>
      <c r="R637" s="80" t="str">
        <f>REPLACE(INDEX(GroupVertices[Group],MATCH(Edges[[#This Row],[Vertex 2]],GroupVertices[Vertex],0)),1,1,"")</f>
        <v>2</v>
      </c>
      <c r="S637" s="34"/>
      <c r="T637" s="34"/>
      <c r="U637" s="34"/>
      <c r="V637" s="34"/>
      <c r="W637" s="34"/>
      <c r="X637" s="34"/>
      <c r="Y637" s="34"/>
      <c r="Z637" s="34"/>
      <c r="AA637" s="34"/>
    </row>
    <row r="638" spans="1:27" ht="15">
      <c r="A638" s="66" t="s">
        <v>218</v>
      </c>
      <c r="B638" s="66" t="s">
        <v>239</v>
      </c>
      <c r="C638" s="67" t="s">
        <v>4454</v>
      </c>
      <c r="D638" s="68">
        <v>5</v>
      </c>
      <c r="E638" s="69"/>
      <c r="F638" s="70">
        <v>20</v>
      </c>
      <c r="G638" s="67"/>
      <c r="H638" s="71"/>
      <c r="I638" s="72"/>
      <c r="J638" s="72"/>
      <c r="K638" s="34"/>
      <c r="L638" s="79">
        <v>638</v>
      </c>
      <c r="M638" s="79"/>
      <c r="N638" s="74"/>
      <c r="O638" s="81" t="s">
        <v>944</v>
      </c>
      <c r="P638">
        <v>1</v>
      </c>
      <c r="Q638" s="80" t="e">
        <f>REPLACE(INDEX(GroupVertices[Group],MATCH(Edges[[#This Row],[Vertex 1]],GroupVertices[Vertex],0)),1,1,"")</f>
        <v>#N/A</v>
      </c>
      <c r="R638" s="80" t="str">
        <f>REPLACE(INDEX(GroupVertices[Group],MATCH(Edges[[#This Row],[Vertex 2]],GroupVertices[Vertex],0)),1,1,"")</f>
        <v>3</v>
      </c>
      <c r="S638" s="34"/>
      <c r="T638" s="34"/>
      <c r="U638" s="34"/>
      <c r="V638" s="34"/>
      <c r="W638" s="34"/>
      <c r="X638" s="34"/>
      <c r="Y638" s="34"/>
      <c r="Z638" s="34"/>
      <c r="AA638" s="34"/>
    </row>
    <row r="639" spans="1:27" ht="15">
      <c r="A639" s="66" t="s">
        <v>218</v>
      </c>
      <c r="B639" s="66" t="s">
        <v>250</v>
      </c>
      <c r="C639" s="67" t="s">
        <v>4454</v>
      </c>
      <c r="D639" s="68">
        <v>5</v>
      </c>
      <c r="E639" s="69"/>
      <c r="F639" s="70">
        <v>20</v>
      </c>
      <c r="G639" s="67"/>
      <c r="H639" s="71"/>
      <c r="I639" s="72"/>
      <c r="J639" s="72"/>
      <c r="K639" s="34"/>
      <c r="L639" s="79">
        <v>639</v>
      </c>
      <c r="M639" s="79"/>
      <c r="N639" s="74"/>
      <c r="O639" s="81" t="s">
        <v>944</v>
      </c>
      <c r="P639">
        <v>1</v>
      </c>
      <c r="Q639" s="80" t="e">
        <f>REPLACE(INDEX(GroupVertices[Group],MATCH(Edges[[#This Row],[Vertex 1]],GroupVertices[Vertex],0)),1,1,"")</f>
        <v>#N/A</v>
      </c>
      <c r="R639" s="80" t="str">
        <f>REPLACE(INDEX(GroupVertices[Group],MATCH(Edges[[#This Row],[Vertex 2]],GroupVertices[Vertex],0)),1,1,"")</f>
        <v>2</v>
      </c>
      <c r="S639" s="34"/>
      <c r="T639" s="34"/>
      <c r="U639" s="34"/>
      <c r="V639" s="34"/>
      <c r="W639" s="34"/>
      <c r="X639" s="34"/>
      <c r="Y639" s="34"/>
      <c r="Z639" s="34"/>
      <c r="AA639" s="34"/>
    </row>
    <row r="640" spans="1:27" ht="15">
      <c r="A640" s="66" t="s">
        <v>218</v>
      </c>
      <c r="B640" s="66" t="s">
        <v>261</v>
      </c>
      <c r="C640" s="67" t="s">
        <v>4454</v>
      </c>
      <c r="D640" s="68">
        <v>5</v>
      </c>
      <c r="E640" s="69"/>
      <c r="F640" s="70">
        <v>20</v>
      </c>
      <c r="G640" s="67"/>
      <c r="H640" s="71"/>
      <c r="I640" s="72"/>
      <c r="J640" s="72"/>
      <c r="K640" s="34"/>
      <c r="L640" s="79">
        <v>640</v>
      </c>
      <c r="M640" s="79"/>
      <c r="N640" s="74"/>
      <c r="O640" s="81" t="s">
        <v>944</v>
      </c>
      <c r="P640">
        <v>1</v>
      </c>
      <c r="Q640" s="80" t="e">
        <f>REPLACE(INDEX(GroupVertices[Group],MATCH(Edges[[#This Row],[Vertex 1]],GroupVertices[Vertex],0)),1,1,"")</f>
        <v>#N/A</v>
      </c>
      <c r="R640" s="80" t="str">
        <f>REPLACE(INDEX(GroupVertices[Group],MATCH(Edges[[#This Row],[Vertex 2]],GroupVertices[Vertex],0)),1,1,"")</f>
        <v>1</v>
      </c>
      <c r="S640" s="34"/>
      <c r="T640" s="34"/>
      <c r="U640" s="34"/>
      <c r="V640" s="34"/>
      <c r="W640" s="34"/>
      <c r="X640" s="34"/>
      <c r="Y640" s="34"/>
      <c r="Z640" s="34"/>
      <c r="AA640" s="34"/>
    </row>
    <row r="641" spans="1:27" ht="15">
      <c r="A641" s="66" t="s">
        <v>243</v>
      </c>
      <c r="B641" s="66" t="s">
        <v>218</v>
      </c>
      <c r="C641" s="67" t="s">
        <v>4454</v>
      </c>
      <c r="D641" s="68">
        <v>5</v>
      </c>
      <c r="E641" s="69"/>
      <c r="F641" s="70">
        <v>20</v>
      </c>
      <c r="G641" s="67"/>
      <c r="H641" s="71"/>
      <c r="I641" s="72"/>
      <c r="J641" s="72"/>
      <c r="K641" s="34"/>
      <c r="L641" s="79">
        <v>641</v>
      </c>
      <c r="M641" s="79"/>
      <c r="N641" s="74"/>
      <c r="O641" s="81" t="s">
        <v>944</v>
      </c>
      <c r="P641">
        <v>1</v>
      </c>
      <c r="Q641" s="80" t="str">
        <f>REPLACE(INDEX(GroupVertices[Group],MATCH(Edges[[#This Row],[Vertex 1]],GroupVertices[Vertex],0)),1,1,"")</f>
        <v>2</v>
      </c>
      <c r="R641" s="80" t="e">
        <f>REPLACE(INDEX(GroupVertices[Group],MATCH(Edges[[#This Row],[Vertex 2]],GroupVertices[Vertex],0)),1,1,"")</f>
        <v>#N/A</v>
      </c>
      <c r="S641" s="34"/>
      <c r="T641" s="34"/>
      <c r="U641" s="34"/>
      <c r="V641" s="34"/>
      <c r="W641" s="34"/>
      <c r="X641" s="34"/>
      <c r="Y641" s="34"/>
      <c r="Z641" s="34"/>
      <c r="AA641" s="34"/>
    </row>
    <row r="642" spans="1:27" ht="15">
      <c r="A642" s="66" t="s">
        <v>216</v>
      </c>
      <c r="B642" s="66" t="s">
        <v>665</v>
      </c>
      <c r="C642" s="67" t="s">
        <v>4454</v>
      </c>
      <c r="D642" s="68">
        <v>5</v>
      </c>
      <c r="E642" s="69"/>
      <c r="F642" s="70">
        <v>20</v>
      </c>
      <c r="G642" s="67"/>
      <c r="H642" s="71"/>
      <c r="I642" s="72"/>
      <c r="J642" s="72"/>
      <c r="K642" s="34" t="s">
        <v>65</v>
      </c>
      <c r="L642" s="79">
        <v>642</v>
      </c>
      <c r="M642" s="79"/>
      <c r="N642" s="74"/>
      <c r="O642" s="81" t="s">
        <v>944</v>
      </c>
      <c r="P642">
        <v>1</v>
      </c>
      <c r="Q642" s="80" t="str">
        <f>REPLACE(INDEX(GroupVertices[Group],MATCH(Edges[[#This Row],[Vertex 1]],GroupVertices[Vertex],0)),1,1,"")</f>
        <v>3</v>
      </c>
      <c r="R642" s="80" t="str">
        <f>REPLACE(INDEX(GroupVertices[Group],MATCH(Edges[[#This Row],[Vertex 2]],GroupVertices[Vertex],0)),1,1,"")</f>
        <v>3</v>
      </c>
      <c r="S642" s="34"/>
      <c r="T642" s="34"/>
      <c r="U642" s="34"/>
      <c r="V642" s="34"/>
      <c r="W642" s="34"/>
      <c r="X642" s="34"/>
      <c r="Y642" s="34"/>
      <c r="Z642" s="34"/>
      <c r="AA642" s="34"/>
    </row>
    <row r="643" spans="1:27" ht="15">
      <c r="A643" s="66" t="s">
        <v>219</v>
      </c>
      <c r="B643" s="66" t="s">
        <v>665</v>
      </c>
      <c r="C643" s="67" t="s">
        <v>4454</v>
      </c>
      <c r="D643" s="68">
        <v>5</v>
      </c>
      <c r="E643" s="69"/>
      <c r="F643" s="70">
        <v>20</v>
      </c>
      <c r="G643" s="67"/>
      <c r="H643" s="71"/>
      <c r="I643" s="72"/>
      <c r="J643" s="72"/>
      <c r="K643" s="34" t="s">
        <v>65</v>
      </c>
      <c r="L643" s="79">
        <v>643</v>
      </c>
      <c r="M643" s="79"/>
      <c r="N643" s="74"/>
      <c r="O643" s="81" t="s">
        <v>944</v>
      </c>
      <c r="P643">
        <v>1</v>
      </c>
      <c r="Q643" s="80" t="str">
        <f>REPLACE(INDEX(GroupVertices[Group],MATCH(Edges[[#This Row],[Vertex 1]],GroupVertices[Vertex],0)),1,1,"")</f>
        <v>3</v>
      </c>
      <c r="R643" s="80" t="str">
        <f>REPLACE(INDEX(GroupVertices[Group],MATCH(Edges[[#This Row],[Vertex 2]],GroupVertices[Vertex],0)),1,1,"")</f>
        <v>3</v>
      </c>
      <c r="S643" s="34"/>
      <c r="T643" s="34"/>
      <c r="U643" s="34"/>
      <c r="V643" s="34"/>
      <c r="W643" s="34"/>
      <c r="X643" s="34"/>
      <c r="Y643" s="34"/>
      <c r="Z643" s="34"/>
      <c r="AA643" s="34"/>
    </row>
    <row r="644" spans="1:27" ht="15">
      <c r="A644" s="66" t="s">
        <v>222</v>
      </c>
      <c r="B644" s="66" t="s">
        <v>665</v>
      </c>
      <c r="C644" s="67" t="s">
        <v>4454</v>
      </c>
      <c r="D644" s="68">
        <v>5</v>
      </c>
      <c r="E644" s="69"/>
      <c r="F644" s="70">
        <v>20</v>
      </c>
      <c r="G644" s="67"/>
      <c r="H644" s="71"/>
      <c r="I644" s="72"/>
      <c r="J644" s="72"/>
      <c r="K644" s="34" t="s">
        <v>65</v>
      </c>
      <c r="L644" s="79">
        <v>644</v>
      </c>
      <c r="M644" s="79"/>
      <c r="N644" s="74"/>
      <c r="O644" s="81" t="s">
        <v>944</v>
      </c>
      <c r="P644">
        <v>1</v>
      </c>
      <c r="Q644" s="80" t="str">
        <f>REPLACE(INDEX(GroupVertices[Group],MATCH(Edges[[#This Row],[Vertex 1]],GroupVertices[Vertex],0)),1,1,"")</f>
        <v>2</v>
      </c>
      <c r="R644" s="80" t="str">
        <f>REPLACE(INDEX(GroupVertices[Group],MATCH(Edges[[#This Row],[Vertex 2]],GroupVertices[Vertex],0)),1,1,"")</f>
        <v>3</v>
      </c>
      <c r="S644" s="34"/>
      <c r="T644" s="34"/>
      <c r="U644" s="34"/>
      <c r="V644" s="34"/>
      <c r="W644" s="34"/>
      <c r="X644" s="34"/>
      <c r="Y644" s="34"/>
      <c r="Z644" s="34"/>
      <c r="AA644" s="34"/>
    </row>
    <row r="645" spans="1:27" ht="15">
      <c r="A645" s="66" t="s">
        <v>228</v>
      </c>
      <c r="B645" s="66" t="s">
        <v>665</v>
      </c>
      <c r="C645" s="67" t="s">
        <v>4454</v>
      </c>
      <c r="D645" s="68">
        <v>5</v>
      </c>
      <c r="E645" s="69"/>
      <c r="F645" s="70">
        <v>20</v>
      </c>
      <c r="G645" s="67"/>
      <c r="H645" s="71"/>
      <c r="I645" s="72"/>
      <c r="J645" s="72"/>
      <c r="K645" s="34" t="s">
        <v>65</v>
      </c>
      <c r="L645" s="79">
        <v>645</v>
      </c>
      <c r="M645" s="79"/>
      <c r="N645" s="74"/>
      <c r="O645" s="81" t="s">
        <v>944</v>
      </c>
      <c r="P645">
        <v>1</v>
      </c>
      <c r="Q645" s="80" t="str">
        <f>REPLACE(INDEX(GroupVertices[Group],MATCH(Edges[[#This Row],[Vertex 1]],GroupVertices[Vertex],0)),1,1,"")</f>
        <v>3</v>
      </c>
      <c r="R645" s="80" t="str">
        <f>REPLACE(INDEX(GroupVertices[Group],MATCH(Edges[[#This Row],[Vertex 2]],GroupVertices[Vertex],0)),1,1,"")</f>
        <v>3</v>
      </c>
      <c r="S645" s="34"/>
      <c r="T645" s="34"/>
      <c r="U645" s="34"/>
      <c r="V645" s="34"/>
      <c r="W645" s="34"/>
      <c r="X645" s="34"/>
      <c r="Y645" s="34"/>
      <c r="Z645" s="34"/>
      <c r="AA645" s="34"/>
    </row>
    <row r="646" spans="1:27" ht="15">
      <c r="A646" s="66" t="s">
        <v>243</v>
      </c>
      <c r="B646" s="66" t="s">
        <v>665</v>
      </c>
      <c r="C646" s="67" t="s">
        <v>4454</v>
      </c>
      <c r="D646" s="68">
        <v>5</v>
      </c>
      <c r="E646" s="69"/>
      <c r="F646" s="70">
        <v>20</v>
      </c>
      <c r="G646" s="67"/>
      <c r="H646" s="71"/>
      <c r="I646" s="72"/>
      <c r="J646" s="72"/>
      <c r="K646" s="34" t="s">
        <v>65</v>
      </c>
      <c r="L646" s="79">
        <v>646</v>
      </c>
      <c r="M646" s="79"/>
      <c r="N646" s="74"/>
      <c r="O646" s="81" t="s">
        <v>944</v>
      </c>
      <c r="P646">
        <v>1</v>
      </c>
      <c r="Q646" s="80" t="str">
        <f>REPLACE(INDEX(GroupVertices[Group],MATCH(Edges[[#This Row],[Vertex 1]],GroupVertices[Vertex],0)),1,1,"")</f>
        <v>2</v>
      </c>
      <c r="R646" s="80" t="str">
        <f>REPLACE(INDEX(GroupVertices[Group],MATCH(Edges[[#This Row],[Vertex 2]],GroupVertices[Vertex],0)),1,1,"")</f>
        <v>3</v>
      </c>
      <c r="S646" s="34"/>
      <c r="T646" s="34"/>
      <c r="U646" s="34"/>
      <c r="V646" s="34"/>
      <c r="W646" s="34"/>
      <c r="X646" s="34"/>
      <c r="Y646" s="34"/>
      <c r="Z646" s="34"/>
      <c r="AA646" s="34"/>
    </row>
    <row r="647" spans="1:27" ht="15">
      <c r="A647" s="66" t="s">
        <v>243</v>
      </c>
      <c r="B647" s="66" t="s">
        <v>666</v>
      </c>
      <c r="C647" s="67" t="s">
        <v>4454</v>
      </c>
      <c r="D647" s="68">
        <v>5</v>
      </c>
      <c r="E647" s="69"/>
      <c r="F647" s="70">
        <v>20</v>
      </c>
      <c r="G647" s="67"/>
      <c r="H647" s="71"/>
      <c r="I647" s="72"/>
      <c r="J647" s="72"/>
      <c r="K647" s="34"/>
      <c r="L647" s="79">
        <v>647</v>
      </c>
      <c r="M647" s="79"/>
      <c r="N647" s="74"/>
      <c r="O647" s="81" t="s">
        <v>944</v>
      </c>
      <c r="P647">
        <v>1</v>
      </c>
      <c r="Q647" s="80" t="str">
        <f>REPLACE(INDEX(GroupVertices[Group],MATCH(Edges[[#This Row],[Vertex 1]],GroupVertices[Vertex],0)),1,1,"")</f>
        <v>2</v>
      </c>
      <c r="R647" s="80" t="e">
        <f>REPLACE(INDEX(GroupVertices[Group],MATCH(Edges[[#This Row],[Vertex 2]],GroupVertices[Vertex],0)),1,1,"")</f>
        <v>#N/A</v>
      </c>
      <c r="S647" s="34"/>
      <c r="T647" s="34"/>
      <c r="U647" s="34"/>
      <c r="V647" s="34"/>
      <c r="W647" s="34"/>
      <c r="X647" s="34"/>
      <c r="Y647" s="34"/>
      <c r="Z647" s="34"/>
      <c r="AA647" s="34"/>
    </row>
    <row r="648" spans="1:27" ht="15">
      <c r="A648" s="66" t="s">
        <v>243</v>
      </c>
      <c r="B648" s="66" t="s">
        <v>667</v>
      </c>
      <c r="C648" s="67" t="s">
        <v>4454</v>
      </c>
      <c r="D648" s="68">
        <v>5</v>
      </c>
      <c r="E648" s="69"/>
      <c r="F648" s="70">
        <v>20</v>
      </c>
      <c r="G648" s="67"/>
      <c r="H648" s="71"/>
      <c r="I648" s="72"/>
      <c r="J648" s="72"/>
      <c r="K648" s="34"/>
      <c r="L648" s="79">
        <v>648</v>
      </c>
      <c r="M648" s="79"/>
      <c r="N648" s="74"/>
      <c r="O648" s="81" t="s">
        <v>944</v>
      </c>
      <c r="P648">
        <v>1</v>
      </c>
      <c r="Q648" s="80" t="str">
        <f>REPLACE(INDEX(GroupVertices[Group],MATCH(Edges[[#This Row],[Vertex 1]],GroupVertices[Vertex],0)),1,1,"")</f>
        <v>2</v>
      </c>
      <c r="R648" s="80" t="e">
        <f>REPLACE(INDEX(GroupVertices[Group],MATCH(Edges[[#This Row],[Vertex 2]],GroupVertices[Vertex],0)),1,1,"")</f>
        <v>#N/A</v>
      </c>
      <c r="S648" s="34"/>
      <c r="T648" s="34"/>
      <c r="U648" s="34"/>
      <c r="V648" s="34"/>
      <c r="W648" s="34"/>
      <c r="X648" s="34"/>
      <c r="Y648" s="34"/>
      <c r="Z648" s="34"/>
      <c r="AA648" s="34"/>
    </row>
    <row r="649" spans="1:27" ht="15">
      <c r="A649" s="66" t="s">
        <v>244</v>
      </c>
      <c r="B649" s="66" t="s">
        <v>668</v>
      </c>
      <c r="C649" s="67" t="s">
        <v>4454</v>
      </c>
      <c r="D649" s="68">
        <v>5</v>
      </c>
      <c r="E649" s="69"/>
      <c r="F649" s="70">
        <v>20</v>
      </c>
      <c r="G649" s="67"/>
      <c r="H649" s="71"/>
      <c r="I649" s="72"/>
      <c r="J649" s="72"/>
      <c r="K649" s="34"/>
      <c r="L649" s="79">
        <v>649</v>
      </c>
      <c r="M649" s="79"/>
      <c r="N649" s="74"/>
      <c r="O649" s="81" t="s">
        <v>944</v>
      </c>
      <c r="P649">
        <v>1</v>
      </c>
      <c r="Q649" s="80" t="str">
        <f>REPLACE(INDEX(GroupVertices[Group],MATCH(Edges[[#This Row],[Vertex 1]],GroupVertices[Vertex],0)),1,1,"")</f>
        <v>2</v>
      </c>
      <c r="R649" s="80" t="e">
        <f>REPLACE(INDEX(GroupVertices[Group],MATCH(Edges[[#This Row],[Vertex 2]],GroupVertices[Vertex],0)),1,1,"")</f>
        <v>#N/A</v>
      </c>
      <c r="S649" s="34"/>
      <c r="T649" s="34"/>
      <c r="U649" s="34"/>
      <c r="V649" s="34"/>
      <c r="W649" s="34"/>
      <c r="X649" s="34"/>
      <c r="Y649" s="34"/>
      <c r="Z649" s="34"/>
      <c r="AA649" s="34"/>
    </row>
    <row r="650" spans="1:27" ht="15">
      <c r="A650" s="66" t="s">
        <v>244</v>
      </c>
      <c r="B650" s="66" t="s">
        <v>669</v>
      </c>
      <c r="C650" s="67" t="s">
        <v>4454</v>
      </c>
      <c r="D650" s="68">
        <v>5</v>
      </c>
      <c r="E650" s="69"/>
      <c r="F650" s="70">
        <v>20</v>
      </c>
      <c r="G650" s="67"/>
      <c r="H650" s="71"/>
      <c r="I650" s="72"/>
      <c r="J650" s="72"/>
      <c r="K650" s="34"/>
      <c r="L650" s="79">
        <v>650</v>
      </c>
      <c r="M650" s="79"/>
      <c r="N650" s="74"/>
      <c r="O650" s="81" t="s">
        <v>944</v>
      </c>
      <c r="P650">
        <v>1</v>
      </c>
      <c r="Q650" s="80" t="str">
        <f>REPLACE(INDEX(GroupVertices[Group],MATCH(Edges[[#This Row],[Vertex 1]],GroupVertices[Vertex],0)),1,1,"")</f>
        <v>2</v>
      </c>
      <c r="R650" s="80" t="e">
        <f>REPLACE(INDEX(GroupVertices[Group],MATCH(Edges[[#This Row],[Vertex 2]],GroupVertices[Vertex],0)),1,1,"")</f>
        <v>#N/A</v>
      </c>
      <c r="S650" s="34"/>
      <c r="T650" s="34"/>
      <c r="U650" s="34"/>
      <c r="V650" s="34"/>
      <c r="W650" s="34"/>
      <c r="X650" s="34"/>
      <c r="Y650" s="34"/>
      <c r="Z650" s="34"/>
      <c r="AA650" s="34"/>
    </row>
    <row r="651" spans="1:27" ht="15">
      <c r="A651" s="66" t="s">
        <v>244</v>
      </c>
      <c r="B651" s="66" t="s">
        <v>670</v>
      </c>
      <c r="C651" s="67" t="s">
        <v>4454</v>
      </c>
      <c r="D651" s="68">
        <v>5</v>
      </c>
      <c r="E651" s="69"/>
      <c r="F651" s="70">
        <v>20</v>
      </c>
      <c r="G651" s="67"/>
      <c r="H651" s="71"/>
      <c r="I651" s="72"/>
      <c r="J651" s="72"/>
      <c r="K651" s="34"/>
      <c r="L651" s="79">
        <v>651</v>
      </c>
      <c r="M651" s="79"/>
      <c r="N651" s="74"/>
      <c r="O651" s="81" t="s">
        <v>944</v>
      </c>
      <c r="P651">
        <v>1</v>
      </c>
      <c r="Q651" s="80" t="str">
        <f>REPLACE(INDEX(GroupVertices[Group],MATCH(Edges[[#This Row],[Vertex 1]],GroupVertices[Vertex],0)),1,1,"")</f>
        <v>2</v>
      </c>
      <c r="R651" s="80" t="e">
        <f>REPLACE(INDEX(GroupVertices[Group],MATCH(Edges[[#This Row],[Vertex 2]],GroupVertices[Vertex],0)),1,1,"")</f>
        <v>#N/A</v>
      </c>
      <c r="S651" s="34"/>
      <c r="T651" s="34"/>
      <c r="U651" s="34"/>
      <c r="V651" s="34"/>
      <c r="W651" s="34"/>
      <c r="X651" s="34"/>
      <c r="Y651" s="34"/>
      <c r="Z651" s="34"/>
      <c r="AA651" s="34"/>
    </row>
    <row r="652" spans="1:27" ht="15">
      <c r="A652" s="66" t="s">
        <v>215</v>
      </c>
      <c r="B652" s="66" t="s">
        <v>219</v>
      </c>
      <c r="C652" s="67" t="s">
        <v>4454</v>
      </c>
      <c r="D652" s="68">
        <v>5</v>
      </c>
      <c r="E652" s="69"/>
      <c r="F652" s="70">
        <v>20</v>
      </c>
      <c r="G652" s="67"/>
      <c r="H652" s="71"/>
      <c r="I652" s="72"/>
      <c r="J652" s="72"/>
      <c r="K652" s="34" t="s">
        <v>66</v>
      </c>
      <c r="L652" s="79">
        <v>652</v>
      </c>
      <c r="M652" s="79"/>
      <c r="N652" s="74"/>
      <c r="O652" s="81" t="s">
        <v>944</v>
      </c>
      <c r="P652">
        <v>1</v>
      </c>
      <c r="Q652" s="80" t="str">
        <f>REPLACE(INDEX(GroupVertices[Group],MATCH(Edges[[#This Row],[Vertex 1]],GroupVertices[Vertex],0)),1,1,"")</f>
        <v>3</v>
      </c>
      <c r="R652" s="80" t="str">
        <f>REPLACE(INDEX(GroupVertices[Group],MATCH(Edges[[#This Row],[Vertex 2]],GroupVertices[Vertex],0)),1,1,"")</f>
        <v>3</v>
      </c>
      <c r="S652" s="34"/>
      <c r="T652" s="34"/>
      <c r="U652" s="34"/>
      <c r="V652" s="34"/>
      <c r="W652" s="34"/>
      <c r="X652" s="34"/>
      <c r="Y652" s="34"/>
      <c r="Z652" s="34"/>
      <c r="AA652" s="34"/>
    </row>
    <row r="653" spans="1:27" ht="15">
      <c r="A653" s="66" t="s">
        <v>219</v>
      </c>
      <c r="B653" s="66" t="s">
        <v>242</v>
      </c>
      <c r="C653" s="67" t="s">
        <v>4454</v>
      </c>
      <c r="D653" s="68">
        <v>5</v>
      </c>
      <c r="E653" s="69"/>
      <c r="F653" s="70">
        <v>20</v>
      </c>
      <c r="G653" s="67"/>
      <c r="H653" s="71"/>
      <c r="I653" s="72"/>
      <c r="J653" s="72"/>
      <c r="K653" s="34" t="s">
        <v>65</v>
      </c>
      <c r="L653" s="79">
        <v>653</v>
      </c>
      <c r="M653" s="79"/>
      <c r="N653" s="74"/>
      <c r="O653" s="81" t="s">
        <v>944</v>
      </c>
      <c r="P653">
        <v>1</v>
      </c>
      <c r="Q653" s="80" t="str">
        <f>REPLACE(INDEX(GroupVertices[Group],MATCH(Edges[[#This Row],[Vertex 1]],GroupVertices[Vertex],0)),1,1,"")</f>
        <v>3</v>
      </c>
      <c r="R653" s="80" t="str">
        <f>REPLACE(INDEX(GroupVertices[Group],MATCH(Edges[[#This Row],[Vertex 2]],GroupVertices[Vertex],0)),1,1,"")</f>
        <v>1</v>
      </c>
      <c r="S653" s="34"/>
      <c r="T653" s="34"/>
      <c r="U653" s="34"/>
      <c r="V653" s="34"/>
      <c r="W653" s="34"/>
      <c r="X653" s="34"/>
      <c r="Y653" s="34"/>
      <c r="Z653" s="34"/>
      <c r="AA653" s="34"/>
    </row>
    <row r="654" spans="1:27" ht="15">
      <c r="A654" s="66" t="s">
        <v>219</v>
      </c>
      <c r="B654" s="66" t="s">
        <v>257</v>
      </c>
      <c r="C654" s="67" t="s">
        <v>4454</v>
      </c>
      <c r="D654" s="68">
        <v>5</v>
      </c>
      <c r="E654" s="69"/>
      <c r="F654" s="70">
        <v>20</v>
      </c>
      <c r="G654" s="67"/>
      <c r="H654" s="71"/>
      <c r="I654" s="72"/>
      <c r="J654" s="72"/>
      <c r="K654" s="34" t="s">
        <v>65</v>
      </c>
      <c r="L654" s="79">
        <v>654</v>
      </c>
      <c r="M654" s="79"/>
      <c r="N654" s="74"/>
      <c r="O654" s="81" t="s">
        <v>944</v>
      </c>
      <c r="P654">
        <v>1</v>
      </c>
      <c r="Q654" s="80" t="str">
        <f>REPLACE(INDEX(GroupVertices[Group],MATCH(Edges[[#This Row],[Vertex 1]],GroupVertices[Vertex],0)),1,1,"")</f>
        <v>3</v>
      </c>
      <c r="R654" s="80" t="str">
        <f>REPLACE(INDEX(GroupVertices[Group],MATCH(Edges[[#This Row],[Vertex 2]],GroupVertices[Vertex],0)),1,1,"")</f>
        <v>2</v>
      </c>
      <c r="S654" s="34"/>
      <c r="T654" s="34"/>
      <c r="U654" s="34"/>
      <c r="V654" s="34"/>
      <c r="W654" s="34"/>
      <c r="X654" s="34"/>
      <c r="Y654" s="34"/>
      <c r="Z654" s="34"/>
      <c r="AA654" s="34"/>
    </row>
    <row r="655" spans="1:27" ht="15">
      <c r="A655" s="66" t="s">
        <v>219</v>
      </c>
      <c r="B655" s="66" t="s">
        <v>226</v>
      </c>
      <c r="C655" s="67" t="s">
        <v>4454</v>
      </c>
      <c r="D655" s="68">
        <v>5</v>
      </c>
      <c r="E655" s="69"/>
      <c r="F655" s="70">
        <v>20</v>
      </c>
      <c r="G655" s="67"/>
      <c r="H655" s="71"/>
      <c r="I655" s="72"/>
      <c r="J655" s="72"/>
      <c r="K655" s="34" t="s">
        <v>65</v>
      </c>
      <c r="L655" s="79">
        <v>655</v>
      </c>
      <c r="M655" s="79"/>
      <c r="N655" s="74"/>
      <c r="O655" s="81" t="s">
        <v>944</v>
      </c>
      <c r="P655">
        <v>1</v>
      </c>
      <c r="Q655" s="80" t="str">
        <f>REPLACE(INDEX(GroupVertices[Group],MATCH(Edges[[#This Row],[Vertex 1]],GroupVertices[Vertex],0)),1,1,"")</f>
        <v>3</v>
      </c>
      <c r="R655" s="80" t="str">
        <f>REPLACE(INDEX(GroupVertices[Group],MATCH(Edges[[#This Row],[Vertex 2]],GroupVertices[Vertex],0)),1,1,"")</f>
        <v>4</v>
      </c>
      <c r="S655" s="34"/>
      <c r="T655" s="34"/>
      <c r="U655" s="34"/>
      <c r="V655" s="34"/>
      <c r="W655" s="34"/>
      <c r="X655" s="34"/>
      <c r="Y655" s="34"/>
      <c r="Z655" s="34"/>
      <c r="AA655" s="34"/>
    </row>
    <row r="656" spans="1:27" ht="15">
      <c r="A656" s="66" t="s">
        <v>219</v>
      </c>
      <c r="B656" s="66" t="s">
        <v>258</v>
      </c>
      <c r="C656" s="67" t="s">
        <v>4454</v>
      </c>
      <c r="D656" s="68">
        <v>5</v>
      </c>
      <c r="E656" s="69"/>
      <c r="F656" s="70">
        <v>20</v>
      </c>
      <c r="G656" s="67"/>
      <c r="H656" s="71"/>
      <c r="I656" s="72"/>
      <c r="J656" s="72"/>
      <c r="K656" s="34" t="s">
        <v>65</v>
      </c>
      <c r="L656" s="79">
        <v>656</v>
      </c>
      <c r="M656" s="79"/>
      <c r="N656" s="74"/>
      <c r="O656" s="81" t="s">
        <v>944</v>
      </c>
      <c r="P656">
        <v>1</v>
      </c>
      <c r="Q656" s="80" t="str">
        <f>REPLACE(INDEX(GroupVertices[Group],MATCH(Edges[[#This Row],[Vertex 1]],GroupVertices[Vertex],0)),1,1,"")</f>
        <v>3</v>
      </c>
      <c r="R656" s="80" t="str">
        <f>REPLACE(INDEX(GroupVertices[Group],MATCH(Edges[[#This Row],[Vertex 2]],GroupVertices[Vertex],0)),1,1,"")</f>
        <v>1</v>
      </c>
      <c r="S656" s="34"/>
      <c r="T656" s="34"/>
      <c r="U656" s="34"/>
      <c r="V656" s="34"/>
      <c r="W656" s="34"/>
      <c r="X656" s="34"/>
      <c r="Y656" s="34"/>
      <c r="Z656" s="34"/>
      <c r="AA656" s="34"/>
    </row>
    <row r="657" spans="1:27" ht="15">
      <c r="A657" s="66" t="s">
        <v>219</v>
      </c>
      <c r="B657" s="66" t="s">
        <v>256</v>
      </c>
      <c r="C657" s="67" t="s">
        <v>4454</v>
      </c>
      <c r="D657" s="68">
        <v>5</v>
      </c>
      <c r="E657" s="69"/>
      <c r="F657" s="70">
        <v>20</v>
      </c>
      <c r="G657" s="67"/>
      <c r="H657" s="71"/>
      <c r="I657" s="72"/>
      <c r="J657" s="72"/>
      <c r="K657" s="34" t="s">
        <v>65</v>
      </c>
      <c r="L657" s="79">
        <v>657</v>
      </c>
      <c r="M657" s="79"/>
      <c r="N657" s="74"/>
      <c r="O657" s="81" t="s">
        <v>944</v>
      </c>
      <c r="P657">
        <v>1</v>
      </c>
      <c r="Q657" s="80" t="str">
        <f>REPLACE(INDEX(GroupVertices[Group],MATCH(Edges[[#This Row],[Vertex 1]],GroupVertices[Vertex],0)),1,1,"")</f>
        <v>3</v>
      </c>
      <c r="R657" s="80" t="str">
        <f>REPLACE(INDEX(GroupVertices[Group],MATCH(Edges[[#This Row],[Vertex 2]],GroupVertices[Vertex],0)),1,1,"")</f>
        <v>1</v>
      </c>
      <c r="S657" s="34"/>
      <c r="T657" s="34"/>
      <c r="U657" s="34"/>
      <c r="V657" s="34"/>
      <c r="W657" s="34"/>
      <c r="X657" s="34"/>
      <c r="Y657" s="34"/>
      <c r="Z657" s="34"/>
      <c r="AA657" s="34"/>
    </row>
    <row r="658" spans="1:27" ht="15">
      <c r="A658" s="66" t="s">
        <v>219</v>
      </c>
      <c r="B658" s="66" t="s">
        <v>235</v>
      </c>
      <c r="C658" s="67" t="s">
        <v>4454</v>
      </c>
      <c r="D658" s="68">
        <v>5</v>
      </c>
      <c r="E658" s="69"/>
      <c r="F658" s="70">
        <v>20</v>
      </c>
      <c r="G658" s="67"/>
      <c r="H658" s="71"/>
      <c r="I658" s="72"/>
      <c r="J658" s="72"/>
      <c r="K658" s="34" t="s">
        <v>65</v>
      </c>
      <c r="L658" s="79">
        <v>658</v>
      </c>
      <c r="M658" s="79"/>
      <c r="N658" s="74"/>
      <c r="O658" s="81" t="s">
        <v>944</v>
      </c>
      <c r="P658">
        <v>1</v>
      </c>
      <c r="Q658" s="80" t="str">
        <f>REPLACE(INDEX(GroupVertices[Group],MATCH(Edges[[#This Row],[Vertex 1]],GroupVertices[Vertex],0)),1,1,"")</f>
        <v>3</v>
      </c>
      <c r="R658" s="80" t="str">
        <f>REPLACE(INDEX(GroupVertices[Group],MATCH(Edges[[#This Row],[Vertex 2]],GroupVertices[Vertex],0)),1,1,"")</f>
        <v>2</v>
      </c>
      <c r="S658" s="34"/>
      <c r="T658" s="34"/>
      <c r="U658" s="34"/>
      <c r="V658" s="34"/>
      <c r="W658" s="34"/>
      <c r="X658" s="34"/>
      <c r="Y658" s="34"/>
      <c r="Z658" s="34"/>
      <c r="AA658" s="34"/>
    </row>
    <row r="659" spans="1:27" ht="15">
      <c r="A659" s="66" t="s">
        <v>219</v>
      </c>
      <c r="B659" s="66" t="s">
        <v>251</v>
      </c>
      <c r="C659" s="67" t="s">
        <v>4454</v>
      </c>
      <c r="D659" s="68">
        <v>5</v>
      </c>
      <c r="E659" s="69"/>
      <c r="F659" s="70">
        <v>20</v>
      </c>
      <c r="G659" s="67"/>
      <c r="H659" s="71"/>
      <c r="I659" s="72"/>
      <c r="J659" s="72"/>
      <c r="K659" s="34" t="s">
        <v>65</v>
      </c>
      <c r="L659" s="79">
        <v>659</v>
      </c>
      <c r="M659" s="79"/>
      <c r="N659" s="74"/>
      <c r="O659" s="81" t="s">
        <v>944</v>
      </c>
      <c r="P659">
        <v>1</v>
      </c>
      <c r="Q659" s="80" t="str">
        <f>REPLACE(INDEX(GroupVertices[Group],MATCH(Edges[[#This Row],[Vertex 1]],GroupVertices[Vertex],0)),1,1,"")</f>
        <v>3</v>
      </c>
      <c r="R659" s="80" t="str">
        <f>REPLACE(INDEX(GroupVertices[Group],MATCH(Edges[[#This Row],[Vertex 2]],GroupVertices[Vertex],0)),1,1,"")</f>
        <v>2</v>
      </c>
      <c r="S659" s="34"/>
      <c r="T659" s="34"/>
      <c r="U659" s="34"/>
      <c r="V659" s="34"/>
      <c r="W659" s="34"/>
      <c r="X659" s="34"/>
      <c r="Y659" s="34"/>
      <c r="Z659" s="34"/>
      <c r="AA659" s="34"/>
    </row>
    <row r="660" spans="1:27" ht="15">
      <c r="A660" s="66" t="s">
        <v>219</v>
      </c>
      <c r="B660" s="66" t="s">
        <v>508</v>
      </c>
      <c r="C660" s="67" t="s">
        <v>4454</v>
      </c>
      <c r="D660" s="68">
        <v>5</v>
      </c>
      <c r="E660" s="69"/>
      <c r="F660" s="70">
        <v>20</v>
      </c>
      <c r="G660" s="67"/>
      <c r="H660" s="71"/>
      <c r="I660" s="72"/>
      <c r="J660" s="72"/>
      <c r="K660" s="34" t="s">
        <v>65</v>
      </c>
      <c r="L660" s="79">
        <v>660</v>
      </c>
      <c r="M660" s="79"/>
      <c r="N660" s="74"/>
      <c r="O660" s="81" t="s">
        <v>944</v>
      </c>
      <c r="P660">
        <v>1</v>
      </c>
      <c r="Q660" s="80" t="str">
        <f>REPLACE(INDEX(GroupVertices[Group],MATCH(Edges[[#This Row],[Vertex 1]],GroupVertices[Vertex],0)),1,1,"")</f>
        <v>3</v>
      </c>
      <c r="R660" s="80" t="str">
        <f>REPLACE(INDEX(GroupVertices[Group],MATCH(Edges[[#This Row],[Vertex 2]],GroupVertices[Vertex],0)),1,1,"")</f>
        <v>1</v>
      </c>
      <c r="S660" s="34"/>
      <c r="T660" s="34"/>
      <c r="U660" s="34"/>
      <c r="V660" s="34"/>
      <c r="W660" s="34"/>
      <c r="X660" s="34"/>
      <c r="Y660" s="34"/>
      <c r="Z660" s="34"/>
      <c r="AA660" s="34"/>
    </row>
    <row r="661" spans="1:27" ht="15">
      <c r="A661" s="66" t="s">
        <v>219</v>
      </c>
      <c r="B661" s="66" t="s">
        <v>671</v>
      </c>
      <c r="C661" s="67" t="s">
        <v>4454</v>
      </c>
      <c r="D661" s="68">
        <v>5</v>
      </c>
      <c r="E661" s="69"/>
      <c r="F661" s="70">
        <v>20</v>
      </c>
      <c r="G661" s="67"/>
      <c r="H661" s="71"/>
      <c r="I661" s="72"/>
      <c r="J661" s="72"/>
      <c r="K661" s="34" t="s">
        <v>65</v>
      </c>
      <c r="L661" s="79">
        <v>661</v>
      </c>
      <c r="M661" s="79"/>
      <c r="N661" s="74"/>
      <c r="O661" s="81" t="s">
        <v>944</v>
      </c>
      <c r="P661">
        <v>1</v>
      </c>
      <c r="Q661" s="80" t="str">
        <f>REPLACE(INDEX(GroupVertices[Group],MATCH(Edges[[#This Row],[Vertex 1]],GroupVertices[Vertex],0)),1,1,"")</f>
        <v>3</v>
      </c>
      <c r="R661" s="80" t="str">
        <f>REPLACE(INDEX(GroupVertices[Group],MATCH(Edges[[#This Row],[Vertex 2]],GroupVertices[Vertex],0)),1,1,"")</f>
        <v>1</v>
      </c>
      <c r="S661" s="34"/>
      <c r="T661" s="34"/>
      <c r="U661" s="34"/>
      <c r="V661" s="34"/>
      <c r="W661" s="34"/>
      <c r="X661" s="34"/>
      <c r="Y661" s="34"/>
      <c r="Z661" s="34"/>
      <c r="AA661" s="34"/>
    </row>
    <row r="662" spans="1:27" ht="15">
      <c r="A662" s="66" t="s">
        <v>219</v>
      </c>
      <c r="B662" s="66" t="s">
        <v>261</v>
      </c>
      <c r="C662" s="67" t="s">
        <v>4454</v>
      </c>
      <c r="D662" s="68">
        <v>5</v>
      </c>
      <c r="E662" s="69"/>
      <c r="F662" s="70">
        <v>20</v>
      </c>
      <c r="G662" s="67"/>
      <c r="H662" s="71"/>
      <c r="I662" s="72"/>
      <c r="J662" s="72"/>
      <c r="K662" s="34" t="s">
        <v>65</v>
      </c>
      <c r="L662" s="79">
        <v>662</v>
      </c>
      <c r="M662" s="79"/>
      <c r="N662" s="74"/>
      <c r="O662" s="81" t="s">
        <v>944</v>
      </c>
      <c r="P662">
        <v>1</v>
      </c>
      <c r="Q662" s="80" t="str">
        <f>REPLACE(INDEX(GroupVertices[Group],MATCH(Edges[[#This Row],[Vertex 1]],GroupVertices[Vertex],0)),1,1,"")</f>
        <v>3</v>
      </c>
      <c r="R662" s="80" t="str">
        <f>REPLACE(INDEX(GroupVertices[Group],MATCH(Edges[[#This Row],[Vertex 2]],GroupVertices[Vertex],0)),1,1,"")</f>
        <v>1</v>
      </c>
      <c r="S662" s="34"/>
      <c r="T662" s="34"/>
      <c r="U662" s="34"/>
      <c r="V662" s="34"/>
      <c r="W662" s="34"/>
      <c r="X662" s="34"/>
      <c r="Y662" s="34"/>
      <c r="Z662" s="34"/>
      <c r="AA662" s="34"/>
    </row>
    <row r="663" spans="1:27" ht="15">
      <c r="A663" s="66" t="s">
        <v>219</v>
      </c>
      <c r="B663" s="66" t="s">
        <v>224</v>
      </c>
      <c r="C663" s="67" t="s">
        <v>4454</v>
      </c>
      <c r="D663" s="68">
        <v>5</v>
      </c>
      <c r="E663" s="69"/>
      <c r="F663" s="70">
        <v>20</v>
      </c>
      <c r="G663" s="67"/>
      <c r="H663" s="71"/>
      <c r="I663" s="72"/>
      <c r="J663" s="72"/>
      <c r="K663" s="34" t="s">
        <v>65</v>
      </c>
      <c r="L663" s="79">
        <v>663</v>
      </c>
      <c r="M663" s="79"/>
      <c r="N663" s="74"/>
      <c r="O663" s="81" t="s">
        <v>944</v>
      </c>
      <c r="P663">
        <v>1</v>
      </c>
      <c r="Q663" s="80" t="str">
        <f>REPLACE(INDEX(GroupVertices[Group],MATCH(Edges[[#This Row],[Vertex 1]],GroupVertices[Vertex],0)),1,1,"")</f>
        <v>3</v>
      </c>
      <c r="R663" s="80" t="str">
        <f>REPLACE(INDEX(GroupVertices[Group],MATCH(Edges[[#This Row],[Vertex 2]],GroupVertices[Vertex],0)),1,1,"")</f>
        <v>2</v>
      </c>
      <c r="S663" s="34"/>
      <c r="T663" s="34"/>
      <c r="U663" s="34"/>
      <c r="V663" s="34"/>
      <c r="W663" s="34"/>
      <c r="X663" s="34"/>
      <c r="Y663" s="34"/>
      <c r="Z663" s="34"/>
      <c r="AA663" s="34"/>
    </row>
    <row r="664" spans="1:27" ht="15">
      <c r="A664" s="66" t="s">
        <v>219</v>
      </c>
      <c r="B664" s="66" t="s">
        <v>228</v>
      </c>
      <c r="C664" s="67" t="s">
        <v>4454</v>
      </c>
      <c r="D664" s="68">
        <v>5</v>
      </c>
      <c r="E664" s="69"/>
      <c r="F664" s="70">
        <v>20</v>
      </c>
      <c r="G664" s="67"/>
      <c r="H664" s="71"/>
      <c r="I664" s="72"/>
      <c r="J664" s="72"/>
      <c r="K664" s="34" t="s">
        <v>65</v>
      </c>
      <c r="L664" s="79">
        <v>664</v>
      </c>
      <c r="M664" s="79"/>
      <c r="N664" s="74"/>
      <c r="O664" s="81" t="s">
        <v>944</v>
      </c>
      <c r="P664">
        <v>1</v>
      </c>
      <c r="Q664" s="80" t="str">
        <f>REPLACE(INDEX(GroupVertices[Group],MATCH(Edges[[#This Row],[Vertex 1]],GroupVertices[Vertex],0)),1,1,"")</f>
        <v>3</v>
      </c>
      <c r="R664" s="80" t="str">
        <f>REPLACE(INDEX(GroupVertices[Group],MATCH(Edges[[#This Row],[Vertex 2]],GroupVertices[Vertex],0)),1,1,"")</f>
        <v>3</v>
      </c>
      <c r="S664" s="34"/>
      <c r="T664" s="34"/>
      <c r="U664" s="34"/>
      <c r="V664" s="34"/>
      <c r="W664" s="34"/>
      <c r="X664" s="34"/>
      <c r="Y664" s="34"/>
      <c r="Z664" s="34"/>
      <c r="AA664" s="34"/>
    </row>
    <row r="665" spans="1:27" ht="15">
      <c r="A665" s="66" t="s">
        <v>219</v>
      </c>
      <c r="B665" s="66" t="s">
        <v>247</v>
      </c>
      <c r="C665" s="67" t="s">
        <v>4454</v>
      </c>
      <c r="D665" s="68">
        <v>5</v>
      </c>
      <c r="E665" s="69"/>
      <c r="F665" s="70">
        <v>20</v>
      </c>
      <c r="G665" s="67"/>
      <c r="H665" s="71"/>
      <c r="I665" s="72"/>
      <c r="J665" s="72"/>
      <c r="K665" s="34" t="s">
        <v>65</v>
      </c>
      <c r="L665" s="79">
        <v>665</v>
      </c>
      <c r="M665" s="79"/>
      <c r="N665" s="74"/>
      <c r="O665" s="81" t="s">
        <v>944</v>
      </c>
      <c r="P665">
        <v>1</v>
      </c>
      <c r="Q665" s="80" t="str">
        <f>REPLACE(INDEX(GroupVertices[Group],MATCH(Edges[[#This Row],[Vertex 1]],GroupVertices[Vertex],0)),1,1,"")</f>
        <v>3</v>
      </c>
      <c r="R665" s="80" t="str">
        <f>REPLACE(INDEX(GroupVertices[Group],MATCH(Edges[[#This Row],[Vertex 2]],GroupVertices[Vertex],0)),1,1,"")</f>
        <v>2</v>
      </c>
      <c r="S665" s="34"/>
      <c r="T665" s="34"/>
      <c r="U665" s="34"/>
      <c r="V665" s="34"/>
      <c r="W665" s="34"/>
      <c r="X665" s="34"/>
      <c r="Y665" s="34"/>
      <c r="Z665" s="34"/>
      <c r="AA665" s="34"/>
    </row>
    <row r="666" spans="1:27" ht="15">
      <c r="A666" s="66" t="s">
        <v>219</v>
      </c>
      <c r="B666" s="66" t="s">
        <v>238</v>
      </c>
      <c r="C666" s="67" t="s">
        <v>4454</v>
      </c>
      <c r="D666" s="68">
        <v>5</v>
      </c>
      <c r="E666" s="69"/>
      <c r="F666" s="70">
        <v>20</v>
      </c>
      <c r="G666" s="67"/>
      <c r="H666" s="71"/>
      <c r="I666" s="72"/>
      <c r="J666" s="72"/>
      <c r="K666" s="34" t="s">
        <v>65</v>
      </c>
      <c r="L666" s="79">
        <v>666</v>
      </c>
      <c r="M666" s="79"/>
      <c r="N666" s="74"/>
      <c r="O666" s="81" t="s">
        <v>944</v>
      </c>
      <c r="P666">
        <v>1</v>
      </c>
      <c r="Q666" s="80" t="str">
        <f>REPLACE(INDEX(GroupVertices[Group],MATCH(Edges[[#This Row],[Vertex 1]],GroupVertices[Vertex],0)),1,1,"")</f>
        <v>3</v>
      </c>
      <c r="R666" s="80" t="str">
        <f>REPLACE(INDEX(GroupVertices[Group],MATCH(Edges[[#This Row],[Vertex 2]],GroupVertices[Vertex],0)),1,1,"")</f>
        <v>2</v>
      </c>
      <c r="S666" s="34"/>
      <c r="T666" s="34"/>
      <c r="U666" s="34"/>
      <c r="V666" s="34"/>
      <c r="W666" s="34"/>
      <c r="X666" s="34"/>
      <c r="Y666" s="34"/>
      <c r="Z666" s="34"/>
      <c r="AA666" s="34"/>
    </row>
    <row r="667" spans="1:27" ht="15">
      <c r="A667" s="66" t="s">
        <v>219</v>
      </c>
      <c r="B667" s="66" t="s">
        <v>255</v>
      </c>
      <c r="C667" s="67" t="s">
        <v>4454</v>
      </c>
      <c r="D667" s="68">
        <v>5</v>
      </c>
      <c r="E667" s="69"/>
      <c r="F667" s="70">
        <v>20</v>
      </c>
      <c r="G667" s="67"/>
      <c r="H667" s="71"/>
      <c r="I667" s="72"/>
      <c r="J667" s="72"/>
      <c r="K667" s="34" t="s">
        <v>65</v>
      </c>
      <c r="L667" s="79">
        <v>667</v>
      </c>
      <c r="M667" s="79"/>
      <c r="N667" s="74"/>
      <c r="O667" s="81" t="s">
        <v>944</v>
      </c>
      <c r="P667">
        <v>1</v>
      </c>
      <c r="Q667" s="80" t="str">
        <f>REPLACE(INDEX(GroupVertices[Group],MATCH(Edges[[#This Row],[Vertex 1]],GroupVertices[Vertex],0)),1,1,"")</f>
        <v>3</v>
      </c>
      <c r="R667" s="80" t="str">
        <f>REPLACE(INDEX(GroupVertices[Group],MATCH(Edges[[#This Row],[Vertex 2]],GroupVertices[Vertex],0)),1,1,"")</f>
        <v>4</v>
      </c>
      <c r="S667" s="34"/>
      <c r="T667" s="34"/>
      <c r="U667" s="34"/>
      <c r="V667" s="34"/>
      <c r="W667" s="34"/>
      <c r="X667" s="34"/>
      <c r="Y667" s="34"/>
      <c r="Z667" s="34"/>
      <c r="AA667" s="34"/>
    </row>
    <row r="668" spans="1:27" ht="15">
      <c r="A668" s="66" t="s">
        <v>219</v>
      </c>
      <c r="B668" s="66" t="s">
        <v>215</v>
      </c>
      <c r="C668" s="67" t="s">
        <v>4454</v>
      </c>
      <c r="D668" s="68">
        <v>5</v>
      </c>
      <c r="E668" s="69"/>
      <c r="F668" s="70">
        <v>20</v>
      </c>
      <c r="G668" s="67"/>
      <c r="H668" s="71"/>
      <c r="I668" s="72"/>
      <c r="J668" s="72"/>
      <c r="K668" s="34" t="s">
        <v>66</v>
      </c>
      <c r="L668" s="79">
        <v>668</v>
      </c>
      <c r="M668" s="79"/>
      <c r="N668" s="74"/>
      <c r="O668" s="81" t="s">
        <v>944</v>
      </c>
      <c r="P668">
        <v>1</v>
      </c>
      <c r="Q668" s="80" t="str">
        <f>REPLACE(INDEX(GroupVertices[Group],MATCH(Edges[[#This Row],[Vertex 1]],GroupVertices[Vertex],0)),1,1,"")</f>
        <v>3</v>
      </c>
      <c r="R668" s="80" t="str">
        <f>REPLACE(INDEX(GroupVertices[Group],MATCH(Edges[[#This Row],[Vertex 2]],GroupVertices[Vertex],0)),1,1,"")</f>
        <v>3</v>
      </c>
      <c r="S668" s="34"/>
      <c r="T668" s="34"/>
      <c r="U668" s="34"/>
      <c r="V668" s="34"/>
      <c r="W668" s="34"/>
      <c r="X668" s="34"/>
      <c r="Y668" s="34"/>
      <c r="Z668" s="34"/>
      <c r="AA668" s="34"/>
    </row>
    <row r="669" spans="1:27" ht="15">
      <c r="A669" s="66" t="s">
        <v>219</v>
      </c>
      <c r="B669" s="66" t="s">
        <v>214</v>
      </c>
      <c r="C669" s="67" t="s">
        <v>4454</v>
      </c>
      <c r="D669" s="68">
        <v>5</v>
      </c>
      <c r="E669" s="69"/>
      <c r="F669" s="70">
        <v>20</v>
      </c>
      <c r="G669" s="67"/>
      <c r="H669" s="71"/>
      <c r="I669" s="72"/>
      <c r="J669" s="72"/>
      <c r="K669" s="34" t="s">
        <v>65</v>
      </c>
      <c r="L669" s="79">
        <v>669</v>
      </c>
      <c r="M669" s="79"/>
      <c r="N669" s="74"/>
      <c r="O669" s="81" t="s">
        <v>944</v>
      </c>
      <c r="P669">
        <v>1</v>
      </c>
      <c r="Q669" s="80" t="str">
        <f>REPLACE(INDEX(GroupVertices[Group],MATCH(Edges[[#This Row],[Vertex 1]],GroupVertices[Vertex],0)),1,1,"")</f>
        <v>3</v>
      </c>
      <c r="R669" s="80" t="str">
        <f>REPLACE(INDEX(GroupVertices[Group],MATCH(Edges[[#This Row],[Vertex 2]],GroupVertices[Vertex],0)),1,1,"")</f>
        <v>1</v>
      </c>
      <c r="S669" s="34"/>
      <c r="T669" s="34"/>
      <c r="U669" s="34"/>
      <c r="V669" s="34"/>
      <c r="W669" s="34"/>
      <c r="X669" s="34"/>
      <c r="Y669" s="34"/>
      <c r="Z669" s="34"/>
      <c r="AA669" s="34"/>
    </row>
    <row r="670" spans="1:27" ht="15">
      <c r="A670" s="66" t="s">
        <v>219</v>
      </c>
      <c r="B670" s="66" t="s">
        <v>510</v>
      </c>
      <c r="C670" s="67" t="s">
        <v>4454</v>
      </c>
      <c r="D670" s="68">
        <v>5</v>
      </c>
      <c r="E670" s="69"/>
      <c r="F670" s="70">
        <v>20</v>
      </c>
      <c r="G670" s="67"/>
      <c r="H670" s="71"/>
      <c r="I670" s="72"/>
      <c r="J670" s="72"/>
      <c r="K670" s="34" t="s">
        <v>65</v>
      </c>
      <c r="L670" s="79">
        <v>670</v>
      </c>
      <c r="M670" s="79"/>
      <c r="N670" s="74"/>
      <c r="O670" s="81" t="s">
        <v>944</v>
      </c>
      <c r="P670">
        <v>1</v>
      </c>
      <c r="Q670" s="80" t="str">
        <f>REPLACE(INDEX(GroupVertices[Group],MATCH(Edges[[#This Row],[Vertex 1]],GroupVertices[Vertex],0)),1,1,"")</f>
        <v>3</v>
      </c>
      <c r="R670" s="80" t="str">
        <f>REPLACE(INDEX(GroupVertices[Group],MATCH(Edges[[#This Row],[Vertex 2]],GroupVertices[Vertex],0)),1,1,"")</f>
        <v>2</v>
      </c>
      <c r="S670" s="34"/>
      <c r="T670" s="34"/>
      <c r="U670" s="34"/>
      <c r="V670" s="34"/>
      <c r="W670" s="34"/>
      <c r="X670" s="34"/>
      <c r="Y670" s="34"/>
      <c r="Z670" s="34"/>
      <c r="AA670" s="34"/>
    </row>
    <row r="671" spans="1:27" ht="15">
      <c r="A671" s="66" t="s">
        <v>219</v>
      </c>
      <c r="B671" s="66" t="s">
        <v>672</v>
      </c>
      <c r="C671" s="67" t="s">
        <v>4454</v>
      </c>
      <c r="D671" s="68">
        <v>5</v>
      </c>
      <c r="E671" s="69"/>
      <c r="F671" s="70">
        <v>20</v>
      </c>
      <c r="G671" s="67"/>
      <c r="H671" s="71"/>
      <c r="I671" s="72"/>
      <c r="J671" s="72"/>
      <c r="K671" s="34" t="s">
        <v>65</v>
      </c>
      <c r="L671" s="79">
        <v>671</v>
      </c>
      <c r="M671" s="79"/>
      <c r="N671" s="74"/>
      <c r="O671" s="81" t="s">
        <v>944</v>
      </c>
      <c r="P671">
        <v>1</v>
      </c>
      <c r="Q671" s="80" t="str">
        <f>REPLACE(INDEX(GroupVertices[Group],MATCH(Edges[[#This Row],[Vertex 1]],GroupVertices[Vertex],0)),1,1,"")</f>
        <v>3</v>
      </c>
      <c r="R671" s="80" t="str">
        <f>REPLACE(INDEX(GroupVertices[Group],MATCH(Edges[[#This Row],[Vertex 2]],GroupVertices[Vertex],0)),1,1,"")</f>
        <v>2</v>
      </c>
      <c r="S671" s="34"/>
      <c r="T671" s="34"/>
      <c r="U671" s="34"/>
      <c r="V671" s="34"/>
      <c r="W671" s="34"/>
      <c r="X671" s="34"/>
      <c r="Y671" s="34"/>
      <c r="Z671" s="34"/>
      <c r="AA671" s="34"/>
    </row>
    <row r="672" spans="1:27" ht="15">
      <c r="A672" s="66" t="s">
        <v>219</v>
      </c>
      <c r="B672" s="66" t="s">
        <v>239</v>
      </c>
      <c r="C672" s="67" t="s">
        <v>4454</v>
      </c>
      <c r="D672" s="68">
        <v>5</v>
      </c>
      <c r="E672" s="69"/>
      <c r="F672" s="70">
        <v>20</v>
      </c>
      <c r="G672" s="67"/>
      <c r="H672" s="71"/>
      <c r="I672" s="72"/>
      <c r="J672" s="72"/>
      <c r="K672" s="34" t="s">
        <v>65</v>
      </c>
      <c r="L672" s="79">
        <v>672</v>
      </c>
      <c r="M672" s="79"/>
      <c r="N672" s="74"/>
      <c r="O672" s="81" t="s">
        <v>944</v>
      </c>
      <c r="P672">
        <v>1</v>
      </c>
      <c r="Q672" s="80" t="str">
        <f>REPLACE(INDEX(GroupVertices[Group],MATCH(Edges[[#This Row],[Vertex 1]],GroupVertices[Vertex],0)),1,1,"")</f>
        <v>3</v>
      </c>
      <c r="R672" s="80" t="str">
        <f>REPLACE(INDEX(GroupVertices[Group],MATCH(Edges[[#This Row],[Vertex 2]],GroupVertices[Vertex],0)),1,1,"")</f>
        <v>3</v>
      </c>
      <c r="S672" s="34"/>
      <c r="T672" s="34"/>
      <c r="U672" s="34"/>
      <c r="V672" s="34"/>
      <c r="W672" s="34"/>
      <c r="X672" s="34"/>
      <c r="Y672" s="34"/>
      <c r="Z672" s="34"/>
      <c r="AA672" s="34"/>
    </row>
    <row r="673" spans="1:27" ht="15">
      <c r="A673" s="66" t="s">
        <v>219</v>
      </c>
      <c r="B673" s="66" t="s">
        <v>249</v>
      </c>
      <c r="C673" s="67" t="s">
        <v>4454</v>
      </c>
      <c r="D673" s="68">
        <v>5</v>
      </c>
      <c r="E673" s="69"/>
      <c r="F673" s="70">
        <v>20</v>
      </c>
      <c r="G673" s="67"/>
      <c r="H673" s="71"/>
      <c r="I673" s="72"/>
      <c r="J673" s="72"/>
      <c r="K673" s="34" t="s">
        <v>65</v>
      </c>
      <c r="L673" s="79">
        <v>673</v>
      </c>
      <c r="M673" s="79"/>
      <c r="N673" s="74"/>
      <c r="O673" s="81" t="s">
        <v>944</v>
      </c>
      <c r="P673">
        <v>1</v>
      </c>
      <c r="Q673" s="80" t="str">
        <f>REPLACE(INDEX(GroupVertices[Group],MATCH(Edges[[#This Row],[Vertex 1]],GroupVertices[Vertex],0)),1,1,"")</f>
        <v>3</v>
      </c>
      <c r="R673" s="80" t="str">
        <f>REPLACE(INDEX(GroupVertices[Group],MATCH(Edges[[#This Row],[Vertex 2]],GroupVertices[Vertex],0)),1,1,"")</f>
        <v>2</v>
      </c>
      <c r="S673" s="34"/>
      <c r="T673" s="34"/>
      <c r="U673" s="34"/>
      <c r="V673" s="34"/>
      <c r="W673" s="34"/>
      <c r="X673" s="34"/>
      <c r="Y673" s="34"/>
      <c r="Z673" s="34"/>
      <c r="AA673" s="34"/>
    </row>
    <row r="674" spans="1:27" ht="15">
      <c r="A674" s="66" t="s">
        <v>219</v>
      </c>
      <c r="B674" s="66" t="s">
        <v>233</v>
      </c>
      <c r="C674" s="67" t="s">
        <v>4454</v>
      </c>
      <c r="D674" s="68">
        <v>5</v>
      </c>
      <c r="E674" s="69"/>
      <c r="F674" s="70">
        <v>20</v>
      </c>
      <c r="G674" s="67"/>
      <c r="H674" s="71"/>
      <c r="I674" s="72"/>
      <c r="J674" s="72"/>
      <c r="K674" s="34" t="s">
        <v>66</v>
      </c>
      <c r="L674" s="79">
        <v>674</v>
      </c>
      <c r="M674" s="79"/>
      <c r="N674" s="74"/>
      <c r="O674" s="81" t="s">
        <v>944</v>
      </c>
      <c r="P674">
        <v>1</v>
      </c>
      <c r="Q674" s="80" t="str">
        <f>REPLACE(INDEX(GroupVertices[Group],MATCH(Edges[[#This Row],[Vertex 1]],GroupVertices[Vertex],0)),1,1,"")</f>
        <v>3</v>
      </c>
      <c r="R674" s="80" t="str">
        <f>REPLACE(INDEX(GroupVertices[Group],MATCH(Edges[[#This Row],[Vertex 2]],GroupVertices[Vertex],0)),1,1,"")</f>
        <v>2</v>
      </c>
      <c r="S674" s="34"/>
      <c r="T674" s="34"/>
      <c r="U674" s="34"/>
      <c r="V674" s="34"/>
      <c r="W674" s="34"/>
      <c r="X674" s="34"/>
      <c r="Y674" s="34"/>
      <c r="Z674" s="34"/>
      <c r="AA674" s="34"/>
    </row>
    <row r="675" spans="1:27" ht="15">
      <c r="A675" s="66" t="s">
        <v>219</v>
      </c>
      <c r="B675" s="66" t="s">
        <v>260</v>
      </c>
      <c r="C675" s="67" t="s">
        <v>4454</v>
      </c>
      <c r="D675" s="68">
        <v>5</v>
      </c>
      <c r="E675" s="69"/>
      <c r="F675" s="70">
        <v>20</v>
      </c>
      <c r="G675" s="67"/>
      <c r="H675" s="71"/>
      <c r="I675" s="72"/>
      <c r="J675" s="72"/>
      <c r="K675" s="34" t="s">
        <v>65</v>
      </c>
      <c r="L675" s="79">
        <v>675</v>
      </c>
      <c r="M675" s="79"/>
      <c r="N675" s="74"/>
      <c r="O675" s="81" t="s">
        <v>944</v>
      </c>
      <c r="P675">
        <v>1</v>
      </c>
      <c r="Q675" s="80" t="str">
        <f>REPLACE(INDEX(GroupVertices[Group],MATCH(Edges[[#This Row],[Vertex 1]],GroupVertices[Vertex],0)),1,1,"")</f>
        <v>3</v>
      </c>
      <c r="R675" s="80" t="str">
        <f>REPLACE(INDEX(GroupVertices[Group],MATCH(Edges[[#This Row],[Vertex 2]],GroupVertices[Vertex],0)),1,1,"")</f>
        <v>2</v>
      </c>
      <c r="S675" s="34"/>
      <c r="T675" s="34"/>
      <c r="U675" s="34"/>
      <c r="V675" s="34"/>
      <c r="W675" s="34"/>
      <c r="X675" s="34"/>
      <c r="Y675" s="34"/>
      <c r="Z675" s="34"/>
      <c r="AA675" s="34"/>
    </row>
    <row r="676" spans="1:27" ht="15">
      <c r="A676" s="66" t="s">
        <v>219</v>
      </c>
      <c r="B676" s="66" t="s">
        <v>259</v>
      </c>
      <c r="C676" s="67" t="s">
        <v>4454</v>
      </c>
      <c r="D676" s="68">
        <v>5</v>
      </c>
      <c r="E676" s="69"/>
      <c r="F676" s="70">
        <v>20</v>
      </c>
      <c r="G676" s="67"/>
      <c r="H676" s="71"/>
      <c r="I676" s="72"/>
      <c r="J676" s="72"/>
      <c r="K676" s="34" t="s">
        <v>65</v>
      </c>
      <c r="L676" s="79">
        <v>676</v>
      </c>
      <c r="M676" s="79"/>
      <c r="N676" s="74"/>
      <c r="O676" s="81" t="s">
        <v>944</v>
      </c>
      <c r="P676">
        <v>1</v>
      </c>
      <c r="Q676" s="80" t="str">
        <f>REPLACE(INDEX(GroupVertices[Group],MATCH(Edges[[#This Row],[Vertex 1]],GroupVertices[Vertex],0)),1,1,"")</f>
        <v>3</v>
      </c>
      <c r="R676" s="80" t="str">
        <f>REPLACE(INDEX(GroupVertices[Group],MATCH(Edges[[#This Row],[Vertex 2]],GroupVertices[Vertex],0)),1,1,"")</f>
        <v>2</v>
      </c>
      <c r="S676" s="34"/>
      <c r="T676" s="34"/>
      <c r="U676" s="34"/>
      <c r="V676" s="34"/>
      <c r="W676" s="34"/>
      <c r="X676" s="34"/>
      <c r="Y676" s="34"/>
      <c r="Z676" s="34"/>
      <c r="AA676" s="34"/>
    </row>
    <row r="677" spans="1:27" ht="15">
      <c r="A677" s="66" t="s">
        <v>219</v>
      </c>
      <c r="B677" s="66" t="s">
        <v>673</v>
      </c>
      <c r="C677" s="67" t="s">
        <v>4454</v>
      </c>
      <c r="D677" s="68">
        <v>5</v>
      </c>
      <c r="E677" s="69"/>
      <c r="F677" s="70">
        <v>20</v>
      </c>
      <c r="G677" s="67"/>
      <c r="H677" s="71"/>
      <c r="I677" s="72"/>
      <c r="J677" s="72"/>
      <c r="K677" s="34" t="s">
        <v>65</v>
      </c>
      <c r="L677" s="79">
        <v>677</v>
      </c>
      <c r="M677" s="79"/>
      <c r="N677" s="74"/>
      <c r="O677" s="81" t="s">
        <v>944</v>
      </c>
      <c r="P677">
        <v>1</v>
      </c>
      <c r="Q677" s="80" t="str">
        <f>REPLACE(INDEX(GroupVertices[Group],MATCH(Edges[[#This Row],[Vertex 1]],GroupVertices[Vertex],0)),1,1,"")</f>
        <v>3</v>
      </c>
      <c r="R677" s="80" t="str">
        <f>REPLACE(INDEX(GroupVertices[Group],MATCH(Edges[[#This Row],[Vertex 2]],GroupVertices[Vertex],0)),1,1,"")</f>
        <v>1</v>
      </c>
      <c r="S677" s="34"/>
      <c r="T677" s="34"/>
      <c r="U677" s="34"/>
      <c r="V677" s="34"/>
      <c r="W677" s="34"/>
      <c r="X677" s="34"/>
      <c r="Y677" s="34"/>
      <c r="Z677" s="34"/>
      <c r="AA677" s="34"/>
    </row>
    <row r="678" spans="1:27" ht="15">
      <c r="A678" s="66" t="s">
        <v>219</v>
      </c>
      <c r="B678" s="66" t="s">
        <v>223</v>
      </c>
      <c r="C678" s="67" t="s">
        <v>4454</v>
      </c>
      <c r="D678" s="68">
        <v>5</v>
      </c>
      <c r="E678" s="69"/>
      <c r="F678" s="70">
        <v>20</v>
      </c>
      <c r="G678" s="67"/>
      <c r="H678" s="71"/>
      <c r="I678" s="72"/>
      <c r="J678" s="72"/>
      <c r="K678" s="34" t="s">
        <v>65</v>
      </c>
      <c r="L678" s="79">
        <v>678</v>
      </c>
      <c r="M678" s="79"/>
      <c r="N678" s="74"/>
      <c r="O678" s="81" t="s">
        <v>944</v>
      </c>
      <c r="P678">
        <v>1</v>
      </c>
      <c r="Q678" s="80" t="str">
        <f>REPLACE(INDEX(GroupVertices[Group],MATCH(Edges[[#This Row],[Vertex 1]],GroupVertices[Vertex],0)),1,1,"")</f>
        <v>3</v>
      </c>
      <c r="R678" s="80" t="str">
        <f>REPLACE(INDEX(GroupVertices[Group],MATCH(Edges[[#This Row],[Vertex 2]],GroupVertices[Vertex],0)),1,1,"")</f>
        <v>3</v>
      </c>
      <c r="S678" s="34"/>
      <c r="T678" s="34"/>
      <c r="U678" s="34"/>
      <c r="V678" s="34"/>
      <c r="W678" s="34"/>
      <c r="X678" s="34"/>
      <c r="Y678" s="34"/>
      <c r="Z678" s="34"/>
      <c r="AA678" s="34"/>
    </row>
    <row r="679" spans="1:27" ht="15">
      <c r="A679" s="66" t="s">
        <v>219</v>
      </c>
      <c r="B679" s="66" t="s">
        <v>244</v>
      </c>
      <c r="C679" s="67" t="s">
        <v>4454</v>
      </c>
      <c r="D679" s="68">
        <v>5</v>
      </c>
      <c r="E679" s="69"/>
      <c r="F679" s="70">
        <v>20</v>
      </c>
      <c r="G679" s="67"/>
      <c r="H679" s="71"/>
      <c r="I679" s="72"/>
      <c r="J679" s="72"/>
      <c r="K679" s="34" t="s">
        <v>66</v>
      </c>
      <c r="L679" s="79">
        <v>679</v>
      </c>
      <c r="M679" s="79"/>
      <c r="N679" s="74"/>
      <c r="O679" s="81" t="s">
        <v>944</v>
      </c>
      <c r="P679">
        <v>1</v>
      </c>
      <c r="Q679" s="80" t="str">
        <f>REPLACE(INDEX(GroupVertices[Group],MATCH(Edges[[#This Row],[Vertex 1]],GroupVertices[Vertex],0)),1,1,"")</f>
        <v>3</v>
      </c>
      <c r="R679" s="80" t="str">
        <f>REPLACE(INDEX(GroupVertices[Group],MATCH(Edges[[#This Row],[Vertex 2]],GroupVertices[Vertex],0)),1,1,"")</f>
        <v>2</v>
      </c>
      <c r="S679" s="34"/>
      <c r="T679" s="34"/>
      <c r="U679" s="34"/>
      <c r="V679" s="34"/>
      <c r="W679" s="34"/>
      <c r="X679" s="34"/>
      <c r="Y679" s="34"/>
      <c r="Z679" s="34"/>
      <c r="AA679" s="34"/>
    </row>
    <row r="680" spans="1:27" ht="15">
      <c r="A680" s="66" t="s">
        <v>219</v>
      </c>
      <c r="B680" s="66" t="s">
        <v>243</v>
      </c>
      <c r="C680" s="67" t="s">
        <v>4454</v>
      </c>
      <c r="D680" s="68">
        <v>5</v>
      </c>
      <c r="E680" s="69"/>
      <c r="F680" s="70">
        <v>20</v>
      </c>
      <c r="G680" s="67"/>
      <c r="H680" s="71"/>
      <c r="I680" s="72"/>
      <c r="J680" s="72"/>
      <c r="K680" s="34" t="s">
        <v>66</v>
      </c>
      <c r="L680" s="79">
        <v>680</v>
      </c>
      <c r="M680" s="79"/>
      <c r="N680" s="74"/>
      <c r="O680" s="81" t="s">
        <v>944</v>
      </c>
      <c r="P680">
        <v>1</v>
      </c>
      <c r="Q680" s="80" t="str">
        <f>REPLACE(INDEX(GroupVertices[Group],MATCH(Edges[[#This Row],[Vertex 1]],GroupVertices[Vertex],0)),1,1,"")</f>
        <v>3</v>
      </c>
      <c r="R680" s="80" t="str">
        <f>REPLACE(INDEX(GroupVertices[Group],MATCH(Edges[[#This Row],[Vertex 2]],GroupVertices[Vertex],0)),1,1,"")</f>
        <v>2</v>
      </c>
      <c r="S680" s="34"/>
      <c r="T680" s="34"/>
      <c r="U680" s="34"/>
      <c r="V680" s="34"/>
      <c r="W680" s="34"/>
      <c r="X680" s="34"/>
      <c r="Y680" s="34"/>
      <c r="Z680" s="34"/>
      <c r="AA680" s="34"/>
    </row>
    <row r="681" spans="1:27" ht="15">
      <c r="A681" s="66" t="s">
        <v>219</v>
      </c>
      <c r="B681" s="66" t="s">
        <v>222</v>
      </c>
      <c r="C681" s="67" t="s">
        <v>4454</v>
      </c>
      <c r="D681" s="68">
        <v>5</v>
      </c>
      <c r="E681" s="69"/>
      <c r="F681" s="70">
        <v>20</v>
      </c>
      <c r="G681" s="67"/>
      <c r="H681" s="71"/>
      <c r="I681" s="72"/>
      <c r="J681" s="72"/>
      <c r="K681" s="34" t="s">
        <v>65</v>
      </c>
      <c r="L681" s="79">
        <v>681</v>
      </c>
      <c r="M681" s="79"/>
      <c r="N681" s="74"/>
      <c r="O681" s="81" t="s">
        <v>944</v>
      </c>
      <c r="P681">
        <v>1</v>
      </c>
      <c r="Q681" s="80" t="str">
        <f>REPLACE(INDEX(GroupVertices[Group],MATCH(Edges[[#This Row],[Vertex 1]],GroupVertices[Vertex],0)),1,1,"")</f>
        <v>3</v>
      </c>
      <c r="R681" s="80" t="str">
        <f>REPLACE(INDEX(GroupVertices[Group],MATCH(Edges[[#This Row],[Vertex 2]],GroupVertices[Vertex],0)),1,1,"")</f>
        <v>2</v>
      </c>
      <c r="S681" s="34"/>
      <c r="T681" s="34"/>
      <c r="U681" s="34"/>
      <c r="V681" s="34"/>
      <c r="W681" s="34"/>
      <c r="X681" s="34"/>
      <c r="Y681" s="34"/>
      <c r="Z681" s="34"/>
      <c r="AA681" s="34"/>
    </row>
    <row r="682" spans="1:27" ht="15">
      <c r="A682" s="66" t="s">
        <v>219</v>
      </c>
      <c r="B682" s="66" t="s">
        <v>254</v>
      </c>
      <c r="C682" s="67" t="s">
        <v>4454</v>
      </c>
      <c r="D682" s="68">
        <v>5</v>
      </c>
      <c r="E682" s="69"/>
      <c r="F682" s="70">
        <v>20</v>
      </c>
      <c r="G682" s="67"/>
      <c r="H682" s="71"/>
      <c r="I682" s="72"/>
      <c r="J682" s="72"/>
      <c r="K682" s="34" t="s">
        <v>65</v>
      </c>
      <c r="L682" s="79">
        <v>682</v>
      </c>
      <c r="M682" s="79"/>
      <c r="N682" s="74"/>
      <c r="O682" s="81" t="s">
        <v>944</v>
      </c>
      <c r="P682">
        <v>1</v>
      </c>
      <c r="Q682" s="80" t="str">
        <f>REPLACE(INDEX(GroupVertices[Group],MATCH(Edges[[#This Row],[Vertex 1]],GroupVertices[Vertex],0)),1,1,"")</f>
        <v>3</v>
      </c>
      <c r="R682" s="80" t="str">
        <f>REPLACE(INDEX(GroupVertices[Group],MATCH(Edges[[#This Row],[Vertex 2]],GroupVertices[Vertex],0)),1,1,"")</f>
        <v>3</v>
      </c>
      <c r="S682" s="34"/>
      <c r="T682" s="34"/>
      <c r="U682" s="34"/>
      <c r="V682" s="34"/>
      <c r="W682" s="34"/>
      <c r="X682" s="34"/>
      <c r="Y682" s="34"/>
      <c r="Z682" s="34"/>
      <c r="AA682" s="34"/>
    </row>
    <row r="683" spans="1:27" ht="15">
      <c r="A683" s="66" t="s">
        <v>219</v>
      </c>
      <c r="B683" s="66" t="s">
        <v>674</v>
      </c>
      <c r="C683" s="67" t="s">
        <v>4454</v>
      </c>
      <c r="D683" s="68">
        <v>5</v>
      </c>
      <c r="E683" s="69"/>
      <c r="F683" s="70">
        <v>20</v>
      </c>
      <c r="G683" s="67"/>
      <c r="H683" s="71"/>
      <c r="I683" s="72"/>
      <c r="J683" s="72"/>
      <c r="K683" s="34" t="s">
        <v>65</v>
      </c>
      <c r="L683" s="79">
        <v>683</v>
      </c>
      <c r="M683" s="79"/>
      <c r="N683" s="74"/>
      <c r="O683" s="81" t="s">
        <v>944</v>
      </c>
      <c r="P683">
        <v>1</v>
      </c>
      <c r="Q683" s="80" t="str">
        <f>REPLACE(INDEX(GroupVertices[Group],MATCH(Edges[[#This Row],[Vertex 1]],GroupVertices[Vertex],0)),1,1,"")</f>
        <v>3</v>
      </c>
      <c r="R683" s="80" t="str">
        <f>REPLACE(INDEX(GroupVertices[Group],MATCH(Edges[[#This Row],[Vertex 2]],GroupVertices[Vertex],0)),1,1,"")</f>
        <v>3</v>
      </c>
      <c r="S683" s="34"/>
      <c r="T683" s="34"/>
      <c r="U683" s="34"/>
      <c r="V683" s="34"/>
      <c r="W683" s="34"/>
      <c r="X683" s="34"/>
      <c r="Y683" s="34"/>
      <c r="Z683" s="34"/>
      <c r="AA683" s="34"/>
    </row>
    <row r="684" spans="1:27" ht="15">
      <c r="A684" s="66" t="s">
        <v>219</v>
      </c>
      <c r="B684" s="66" t="s">
        <v>253</v>
      </c>
      <c r="C684" s="67" t="s">
        <v>4454</v>
      </c>
      <c r="D684" s="68">
        <v>5</v>
      </c>
      <c r="E684" s="69"/>
      <c r="F684" s="70">
        <v>20</v>
      </c>
      <c r="G684" s="67"/>
      <c r="H684" s="71"/>
      <c r="I684" s="72"/>
      <c r="J684" s="72"/>
      <c r="K684" s="34" t="s">
        <v>65</v>
      </c>
      <c r="L684" s="79">
        <v>684</v>
      </c>
      <c r="M684" s="79"/>
      <c r="N684" s="74"/>
      <c r="O684" s="81" t="s">
        <v>944</v>
      </c>
      <c r="P684">
        <v>1</v>
      </c>
      <c r="Q684" s="80" t="str">
        <f>REPLACE(INDEX(GroupVertices[Group],MATCH(Edges[[#This Row],[Vertex 1]],GroupVertices[Vertex],0)),1,1,"")</f>
        <v>3</v>
      </c>
      <c r="R684" s="80" t="str">
        <f>REPLACE(INDEX(GroupVertices[Group],MATCH(Edges[[#This Row],[Vertex 2]],GroupVertices[Vertex],0)),1,1,"")</f>
        <v>1</v>
      </c>
      <c r="S684" s="34"/>
      <c r="T684" s="34"/>
      <c r="U684" s="34"/>
      <c r="V684" s="34"/>
      <c r="W684" s="34"/>
      <c r="X684" s="34"/>
      <c r="Y684" s="34"/>
      <c r="Z684" s="34"/>
      <c r="AA684" s="34"/>
    </row>
    <row r="685" spans="1:27" ht="15">
      <c r="A685" s="66" t="s">
        <v>219</v>
      </c>
      <c r="B685" s="66" t="s">
        <v>675</v>
      </c>
      <c r="C685" s="67" t="s">
        <v>4454</v>
      </c>
      <c r="D685" s="68">
        <v>5</v>
      </c>
      <c r="E685" s="69"/>
      <c r="F685" s="70">
        <v>20</v>
      </c>
      <c r="G685" s="67"/>
      <c r="H685" s="71"/>
      <c r="I685" s="72"/>
      <c r="J685" s="72"/>
      <c r="K685" s="34" t="s">
        <v>65</v>
      </c>
      <c r="L685" s="79">
        <v>685</v>
      </c>
      <c r="M685" s="79"/>
      <c r="N685" s="74"/>
      <c r="O685" s="81" t="s">
        <v>944</v>
      </c>
      <c r="P685">
        <v>1</v>
      </c>
      <c r="Q685" s="80" t="str">
        <f>REPLACE(INDEX(GroupVertices[Group],MATCH(Edges[[#This Row],[Vertex 1]],GroupVertices[Vertex],0)),1,1,"")</f>
        <v>3</v>
      </c>
      <c r="R685" s="80" t="str">
        <f>REPLACE(INDEX(GroupVertices[Group],MATCH(Edges[[#This Row],[Vertex 2]],GroupVertices[Vertex],0)),1,1,"")</f>
        <v>2</v>
      </c>
      <c r="S685" s="34"/>
      <c r="T685" s="34"/>
      <c r="U685" s="34"/>
      <c r="V685" s="34"/>
      <c r="W685" s="34"/>
      <c r="X685" s="34"/>
      <c r="Y685" s="34"/>
      <c r="Z685" s="34"/>
      <c r="AA685" s="34"/>
    </row>
    <row r="686" spans="1:27" ht="15">
      <c r="A686" s="66" t="s">
        <v>219</v>
      </c>
      <c r="B686" s="66" t="s">
        <v>250</v>
      </c>
      <c r="C686" s="67" t="s">
        <v>4454</v>
      </c>
      <c r="D686" s="68">
        <v>5</v>
      </c>
      <c r="E686" s="69"/>
      <c r="F686" s="70">
        <v>20</v>
      </c>
      <c r="G686" s="67"/>
      <c r="H686" s="71"/>
      <c r="I686" s="72"/>
      <c r="J686" s="72"/>
      <c r="K686" s="34" t="s">
        <v>65</v>
      </c>
      <c r="L686" s="79">
        <v>686</v>
      </c>
      <c r="M686" s="79"/>
      <c r="N686" s="74"/>
      <c r="O686" s="81" t="s">
        <v>944</v>
      </c>
      <c r="P686">
        <v>1</v>
      </c>
      <c r="Q686" s="80" t="str">
        <f>REPLACE(INDEX(GroupVertices[Group],MATCH(Edges[[#This Row],[Vertex 1]],GroupVertices[Vertex],0)),1,1,"")</f>
        <v>3</v>
      </c>
      <c r="R686" s="80" t="str">
        <f>REPLACE(INDEX(GroupVertices[Group],MATCH(Edges[[#This Row],[Vertex 2]],GroupVertices[Vertex],0)),1,1,"")</f>
        <v>2</v>
      </c>
      <c r="S686" s="34"/>
      <c r="T686" s="34"/>
      <c r="U686" s="34"/>
      <c r="V686" s="34"/>
      <c r="W686" s="34"/>
      <c r="X686" s="34"/>
      <c r="Y686" s="34"/>
      <c r="Z686" s="34"/>
      <c r="AA686" s="34"/>
    </row>
    <row r="687" spans="1:27" ht="15">
      <c r="A687" s="66" t="s">
        <v>219</v>
      </c>
      <c r="B687" s="66" t="s">
        <v>504</v>
      </c>
      <c r="C687" s="67" t="s">
        <v>4454</v>
      </c>
      <c r="D687" s="68">
        <v>5</v>
      </c>
      <c r="E687" s="69"/>
      <c r="F687" s="70">
        <v>20</v>
      </c>
      <c r="G687" s="67"/>
      <c r="H687" s="71"/>
      <c r="I687" s="72"/>
      <c r="J687" s="72"/>
      <c r="K687" s="34" t="s">
        <v>65</v>
      </c>
      <c r="L687" s="79">
        <v>687</v>
      </c>
      <c r="M687" s="79"/>
      <c r="N687" s="74"/>
      <c r="O687" s="81" t="s">
        <v>944</v>
      </c>
      <c r="P687">
        <v>1</v>
      </c>
      <c r="Q687" s="80" t="str">
        <f>REPLACE(INDEX(GroupVertices[Group],MATCH(Edges[[#This Row],[Vertex 1]],GroupVertices[Vertex],0)),1,1,"")</f>
        <v>3</v>
      </c>
      <c r="R687" s="80" t="str">
        <f>REPLACE(INDEX(GroupVertices[Group],MATCH(Edges[[#This Row],[Vertex 2]],GroupVertices[Vertex],0)),1,1,"")</f>
        <v>3</v>
      </c>
      <c r="S687" s="34"/>
      <c r="T687" s="34"/>
      <c r="U687" s="34"/>
      <c r="V687" s="34"/>
      <c r="W687" s="34"/>
      <c r="X687" s="34"/>
      <c r="Y687" s="34"/>
      <c r="Z687" s="34"/>
      <c r="AA687" s="34"/>
    </row>
    <row r="688" spans="1:27" ht="15">
      <c r="A688" s="66" t="s">
        <v>219</v>
      </c>
      <c r="B688" s="66" t="s">
        <v>514</v>
      </c>
      <c r="C688" s="67" t="s">
        <v>4454</v>
      </c>
      <c r="D688" s="68">
        <v>5</v>
      </c>
      <c r="E688" s="69"/>
      <c r="F688" s="70">
        <v>20</v>
      </c>
      <c r="G688" s="67"/>
      <c r="H688" s="71"/>
      <c r="I688" s="72"/>
      <c r="J688" s="72"/>
      <c r="K688" s="34" t="s">
        <v>65</v>
      </c>
      <c r="L688" s="79">
        <v>688</v>
      </c>
      <c r="M688" s="79"/>
      <c r="N688" s="74"/>
      <c r="O688" s="81" t="s">
        <v>944</v>
      </c>
      <c r="P688">
        <v>1</v>
      </c>
      <c r="Q688" s="80" t="str">
        <f>REPLACE(INDEX(GroupVertices[Group],MATCH(Edges[[#This Row],[Vertex 1]],GroupVertices[Vertex],0)),1,1,"")</f>
        <v>3</v>
      </c>
      <c r="R688" s="80" t="str">
        <f>REPLACE(INDEX(GroupVertices[Group],MATCH(Edges[[#This Row],[Vertex 2]],GroupVertices[Vertex],0)),1,1,"")</f>
        <v>3</v>
      </c>
      <c r="S688" s="34"/>
      <c r="T688" s="34"/>
      <c r="U688" s="34"/>
      <c r="V688" s="34"/>
      <c r="W688" s="34"/>
      <c r="X688" s="34"/>
      <c r="Y688" s="34"/>
      <c r="Z688" s="34"/>
      <c r="AA688" s="34"/>
    </row>
    <row r="689" spans="1:27" ht="15">
      <c r="A689" s="66" t="s">
        <v>219</v>
      </c>
      <c r="B689" s="66" t="s">
        <v>234</v>
      </c>
      <c r="C689" s="67" t="s">
        <v>4454</v>
      </c>
      <c r="D689" s="68">
        <v>5</v>
      </c>
      <c r="E689" s="69"/>
      <c r="F689" s="70">
        <v>20</v>
      </c>
      <c r="G689" s="67"/>
      <c r="H689" s="71"/>
      <c r="I689" s="72"/>
      <c r="J689" s="72"/>
      <c r="K689" s="34" t="s">
        <v>65</v>
      </c>
      <c r="L689" s="79">
        <v>689</v>
      </c>
      <c r="M689" s="79"/>
      <c r="N689" s="74"/>
      <c r="O689" s="81" t="s">
        <v>944</v>
      </c>
      <c r="P689">
        <v>1</v>
      </c>
      <c r="Q689" s="80" t="str">
        <f>REPLACE(INDEX(GroupVertices[Group],MATCH(Edges[[#This Row],[Vertex 1]],GroupVertices[Vertex],0)),1,1,"")</f>
        <v>3</v>
      </c>
      <c r="R689" s="80" t="str">
        <f>REPLACE(INDEX(GroupVertices[Group],MATCH(Edges[[#This Row],[Vertex 2]],GroupVertices[Vertex],0)),1,1,"")</f>
        <v>4</v>
      </c>
      <c r="S689" s="34"/>
      <c r="T689" s="34"/>
      <c r="U689" s="34"/>
      <c r="V689" s="34"/>
      <c r="W689" s="34"/>
      <c r="X689" s="34"/>
      <c r="Y689" s="34"/>
      <c r="Z689" s="34"/>
      <c r="AA689" s="34"/>
    </row>
    <row r="690" spans="1:27" ht="15">
      <c r="A690" s="66" t="s">
        <v>233</v>
      </c>
      <c r="B690" s="66" t="s">
        <v>219</v>
      </c>
      <c r="C690" s="67" t="s">
        <v>4454</v>
      </c>
      <c r="D690" s="68">
        <v>5</v>
      </c>
      <c r="E690" s="69"/>
      <c r="F690" s="70">
        <v>20</v>
      </c>
      <c r="G690" s="67"/>
      <c r="H690" s="71"/>
      <c r="I690" s="72"/>
      <c r="J690" s="72"/>
      <c r="K690" s="34" t="s">
        <v>66</v>
      </c>
      <c r="L690" s="79">
        <v>690</v>
      </c>
      <c r="M690" s="79"/>
      <c r="N690" s="74"/>
      <c r="O690" s="81" t="s">
        <v>944</v>
      </c>
      <c r="P690">
        <v>1</v>
      </c>
      <c r="Q690" s="80" t="str">
        <f>REPLACE(INDEX(GroupVertices[Group],MATCH(Edges[[#This Row],[Vertex 1]],GroupVertices[Vertex],0)),1,1,"")</f>
        <v>2</v>
      </c>
      <c r="R690" s="80" t="str">
        <f>REPLACE(INDEX(GroupVertices[Group],MATCH(Edges[[#This Row],[Vertex 2]],GroupVertices[Vertex],0)),1,1,"")</f>
        <v>3</v>
      </c>
      <c r="S690" s="34"/>
      <c r="T690" s="34"/>
      <c r="U690" s="34"/>
      <c r="V690" s="34"/>
      <c r="W690" s="34"/>
      <c r="X690" s="34"/>
      <c r="Y690" s="34"/>
      <c r="Z690" s="34"/>
      <c r="AA690" s="34"/>
    </row>
    <row r="691" spans="1:27" ht="15">
      <c r="A691" s="66" t="s">
        <v>243</v>
      </c>
      <c r="B691" s="66" t="s">
        <v>219</v>
      </c>
      <c r="C691" s="67" t="s">
        <v>4454</v>
      </c>
      <c r="D691" s="68">
        <v>5</v>
      </c>
      <c r="E691" s="69"/>
      <c r="F691" s="70">
        <v>20</v>
      </c>
      <c r="G691" s="67"/>
      <c r="H691" s="71"/>
      <c r="I691" s="72"/>
      <c r="J691" s="72"/>
      <c r="K691" s="34" t="s">
        <v>66</v>
      </c>
      <c r="L691" s="79">
        <v>691</v>
      </c>
      <c r="M691" s="79"/>
      <c r="N691" s="74"/>
      <c r="O691" s="81" t="s">
        <v>944</v>
      </c>
      <c r="P691">
        <v>1</v>
      </c>
      <c r="Q691" s="80" t="str">
        <f>REPLACE(INDEX(GroupVertices[Group],MATCH(Edges[[#This Row],[Vertex 1]],GroupVertices[Vertex],0)),1,1,"")</f>
        <v>2</v>
      </c>
      <c r="R691" s="80" t="str">
        <f>REPLACE(INDEX(GroupVertices[Group],MATCH(Edges[[#This Row],[Vertex 2]],GroupVertices[Vertex],0)),1,1,"")</f>
        <v>3</v>
      </c>
      <c r="S691" s="34"/>
      <c r="T691" s="34"/>
      <c r="U691" s="34"/>
      <c r="V691" s="34"/>
      <c r="W691" s="34"/>
      <c r="X691" s="34"/>
      <c r="Y691" s="34"/>
      <c r="Z691" s="34"/>
      <c r="AA691" s="34"/>
    </row>
    <row r="692" spans="1:27" ht="15">
      <c r="A692" s="66" t="s">
        <v>244</v>
      </c>
      <c r="B692" s="66" t="s">
        <v>219</v>
      </c>
      <c r="C692" s="67" t="s">
        <v>4454</v>
      </c>
      <c r="D692" s="68">
        <v>5</v>
      </c>
      <c r="E692" s="69"/>
      <c r="F692" s="70">
        <v>20</v>
      </c>
      <c r="G692" s="67"/>
      <c r="H692" s="71"/>
      <c r="I692" s="72"/>
      <c r="J692" s="72"/>
      <c r="K692" s="34" t="s">
        <v>66</v>
      </c>
      <c r="L692" s="79">
        <v>692</v>
      </c>
      <c r="M692" s="79"/>
      <c r="N692" s="74"/>
      <c r="O692" s="81" t="s">
        <v>944</v>
      </c>
      <c r="P692">
        <v>1</v>
      </c>
      <c r="Q692" s="80" t="str">
        <f>REPLACE(INDEX(GroupVertices[Group],MATCH(Edges[[#This Row],[Vertex 1]],GroupVertices[Vertex],0)),1,1,"")</f>
        <v>2</v>
      </c>
      <c r="R692" s="80" t="str">
        <f>REPLACE(INDEX(GroupVertices[Group],MATCH(Edges[[#This Row],[Vertex 2]],GroupVertices[Vertex],0)),1,1,"")</f>
        <v>3</v>
      </c>
      <c r="S692" s="34"/>
      <c r="T692" s="34"/>
      <c r="U692" s="34"/>
      <c r="V692" s="34"/>
      <c r="W692" s="34"/>
      <c r="X692" s="34"/>
      <c r="Y692" s="34"/>
      <c r="Z692" s="34"/>
      <c r="AA692" s="34"/>
    </row>
    <row r="693" spans="1:27" ht="15">
      <c r="A693" s="66" t="s">
        <v>244</v>
      </c>
      <c r="B693" s="66" t="s">
        <v>676</v>
      </c>
      <c r="C693" s="67" t="s">
        <v>4454</v>
      </c>
      <c r="D693" s="68">
        <v>5</v>
      </c>
      <c r="E693" s="69"/>
      <c r="F693" s="70">
        <v>20</v>
      </c>
      <c r="G693" s="67"/>
      <c r="H693" s="71"/>
      <c r="I693" s="72"/>
      <c r="J693" s="72"/>
      <c r="K693" s="34"/>
      <c r="L693" s="79">
        <v>693</v>
      </c>
      <c r="M693" s="79"/>
      <c r="N693" s="74"/>
      <c r="O693" s="81" t="s">
        <v>944</v>
      </c>
      <c r="P693">
        <v>1</v>
      </c>
      <c r="Q693" s="80" t="str">
        <f>REPLACE(INDEX(GroupVertices[Group],MATCH(Edges[[#This Row],[Vertex 1]],GroupVertices[Vertex],0)),1,1,"")</f>
        <v>2</v>
      </c>
      <c r="R693" s="80" t="e">
        <f>REPLACE(INDEX(GroupVertices[Group],MATCH(Edges[[#This Row],[Vertex 2]],GroupVertices[Vertex],0)),1,1,"")</f>
        <v>#N/A</v>
      </c>
      <c r="S693" s="34"/>
      <c r="T693" s="34"/>
      <c r="U693" s="34"/>
      <c r="V693" s="34"/>
      <c r="W693" s="34"/>
      <c r="X693" s="34"/>
      <c r="Y693" s="34"/>
      <c r="Z693" s="34"/>
      <c r="AA693" s="34"/>
    </row>
    <row r="694" spans="1:27" ht="15">
      <c r="A694" s="66" t="s">
        <v>244</v>
      </c>
      <c r="B694" s="66" t="s">
        <v>677</v>
      </c>
      <c r="C694" s="67" t="s">
        <v>4454</v>
      </c>
      <c r="D694" s="68">
        <v>5</v>
      </c>
      <c r="E694" s="69"/>
      <c r="F694" s="70">
        <v>20</v>
      </c>
      <c r="G694" s="67"/>
      <c r="H694" s="71"/>
      <c r="I694" s="72"/>
      <c r="J694" s="72"/>
      <c r="K694" s="34"/>
      <c r="L694" s="79">
        <v>694</v>
      </c>
      <c r="M694" s="79"/>
      <c r="N694" s="74"/>
      <c r="O694" s="81" t="s">
        <v>944</v>
      </c>
      <c r="P694">
        <v>1</v>
      </c>
      <c r="Q694" s="80" t="str">
        <f>REPLACE(INDEX(GroupVertices[Group],MATCH(Edges[[#This Row],[Vertex 1]],GroupVertices[Vertex],0)),1,1,"")</f>
        <v>2</v>
      </c>
      <c r="R694" s="80" t="e">
        <f>REPLACE(INDEX(GroupVertices[Group],MATCH(Edges[[#This Row],[Vertex 2]],GroupVertices[Vertex],0)),1,1,"")</f>
        <v>#N/A</v>
      </c>
      <c r="S694" s="34"/>
      <c r="T694" s="34"/>
      <c r="U694" s="34"/>
      <c r="V694" s="34"/>
      <c r="W694" s="34"/>
      <c r="X694" s="34"/>
      <c r="Y694" s="34"/>
      <c r="Z694" s="34"/>
      <c r="AA694" s="34"/>
    </row>
    <row r="695" spans="1:27" ht="15">
      <c r="A695" s="66" t="s">
        <v>244</v>
      </c>
      <c r="B695" s="66" t="s">
        <v>678</v>
      </c>
      <c r="C695" s="67" t="s">
        <v>4454</v>
      </c>
      <c r="D695" s="68">
        <v>5</v>
      </c>
      <c r="E695" s="69"/>
      <c r="F695" s="70">
        <v>20</v>
      </c>
      <c r="G695" s="67"/>
      <c r="H695" s="71"/>
      <c r="I695" s="72"/>
      <c r="J695" s="72"/>
      <c r="K695" s="34"/>
      <c r="L695" s="79">
        <v>695</v>
      </c>
      <c r="M695" s="79"/>
      <c r="N695" s="74"/>
      <c r="O695" s="81" t="s">
        <v>944</v>
      </c>
      <c r="P695">
        <v>1</v>
      </c>
      <c r="Q695" s="80" t="str">
        <f>REPLACE(INDEX(GroupVertices[Group],MATCH(Edges[[#This Row],[Vertex 1]],GroupVertices[Vertex],0)),1,1,"")</f>
        <v>2</v>
      </c>
      <c r="R695" s="80" t="e">
        <f>REPLACE(INDEX(GroupVertices[Group],MATCH(Edges[[#This Row],[Vertex 2]],GroupVertices[Vertex],0)),1,1,"")</f>
        <v>#N/A</v>
      </c>
      <c r="S695" s="34"/>
      <c r="T695" s="34"/>
      <c r="U695" s="34"/>
      <c r="V695" s="34"/>
      <c r="W695" s="34"/>
      <c r="X695" s="34"/>
      <c r="Y695" s="34"/>
      <c r="Z695" s="34"/>
      <c r="AA695" s="34"/>
    </row>
    <row r="696" spans="1:27" ht="15">
      <c r="A696" s="66" t="s">
        <v>244</v>
      </c>
      <c r="B696" s="66" t="s">
        <v>679</v>
      </c>
      <c r="C696" s="67" t="s">
        <v>4454</v>
      </c>
      <c r="D696" s="68">
        <v>5</v>
      </c>
      <c r="E696" s="69"/>
      <c r="F696" s="70">
        <v>20</v>
      </c>
      <c r="G696" s="67"/>
      <c r="H696" s="71"/>
      <c r="I696" s="72"/>
      <c r="J696" s="72"/>
      <c r="K696" s="34"/>
      <c r="L696" s="79">
        <v>696</v>
      </c>
      <c r="M696" s="79"/>
      <c r="N696" s="74"/>
      <c r="O696" s="81" t="s">
        <v>944</v>
      </c>
      <c r="P696">
        <v>1</v>
      </c>
      <c r="Q696" s="80" t="str">
        <f>REPLACE(INDEX(GroupVertices[Group],MATCH(Edges[[#This Row],[Vertex 1]],GroupVertices[Vertex],0)),1,1,"")</f>
        <v>2</v>
      </c>
      <c r="R696" s="80" t="e">
        <f>REPLACE(INDEX(GroupVertices[Group],MATCH(Edges[[#This Row],[Vertex 2]],GroupVertices[Vertex],0)),1,1,"")</f>
        <v>#N/A</v>
      </c>
      <c r="S696" s="34"/>
      <c r="T696" s="34"/>
      <c r="U696" s="34"/>
      <c r="V696" s="34"/>
      <c r="W696" s="34"/>
      <c r="X696" s="34"/>
      <c r="Y696" s="34"/>
      <c r="Z696" s="34"/>
      <c r="AA696" s="34"/>
    </row>
    <row r="697" spans="1:27" ht="15">
      <c r="A697" s="66" t="s">
        <v>244</v>
      </c>
      <c r="B697" s="66" t="s">
        <v>680</v>
      </c>
      <c r="C697" s="67" t="s">
        <v>4454</v>
      </c>
      <c r="D697" s="68">
        <v>5</v>
      </c>
      <c r="E697" s="69"/>
      <c r="F697" s="70">
        <v>20</v>
      </c>
      <c r="G697" s="67"/>
      <c r="H697" s="71"/>
      <c r="I697" s="72"/>
      <c r="J697" s="72"/>
      <c r="K697" s="34"/>
      <c r="L697" s="79">
        <v>697</v>
      </c>
      <c r="M697" s="79"/>
      <c r="N697" s="74"/>
      <c r="O697" s="81" t="s">
        <v>944</v>
      </c>
      <c r="P697">
        <v>1</v>
      </c>
      <c r="Q697" s="80" t="str">
        <f>REPLACE(INDEX(GroupVertices[Group],MATCH(Edges[[#This Row],[Vertex 1]],GroupVertices[Vertex],0)),1,1,"")</f>
        <v>2</v>
      </c>
      <c r="R697" s="80" t="e">
        <f>REPLACE(INDEX(GroupVertices[Group],MATCH(Edges[[#This Row],[Vertex 2]],GroupVertices[Vertex],0)),1,1,"")</f>
        <v>#N/A</v>
      </c>
      <c r="S697" s="34"/>
      <c r="T697" s="34"/>
      <c r="U697" s="34"/>
      <c r="V697" s="34"/>
      <c r="W697" s="34"/>
      <c r="X697" s="34"/>
      <c r="Y697" s="34"/>
      <c r="Z697" s="34"/>
      <c r="AA697" s="34"/>
    </row>
    <row r="698" spans="1:27" ht="15">
      <c r="A698" s="66" t="s">
        <v>244</v>
      </c>
      <c r="B698" s="66" t="s">
        <v>681</v>
      </c>
      <c r="C698" s="67" t="s">
        <v>4454</v>
      </c>
      <c r="D698" s="68">
        <v>5</v>
      </c>
      <c r="E698" s="69"/>
      <c r="F698" s="70">
        <v>20</v>
      </c>
      <c r="G698" s="67"/>
      <c r="H698" s="71"/>
      <c r="I698" s="72"/>
      <c r="J698" s="72"/>
      <c r="K698" s="34"/>
      <c r="L698" s="79">
        <v>698</v>
      </c>
      <c r="M698" s="79"/>
      <c r="N698" s="74"/>
      <c r="O698" s="81" t="s">
        <v>944</v>
      </c>
      <c r="P698">
        <v>1</v>
      </c>
      <c r="Q698" s="80" t="str">
        <f>REPLACE(INDEX(GroupVertices[Group],MATCH(Edges[[#This Row],[Vertex 1]],GroupVertices[Vertex],0)),1,1,"")</f>
        <v>2</v>
      </c>
      <c r="R698" s="80" t="e">
        <f>REPLACE(INDEX(GroupVertices[Group],MATCH(Edges[[#This Row],[Vertex 2]],GroupVertices[Vertex],0)),1,1,"")</f>
        <v>#N/A</v>
      </c>
      <c r="S698" s="34"/>
      <c r="T698" s="34"/>
      <c r="U698" s="34"/>
      <c r="V698" s="34"/>
      <c r="W698" s="34"/>
      <c r="X698" s="34"/>
      <c r="Y698" s="34"/>
      <c r="Z698" s="34"/>
      <c r="AA698" s="34"/>
    </row>
    <row r="699" spans="1:27" ht="15">
      <c r="A699" s="66" t="s">
        <v>244</v>
      </c>
      <c r="B699" s="66" t="s">
        <v>682</v>
      </c>
      <c r="C699" s="67" t="s">
        <v>4454</v>
      </c>
      <c r="D699" s="68">
        <v>5</v>
      </c>
      <c r="E699" s="69"/>
      <c r="F699" s="70">
        <v>20</v>
      </c>
      <c r="G699" s="67"/>
      <c r="H699" s="71"/>
      <c r="I699" s="72"/>
      <c r="J699" s="72"/>
      <c r="K699" s="34"/>
      <c r="L699" s="79">
        <v>699</v>
      </c>
      <c r="M699" s="79"/>
      <c r="N699" s="74"/>
      <c r="O699" s="81" t="s">
        <v>944</v>
      </c>
      <c r="P699">
        <v>1</v>
      </c>
      <c r="Q699" s="80" t="str">
        <f>REPLACE(INDEX(GroupVertices[Group],MATCH(Edges[[#This Row],[Vertex 1]],GroupVertices[Vertex],0)),1,1,"")</f>
        <v>2</v>
      </c>
      <c r="R699" s="80" t="e">
        <f>REPLACE(INDEX(GroupVertices[Group],MATCH(Edges[[#This Row],[Vertex 2]],GroupVertices[Vertex],0)),1,1,"")</f>
        <v>#N/A</v>
      </c>
      <c r="S699" s="34"/>
      <c r="T699" s="34"/>
      <c r="U699" s="34"/>
      <c r="V699" s="34"/>
      <c r="W699" s="34"/>
      <c r="X699" s="34"/>
      <c r="Y699" s="34"/>
      <c r="Z699" s="34"/>
      <c r="AA699" s="34"/>
    </row>
    <row r="700" spans="1:27" ht="15">
      <c r="A700" s="66" t="s">
        <v>244</v>
      </c>
      <c r="B700" s="66" t="s">
        <v>683</v>
      </c>
      <c r="C700" s="67" t="s">
        <v>4454</v>
      </c>
      <c r="D700" s="68">
        <v>5</v>
      </c>
      <c r="E700" s="69"/>
      <c r="F700" s="70">
        <v>20</v>
      </c>
      <c r="G700" s="67"/>
      <c r="H700" s="71"/>
      <c r="I700" s="72"/>
      <c r="J700" s="72"/>
      <c r="K700" s="34"/>
      <c r="L700" s="79">
        <v>700</v>
      </c>
      <c r="M700" s="79"/>
      <c r="N700" s="74"/>
      <c r="O700" s="81" t="s">
        <v>944</v>
      </c>
      <c r="P700">
        <v>1</v>
      </c>
      <c r="Q700" s="80" t="str">
        <f>REPLACE(INDEX(GroupVertices[Group],MATCH(Edges[[#This Row],[Vertex 1]],GroupVertices[Vertex],0)),1,1,"")</f>
        <v>2</v>
      </c>
      <c r="R700" s="80" t="e">
        <f>REPLACE(INDEX(GroupVertices[Group],MATCH(Edges[[#This Row],[Vertex 2]],GroupVertices[Vertex],0)),1,1,"")</f>
        <v>#N/A</v>
      </c>
      <c r="S700" s="34"/>
      <c r="T700" s="34"/>
      <c r="U700" s="34"/>
      <c r="V700" s="34"/>
      <c r="W700" s="34"/>
      <c r="X700" s="34"/>
      <c r="Y700" s="34"/>
      <c r="Z700" s="34"/>
      <c r="AA700" s="34"/>
    </row>
    <row r="701" spans="1:27" ht="15">
      <c r="A701" s="66" t="s">
        <v>244</v>
      </c>
      <c r="B701" s="66" t="s">
        <v>684</v>
      </c>
      <c r="C701" s="67" t="s">
        <v>4454</v>
      </c>
      <c r="D701" s="68">
        <v>5</v>
      </c>
      <c r="E701" s="69"/>
      <c r="F701" s="70">
        <v>20</v>
      </c>
      <c r="G701" s="67"/>
      <c r="H701" s="71"/>
      <c r="I701" s="72"/>
      <c r="J701" s="72"/>
      <c r="K701" s="34"/>
      <c r="L701" s="79">
        <v>701</v>
      </c>
      <c r="M701" s="79"/>
      <c r="N701" s="74"/>
      <c r="O701" s="81" t="s">
        <v>944</v>
      </c>
      <c r="P701">
        <v>1</v>
      </c>
      <c r="Q701" s="80" t="str">
        <f>REPLACE(INDEX(GroupVertices[Group],MATCH(Edges[[#This Row],[Vertex 1]],GroupVertices[Vertex],0)),1,1,"")</f>
        <v>2</v>
      </c>
      <c r="R701" s="80" t="e">
        <f>REPLACE(INDEX(GroupVertices[Group],MATCH(Edges[[#This Row],[Vertex 2]],GroupVertices[Vertex],0)),1,1,"")</f>
        <v>#N/A</v>
      </c>
      <c r="S701" s="34"/>
      <c r="T701" s="34"/>
      <c r="U701" s="34"/>
      <c r="V701" s="34"/>
      <c r="W701" s="34"/>
      <c r="X701" s="34"/>
      <c r="Y701" s="34"/>
      <c r="Z701" s="34"/>
      <c r="AA701" s="34"/>
    </row>
    <row r="702" spans="1:27" ht="15">
      <c r="A702" s="66" t="s">
        <v>244</v>
      </c>
      <c r="B702" s="66" t="s">
        <v>685</v>
      </c>
      <c r="C702" s="67" t="s">
        <v>4454</v>
      </c>
      <c r="D702" s="68">
        <v>5</v>
      </c>
      <c r="E702" s="69"/>
      <c r="F702" s="70">
        <v>20</v>
      </c>
      <c r="G702" s="67"/>
      <c r="H702" s="71"/>
      <c r="I702" s="72"/>
      <c r="J702" s="72"/>
      <c r="K702" s="34"/>
      <c r="L702" s="79">
        <v>702</v>
      </c>
      <c r="M702" s="79"/>
      <c r="N702" s="74"/>
      <c r="O702" s="81" t="s">
        <v>944</v>
      </c>
      <c r="P702">
        <v>1</v>
      </c>
      <c r="Q702" s="80" t="str">
        <f>REPLACE(INDEX(GroupVertices[Group],MATCH(Edges[[#This Row],[Vertex 1]],GroupVertices[Vertex],0)),1,1,"")</f>
        <v>2</v>
      </c>
      <c r="R702" s="80" t="e">
        <f>REPLACE(INDEX(GroupVertices[Group],MATCH(Edges[[#This Row],[Vertex 2]],GroupVertices[Vertex],0)),1,1,"")</f>
        <v>#N/A</v>
      </c>
      <c r="S702" s="34"/>
      <c r="T702" s="34"/>
      <c r="U702" s="34"/>
      <c r="V702" s="34"/>
      <c r="W702" s="34"/>
      <c r="X702" s="34"/>
      <c r="Y702" s="34"/>
      <c r="Z702" s="34"/>
      <c r="AA702" s="34"/>
    </row>
    <row r="703" spans="1:27" ht="15">
      <c r="A703" s="66" t="s">
        <v>244</v>
      </c>
      <c r="B703" s="66" t="s">
        <v>686</v>
      </c>
      <c r="C703" s="67" t="s">
        <v>4454</v>
      </c>
      <c r="D703" s="68">
        <v>5</v>
      </c>
      <c r="E703" s="69"/>
      <c r="F703" s="70">
        <v>20</v>
      </c>
      <c r="G703" s="67"/>
      <c r="H703" s="71"/>
      <c r="I703" s="72"/>
      <c r="J703" s="72"/>
      <c r="K703" s="34"/>
      <c r="L703" s="79">
        <v>703</v>
      </c>
      <c r="M703" s="79"/>
      <c r="N703" s="74"/>
      <c r="O703" s="81" t="s">
        <v>944</v>
      </c>
      <c r="P703">
        <v>1</v>
      </c>
      <c r="Q703" s="80" t="str">
        <f>REPLACE(INDEX(GroupVertices[Group],MATCH(Edges[[#This Row],[Vertex 1]],GroupVertices[Vertex],0)),1,1,"")</f>
        <v>2</v>
      </c>
      <c r="R703" s="80" t="e">
        <f>REPLACE(INDEX(GroupVertices[Group],MATCH(Edges[[#This Row],[Vertex 2]],GroupVertices[Vertex],0)),1,1,"")</f>
        <v>#N/A</v>
      </c>
      <c r="S703" s="34"/>
      <c r="T703" s="34"/>
      <c r="U703" s="34"/>
      <c r="V703" s="34"/>
      <c r="W703" s="34"/>
      <c r="X703" s="34"/>
      <c r="Y703" s="34"/>
      <c r="Z703" s="34"/>
      <c r="AA703" s="34"/>
    </row>
    <row r="704" spans="1:27" ht="15">
      <c r="A704" s="66" t="s">
        <v>244</v>
      </c>
      <c r="B704" s="66" t="s">
        <v>687</v>
      </c>
      <c r="C704" s="67" t="s">
        <v>4454</v>
      </c>
      <c r="D704" s="68">
        <v>5</v>
      </c>
      <c r="E704" s="69"/>
      <c r="F704" s="70">
        <v>20</v>
      </c>
      <c r="G704" s="67"/>
      <c r="H704" s="71"/>
      <c r="I704" s="72"/>
      <c r="J704" s="72"/>
      <c r="K704" s="34"/>
      <c r="L704" s="79">
        <v>704</v>
      </c>
      <c r="M704" s="79"/>
      <c r="N704" s="74"/>
      <c r="O704" s="81" t="s">
        <v>944</v>
      </c>
      <c r="P704">
        <v>1</v>
      </c>
      <c r="Q704" s="80" t="str">
        <f>REPLACE(INDEX(GroupVertices[Group],MATCH(Edges[[#This Row],[Vertex 1]],GroupVertices[Vertex],0)),1,1,"")</f>
        <v>2</v>
      </c>
      <c r="R704" s="80" t="e">
        <f>REPLACE(INDEX(GroupVertices[Group],MATCH(Edges[[#This Row],[Vertex 2]],GroupVertices[Vertex],0)),1,1,"")</f>
        <v>#N/A</v>
      </c>
      <c r="S704" s="34"/>
      <c r="T704" s="34"/>
      <c r="U704" s="34"/>
      <c r="V704" s="34"/>
      <c r="W704" s="34"/>
      <c r="X704" s="34"/>
      <c r="Y704" s="34"/>
      <c r="Z704" s="34"/>
      <c r="AA704" s="34"/>
    </row>
    <row r="705" spans="1:27" ht="15">
      <c r="A705" s="66" t="s">
        <v>244</v>
      </c>
      <c r="B705" s="66" t="s">
        <v>688</v>
      </c>
      <c r="C705" s="67" t="s">
        <v>4454</v>
      </c>
      <c r="D705" s="68">
        <v>5</v>
      </c>
      <c r="E705" s="69"/>
      <c r="F705" s="70">
        <v>20</v>
      </c>
      <c r="G705" s="67"/>
      <c r="H705" s="71"/>
      <c r="I705" s="72"/>
      <c r="J705" s="72"/>
      <c r="K705" s="34"/>
      <c r="L705" s="79">
        <v>705</v>
      </c>
      <c r="M705" s="79"/>
      <c r="N705" s="74"/>
      <c r="O705" s="81" t="s">
        <v>944</v>
      </c>
      <c r="P705">
        <v>1</v>
      </c>
      <c r="Q705" s="80" t="str">
        <f>REPLACE(INDEX(GroupVertices[Group],MATCH(Edges[[#This Row],[Vertex 1]],GroupVertices[Vertex],0)),1,1,"")</f>
        <v>2</v>
      </c>
      <c r="R705" s="80" t="e">
        <f>REPLACE(INDEX(GroupVertices[Group],MATCH(Edges[[#This Row],[Vertex 2]],GroupVertices[Vertex],0)),1,1,"")</f>
        <v>#N/A</v>
      </c>
      <c r="S705" s="34"/>
      <c r="T705" s="34"/>
      <c r="U705" s="34"/>
      <c r="V705" s="34"/>
      <c r="W705" s="34"/>
      <c r="X705" s="34"/>
      <c r="Y705" s="34"/>
      <c r="Z705" s="34"/>
      <c r="AA705" s="34"/>
    </row>
    <row r="706" spans="1:27" ht="15">
      <c r="A706" s="66" t="s">
        <v>244</v>
      </c>
      <c r="B706" s="66" t="s">
        <v>689</v>
      </c>
      <c r="C706" s="67" t="s">
        <v>4454</v>
      </c>
      <c r="D706" s="68">
        <v>5</v>
      </c>
      <c r="E706" s="69"/>
      <c r="F706" s="70">
        <v>20</v>
      </c>
      <c r="G706" s="67"/>
      <c r="H706" s="71"/>
      <c r="I706" s="72"/>
      <c r="J706" s="72"/>
      <c r="K706" s="34"/>
      <c r="L706" s="79">
        <v>706</v>
      </c>
      <c r="M706" s="79"/>
      <c r="N706" s="74"/>
      <c r="O706" s="81" t="s">
        <v>944</v>
      </c>
      <c r="P706">
        <v>1</v>
      </c>
      <c r="Q706" s="80" t="str">
        <f>REPLACE(INDEX(GroupVertices[Group],MATCH(Edges[[#This Row],[Vertex 1]],GroupVertices[Vertex],0)),1,1,"")</f>
        <v>2</v>
      </c>
      <c r="R706" s="80" t="e">
        <f>REPLACE(INDEX(GroupVertices[Group],MATCH(Edges[[#This Row],[Vertex 2]],GroupVertices[Vertex],0)),1,1,"")</f>
        <v>#N/A</v>
      </c>
      <c r="S706" s="34"/>
      <c r="T706" s="34"/>
      <c r="U706" s="34"/>
      <c r="V706" s="34"/>
      <c r="W706" s="34"/>
      <c r="X706" s="34"/>
      <c r="Y706" s="34"/>
      <c r="Z706" s="34"/>
      <c r="AA706" s="34"/>
    </row>
    <row r="707" spans="1:27" ht="15">
      <c r="A707" s="66" t="s">
        <v>244</v>
      </c>
      <c r="B707" s="66" t="s">
        <v>690</v>
      </c>
      <c r="C707" s="67" t="s">
        <v>4454</v>
      </c>
      <c r="D707" s="68">
        <v>5</v>
      </c>
      <c r="E707" s="69"/>
      <c r="F707" s="70">
        <v>20</v>
      </c>
      <c r="G707" s="67"/>
      <c r="H707" s="71"/>
      <c r="I707" s="72"/>
      <c r="J707" s="72"/>
      <c r="K707" s="34"/>
      <c r="L707" s="79">
        <v>707</v>
      </c>
      <c r="M707" s="79"/>
      <c r="N707" s="74"/>
      <c r="O707" s="81" t="s">
        <v>944</v>
      </c>
      <c r="P707">
        <v>1</v>
      </c>
      <c r="Q707" s="80" t="str">
        <f>REPLACE(INDEX(GroupVertices[Group],MATCH(Edges[[#This Row],[Vertex 1]],GroupVertices[Vertex],0)),1,1,"")</f>
        <v>2</v>
      </c>
      <c r="R707" s="80" t="e">
        <f>REPLACE(INDEX(GroupVertices[Group],MATCH(Edges[[#This Row],[Vertex 2]],GroupVertices[Vertex],0)),1,1,"")</f>
        <v>#N/A</v>
      </c>
      <c r="S707" s="34"/>
      <c r="T707" s="34"/>
      <c r="U707" s="34"/>
      <c r="V707" s="34"/>
      <c r="W707" s="34"/>
      <c r="X707" s="34"/>
      <c r="Y707" s="34"/>
      <c r="Z707" s="34"/>
      <c r="AA707" s="34"/>
    </row>
    <row r="708" spans="1:27" ht="15">
      <c r="A708" s="66" t="s">
        <v>244</v>
      </c>
      <c r="B708" s="66" t="s">
        <v>691</v>
      </c>
      <c r="C708" s="67" t="s">
        <v>4454</v>
      </c>
      <c r="D708" s="68">
        <v>5</v>
      </c>
      <c r="E708" s="69"/>
      <c r="F708" s="70">
        <v>20</v>
      </c>
      <c r="G708" s="67"/>
      <c r="H708" s="71"/>
      <c r="I708" s="72"/>
      <c r="J708" s="72"/>
      <c r="K708" s="34"/>
      <c r="L708" s="79">
        <v>708</v>
      </c>
      <c r="M708" s="79"/>
      <c r="N708" s="74"/>
      <c r="O708" s="81" t="s">
        <v>944</v>
      </c>
      <c r="P708">
        <v>1</v>
      </c>
      <c r="Q708" s="80" t="str">
        <f>REPLACE(INDEX(GroupVertices[Group],MATCH(Edges[[#This Row],[Vertex 1]],GroupVertices[Vertex],0)),1,1,"")</f>
        <v>2</v>
      </c>
      <c r="R708" s="80" t="e">
        <f>REPLACE(INDEX(GroupVertices[Group],MATCH(Edges[[#This Row],[Vertex 2]],GroupVertices[Vertex],0)),1,1,"")</f>
        <v>#N/A</v>
      </c>
      <c r="S708" s="34"/>
      <c r="T708" s="34"/>
      <c r="U708" s="34"/>
      <c r="V708" s="34"/>
      <c r="W708" s="34"/>
      <c r="X708" s="34"/>
      <c r="Y708" s="34"/>
      <c r="Z708" s="34"/>
      <c r="AA708" s="34"/>
    </row>
    <row r="709" spans="1:27" ht="15">
      <c r="A709" s="66" t="s">
        <v>224</v>
      </c>
      <c r="B709" s="66" t="s">
        <v>692</v>
      </c>
      <c r="C709" s="67" t="s">
        <v>4454</v>
      </c>
      <c r="D709" s="68">
        <v>5</v>
      </c>
      <c r="E709" s="69"/>
      <c r="F709" s="70">
        <v>20</v>
      </c>
      <c r="G709" s="67"/>
      <c r="H709" s="71"/>
      <c r="I709" s="72"/>
      <c r="J709" s="72"/>
      <c r="K709" s="34" t="s">
        <v>65</v>
      </c>
      <c r="L709" s="79">
        <v>709</v>
      </c>
      <c r="M709" s="79"/>
      <c r="N709" s="74"/>
      <c r="O709" s="81" t="s">
        <v>944</v>
      </c>
      <c r="P709">
        <v>1</v>
      </c>
      <c r="Q709" s="80" t="str">
        <f>REPLACE(INDEX(GroupVertices[Group],MATCH(Edges[[#This Row],[Vertex 1]],GroupVertices[Vertex],0)),1,1,"")</f>
        <v>2</v>
      </c>
      <c r="R709" s="80" t="str">
        <f>REPLACE(INDEX(GroupVertices[Group],MATCH(Edges[[#This Row],[Vertex 2]],GroupVertices[Vertex],0)),1,1,"")</f>
        <v>2</v>
      </c>
      <c r="S709" s="34"/>
      <c r="T709" s="34"/>
      <c r="U709" s="34"/>
      <c r="V709" s="34"/>
      <c r="W709" s="34"/>
      <c r="X709" s="34"/>
      <c r="Y709" s="34"/>
      <c r="Z709" s="34"/>
      <c r="AA709" s="34"/>
    </row>
    <row r="710" spans="1:27" ht="15">
      <c r="A710" s="66" t="s">
        <v>244</v>
      </c>
      <c r="B710" s="66" t="s">
        <v>692</v>
      </c>
      <c r="C710" s="67" t="s">
        <v>4454</v>
      </c>
      <c r="D710" s="68">
        <v>5</v>
      </c>
      <c r="E710" s="69"/>
      <c r="F710" s="70">
        <v>20</v>
      </c>
      <c r="G710" s="67"/>
      <c r="H710" s="71"/>
      <c r="I710" s="72"/>
      <c r="J710" s="72"/>
      <c r="K710" s="34" t="s">
        <v>65</v>
      </c>
      <c r="L710" s="79">
        <v>710</v>
      </c>
      <c r="M710" s="79"/>
      <c r="N710" s="74"/>
      <c r="O710" s="81" t="s">
        <v>944</v>
      </c>
      <c r="P710">
        <v>1</v>
      </c>
      <c r="Q710" s="80" t="str">
        <f>REPLACE(INDEX(GroupVertices[Group],MATCH(Edges[[#This Row],[Vertex 1]],GroupVertices[Vertex],0)),1,1,"")</f>
        <v>2</v>
      </c>
      <c r="R710" s="80" t="str">
        <f>REPLACE(INDEX(GroupVertices[Group],MATCH(Edges[[#This Row],[Vertex 2]],GroupVertices[Vertex],0)),1,1,"")</f>
        <v>2</v>
      </c>
      <c r="S710" s="34"/>
      <c r="T710" s="34"/>
      <c r="U710" s="34"/>
      <c r="V710" s="34"/>
      <c r="W710" s="34"/>
      <c r="X710" s="34"/>
      <c r="Y710" s="34"/>
      <c r="Z710" s="34"/>
      <c r="AA710" s="34"/>
    </row>
    <row r="711" spans="1:27" ht="15">
      <c r="A711" s="66" t="s">
        <v>244</v>
      </c>
      <c r="B711" s="66" t="s">
        <v>693</v>
      </c>
      <c r="C711" s="67" t="s">
        <v>4454</v>
      </c>
      <c r="D711" s="68">
        <v>5</v>
      </c>
      <c r="E711" s="69"/>
      <c r="F711" s="70">
        <v>20</v>
      </c>
      <c r="G711" s="67"/>
      <c r="H711" s="71"/>
      <c r="I711" s="72"/>
      <c r="J711" s="72"/>
      <c r="K711" s="34"/>
      <c r="L711" s="79">
        <v>711</v>
      </c>
      <c r="M711" s="79"/>
      <c r="N711" s="74"/>
      <c r="O711" s="81" t="s">
        <v>944</v>
      </c>
      <c r="P711">
        <v>1</v>
      </c>
      <c r="Q711" s="80" t="str">
        <f>REPLACE(INDEX(GroupVertices[Group],MATCH(Edges[[#This Row],[Vertex 1]],GroupVertices[Vertex],0)),1,1,"")</f>
        <v>2</v>
      </c>
      <c r="R711" s="80" t="e">
        <f>REPLACE(INDEX(GroupVertices[Group],MATCH(Edges[[#This Row],[Vertex 2]],GroupVertices[Vertex],0)),1,1,"")</f>
        <v>#N/A</v>
      </c>
      <c r="S711" s="34"/>
      <c r="T711" s="34"/>
      <c r="U711" s="34"/>
      <c r="V711" s="34"/>
      <c r="W711" s="34"/>
      <c r="X711" s="34"/>
      <c r="Y711" s="34"/>
      <c r="Z711" s="34"/>
      <c r="AA711" s="34"/>
    </row>
    <row r="712" spans="1:27" ht="15">
      <c r="A712" s="66" t="s">
        <v>244</v>
      </c>
      <c r="B712" s="66" t="s">
        <v>694</v>
      </c>
      <c r="C712" s="67" t="s">
        <v>4454</v>
      </c>
      <c r="D712" s="68">
        <v>5</v>
      </c>
      <c r="E712" s="69"/>
      <c r="F712" s="70">
        <v>20</v>
      </c>
      <c r="G712" s="67"/>
      <c r="H712" s="71"/>
      <c r="I712" s="72"/>
      <c r="J712" s="72"/>
      <c r="K712" s="34"/>
      <c r="L712" s="79">
        <v>712</v>
      </c>
      <c r="M712" s="79"/>
      <c r="N712" s="74"/>
      <c r="O712" s="81" t="s">
        <v>944</v>
      </c>
      <c r="P712">
        <v>1</v>
      </c>
      <c r="Q712" s="80" t="str">
        <f>REPLACE(INDEX(GroupVertices[Group],MATCH(Edges[[#This Row],[Vertex 1]],GroupVertices[Vertex],0)),1,1,"")</f>
        <v>2</v>
      </c>
      <c r="R712" s="80" t="e">
        <f>REPLACE(INDEX(GroupVertices[Group],MATCH(Edges[[#This Row],[Vertex 2]],GroupVertices[Vertex],0)),1,1,"")</f>
        <v>#N/A</v>
      </c>
      <c r="S712" s="34"/>
      <c r="T712" s="34"/>
      <c r="U712" s="34"/>
      <c r="V712" s="34"/>
      <c r="W712" s="34"/>
      <c r="X712" s="34"/>
      <c r="Y712" s="34"/>
      <c r="Z712" s="34"/>
      <c r="AA712" s="34"/>
    </row>
    <row r="713" spans="1:27" ht="15">
      <c r="A713" s="66" t="s">
        <v>244</v>
      </c>
      <c r="B713" s="66" t="s">
        <v>695</v>
      </c>
      <c r="C713" s="67" t="s">
        <v>4454</v>
      </c>
      <c r="D713" s="68">
        <v>5</v>
      </c>
      <c r="E713" s="69"/>
      <c r="F713" s="70">
        <v>20</v>
      </c>
      <c r="G713" s="67"/>
      <c r="H713" s="71"/>
      <c r="I713" s="72"/>
      <c r="J713" s="72"/>
      <c r="K713" s="34"/>
      <c r="L713" s="79">
        <v>713</v>
      </c>
      <c r="M713" s="79"/>
      <c r="N713" s="74"/>
      <c r="O713" s="81" t="s">
        <v>944</v>
      </c>
      <c r="P713">
        <v>1</v>
      </c>
      <c r="Q713" s="80" t="str">
        <f>REPLACE(INDEX(GroupVertices[Group],MATCH(Edges[[#This Row],[Vertex 1]],GroupVertices[Vertex],0)),1,1,"")</f>
        <v>2</v>
      </c>
      <c r="R713" s="80" t="e">
        <f>REPLACE(INDEX(GroupVertices[Group],MATCH(Edges[[#This Row],[Vertex 2]],GroupVertices[Vertex],0)),1,1,"")</f>
        <v>#N/A</v>
      </c>
      <c r="S713" s="34"/>
      <c r="T713" s="34"/>
      <c r="U713" s="34"/>
      <c r="V713" s="34"/>
      <c r="W713" s="34"/>
      <c r="X713" s="34"/>
      <c r="Y713" s="34"/>
      <c r="Z713" s="34"/>
      <c r="AA713" s="34"/>
    </row>
    <row r="714" spans="1:27" ht="15">
      <c r="A714" s="66" t="s">
        <v>244</v>
      </c>
      <c r="B714" s="66" t="s">
        <v>696</v>
      </c>
      <c r="C714" s="67" t="s">
        <v>4454</v>
      </c>
      <c r="D714" s="68">
        <v>5</v>
      </c>
      <c r="E714" s="69"/>
      <c r="F714" s="70">
        <v>20</v>
      </c>
      <c r="G714" s="67"/>
      <c r="H714" s="71"/>
      <c r="I714" s="72"/>
      <c r="J714" s="72"/>
      <c r="K714" s="34"/>
      <c r="L714" s="79">
        <v>714</v>
      </c>
      <c r="M714" s="79"/>
      <c r="N714" s="74"/>
      <c r="O714" s="81" t="s">
        <v>944</v>
      </c>
      <c r="P714">
        <v>1</v>
      </c>
      <c r="Q714" s="80" t="str">
        <f>REPLACE(INDEX(GroupVertices[Group],MATCH(Edges[[#This Row],[Vertex 1]],GroupVertices[Vertex],0)),1,1,"")</f>
        <v>2</v>
      </c>
      <c r="R714" s="80" t="e">
        <f>REPLACE(INDEX(GroupVertices[Group],MATCH(Edges[[#This Row],[Vertex 2]],GroupVertices[Vertex],0)),1,1,"")</f>
        <v>#N/A</v>
      </c>
      <c r="S714" s="34"/>
      <c r="T714" s="34"/>
      <c r="U714" s="34"/>
      <c r="V714" s="34"/>
      <c r="W714" s="34"/>
      <c r="X714" s="34"/>
      <c r="Y714" s="34"/>
      <c r="Z714" s="34"/>
      <c r="AA714" s="34"/>
    </row>
    <row r="715" spans="1:27" ht="15">
      <c r="A715" s="66" t="s">
        <v>244</v>
      </c>
      <c r="B715" s="66" t="s">
        <v>697</v>
      </c>
      <c r="C715" s="67" t="s">
        <v>4454</v>
      </c>
      <c r="D715" s="68">
        <v>5</v>
      </c>
      <c r="E715" s="69"/>
      <c r="F715" s="70">
        <v>20</v>
      </c>
      <c r="G715" s="67"/>
      <c r="H715" s="71"/>
      <c r="I715" s="72"/>
      <c r="J715" s="72"/>
      <c r="K715" s="34"/>
      <c r="L715" s="79">
        <v>715</v>
      </c>
      <c r="M715" s="79"/>
      <c r="N715" s="74"/>
      <c r="O715" s="81" t="s">
        <v>944</v>
      </c>
      <c r="P715">
        <v>1</v>
      </c>
      <c r="Q715" s="80" t="str">
        <f>REPLACE(INDEX(GroupVertices[Group],MATCH(Edges[[#This Row],[Vertex 1]],GroupVertices[Vertex],0)),1,1,"")</f>
        <v>2</v>
      </c>
      <c r="R715" s="80" t="e">
        <f>REPLACE(INDEX(GroupVertices[Group],MATCH(Edges[[#This Row],[Vertex 2]],GroupVertices[Vertex],0)),1,1,"")</f>
        <v>#N/A</v>
      </c>
      <c r="S715" s="34"/>
      <c r="T715" s="34"/>
      <c r="U715" s="34"/>
      <c r="V715" s="34"/>
      <c r="W715" s="34"/>
      <c r="X715" s="34"/>
      <c r="Y715" s="34"/>
      <c r="Z715" s="34"/>
      <c r="AA715" s="34"/>
    </row>
    <row r="716" spans="1:27" ht="15">
      <c r="A716" s="66" t="s">
        <v>244</v>
      </c>
      <c r="B716" s="66" t="s">
        <v>698</v>
      </c>
      <c r="C716" s="67" t="s">
        <v>4454</v>
      </c>
      <c r="D716" s="68">
        <v>5</v>
      </c>
      <c r="E716" s="69"/>
      <c r="F716" s="70">
        <v>20</v>
      </c>
      <c r="G716" s="67"/>
      <c r="H716" s="71"/>
      <c r="I716" s="72"/>
      <c r="J716" s="72"/>
      <c r="K716" s="34"/>
      <c r="L716" s="79">
        <v>716</v>
      </c>
      <c r="M716" s="79"/>
      <c r="N716" s="74"/>
      <c r="O716" s="81" t="s">
        <v>944</v>
      </c>
      <c r="P716">
        <v>1</v>
      </c>
      <c r="Q716" s="80" t="str">
        <f>REPLACE(INDEX(GroupVertices[Group],MATCH(Edges[[#This Row],[Vertex 1]],GroupVertices[Vertex],0)),1,1,"")</f>
        <v>2</v>
      </c>
      <c r="R716" s="80" t="e">
        <f>REPLACE(INDEX(GroupVertices[Group],MATCH(Edges[[#This Row],[Vertex 2]],GroupVertices[Vertex],0)),1,1,"")</f>
        <v>#N/A</v>
      </c>
      <c r="S716" s="34"/>
      <c r="T716" s="34"/>
      <c r="U716" s="34"/>
      <c r="V716" s="34"/>
      <c r="W716" s="34"/>
      <c r="X716" s="34"/>
      <c r="Y716" s="34"/>
      <c r="Z716" s="34"/>
      <c r="AA716" s="34"/>
    </row>
    <row r="717" spans="1:27" ht="15">
      <c r="A717" s="66" t="s">
        <v>244</v>
      </c>
      <c r="B717" s="66" t="s">
        <v>699</v>
      </c>
      <c r="C717" s="67" t="s">
        <v>4454</v>
      </c>
      <c r="D717" s="68">
        <v>5</v>
      </c>
      <c r="E717" s="69"/>
      <c r="F717" s="70">
        <v>20</v>
      </c>
      <c r="G717" s="67"/>
      <c r="H717" s="71"/>
      <c r="I717" s="72"/>
      <c r="J717" s="72"/>
      <c r="K717" s="34"/>
      <c r="L717" s="79">
        <v>717</v>
      </c>
      <c r="M717" s="79"/>
      <c r="N717" s="74"/>
      <c r="O717" s="81" t="s">
        <v>944</v>
      </c>
      <c r="P717">
        <v>1</v>
      </c>
      <c r="Q717" s="80" t="str">
        <f>REPLACE(INDEX(GroupVertices[Group],MATCH(Edges[[#This Row],[Vertex 1]],GroupVertices[Vertex],0)),1,1,"")</f>
        <v>2</v>
      </c>
      <c r="R717" s="80" t="e">
        <f>REPLACE(INDEX(GroupVertices[Group],MATCH(Edges[[#This Row],[Vertex 2]],GroupVertices[Vertex],0)),1,1,"")</f>
        <v>#N/A</v>
      </c>
      <c r="S717" s="34"/>
      <c r="T717" s="34"/>
      <c r="U717" s="34"/>
      <c r="V717" s="34"/>
      <c r="W717" s="34"/>
      <c r="X717" s="34"/>
      <c r="Y717" s="34"/>
      <c r="Z717" s="34"/>
      <c r="AA717" s="34"/>
    </row>
    <row r="718" spans="1:27" ht="15">
      <c r="A718" s="66" t="s">
        <v>244</v>
      </c>
      <c r="B718" s="66" t="s">
        <v>700</v>
      </c>
      <c r="C718" s="67" t="s">
        <v>4454</v>
      </c>
      <c r="D718" s="68">
        <v>5</v>
      </c>
      <c r="E718" s="69"/>
      <c r="F718" s="70">
        <v>20</v>
      </c>
      <c r="G718" s="67"/>
      <c r="H718" s="71"/>
      <c r="I718" s="72"/>
      <c r="J718" s="72"/>
      <c r="K718" s="34"/>
      <c r="L718" s="79">
        <v>718</v>
      </c>
      <c r="M718" s="79"/>
      <c r="N718" s="74"/>
      <c r="O718" s="81" t="s">
        <v>944</v>
      </c>
      <c r="P718">
        <v>1</v>
      </c>
      <c r="Q718" s="80" t="str">
        <f>REPLACE(INDEX(GroupVertices[Group],MATCH(Edges[[#This Row],[Vertex 1]],GroupVertices[Vertex],0)),1,1,"")</f>
        <v>2</v>
      </c>
      <c r="R718" s="80" t="e">
        <f>REPLACE(INDEX(GroupVertices[Group],MATCH(Edges[[#This Row],[Vertex 2]],GroupVertices[Vertex],0)),1,1,"")</f>
        <v>#N/A</v>
      </c>
      <c r="S718" s="34"/>
      <c r="T718" s="34"/>
      <c r="U718" s="34"/>
      <c r="V718" s="34"/>
      <c r="W718" s="34"/>
      <c r="X718" s="34"/>
      <c r="Y718" s="34"/>
      <c r="Z718" s="34"/>
      <c r="AA718" s="34"/>
    </row>
    <row r="719" spans="1:27" ht="15">
      <c r="A719" s="66" t="s">
        <v>244</v>
      </c>
      <c r="B719" s="66" t="s">
        <v>701</v>
      </c>
      <c r="C719" s="67" t="s">
        <v>4454</v>
      </c>
      <c r="D719" s="68">
        <v>5</v>
      </c>
      <c r="E719" s="69"/>
      <c r="F719" s="70">
        <v>20</v>
      </c>
      <c r="G719" s="67"/>
      <c r="H719" s="71"/>
      <c r="I719" s="72"/>
      <c r="J719" s="72"/>
      <c r="K719" s="34"/>
      <c r="L719" s="79">
        <v>719</v>
      </c>
      <c r="M719" s="79"/>
      <c r="N719" s="74"/>
      <c r="O719" s="81" t="s">
        <v>944</v>
      </c>
      <c r="P719">
        <v>1</v>
      </c>
      <c r="Q719" s="80" t="str">
        <f>REPLACE(INDEX(GroupVertices[Group],MATCH(Edges[[#This Row],[Vertex 1]],GroupVertices[Vertex],0)),1,1,"")</f>
        <v>2</v>
      </c>
      <c r="R719" s="80" t="e">
        <f>REPLACE(INDEX(GroupVertices[Group],MATCH(Edges[[#This Row],[Vertex 2]],GroupVertices[Vertex],0)),1,1,"")</f>
        <v>#N/A</v>
      </c>
      <c r="S719" s="34"/>
      <c r="T719" s="34"/>
      <c r="U719" s="34"/>
      <c r="V719" s="34"/>
      <c r="W719" s="34"/>
      <c r="X719" s="34"/>
      <c r="Y719" s="34"/>
      <c r="Z719" s="34"/>
      <c r="AA719" s="34"/>
    </row>
    <row r="720" spans="1:27" ht="15">
      <c r="A720" s="66" t="s">
        <v>244</v>
      </c>
      <c r="B720" s="66" t="s">
        <v>702</v>
      </c>
      <c r="C720" s="67" t="s">
        <v>4454</v>
      </c>
      <c r="D720" s="68">
        <v>5</v>
      </c>
      <c r="E720" s="69"/>
      <c r="F720" s="70">
        <v>20</v>
      </c>
      <c r="G720" s="67"/>
      <c r="H720" s="71"/>
      <c r="I720" s="72"/>
      <c r="J720" s="72"/>
      <c r="K720" s="34"/>
      <c r="L720" s="79">
        <v>720</v>
      </c>
      <c r="M720" s="79"/>
      <c r="N720" s="74"/>
      <c r="O720" s="81" t="s">
        <v>944</v>
      </c>
      <c r="P720">
        <v>1</v>
      </c>
      <c r="Q720" s="80" t="str">
        <f>REPLACE(INDEX(GroupVertices[Group],MATCH(Edges[[#This Row],[Vertex 1]],GroupVertices[Vertex],0)),1,1,"")</f>
        <v>2</v>
      </c>
      <c r="R720" s="80" t="e">
        <f>REPLACE(INDEX(GroupVertices[Group],MATCH(Edges[[#This Row],[Vertex 2]],GroupVertices[Vertex],0)),1,1,"")</f>
        <v>#N/A</v>
      </c>
      <c r="S720" s="34"/>
      <c r="T720" s="34"/>
      <c r="U720" s="34"/>
      <c r="V720" s="34"/>
      <c r="W720" s="34"/>
      <c r="X720" s="34"/>
      <c r="Y720" s="34"/>
      <c r="Z720" s="34"/>
      <c r="AA720" s="34"/>
    </row>
    <row r="721" spans="1:27" ht="15">
      <c r="A721" s="66" t="s">
        <v>244</v>
      </c>
      <c r="B721" s="66" t="s">
        <v>703</v>
      </c>
      <c r="C721" s="67" t="s">
        <v>4454</v>
      </c>
      <c r="D721" s="68">
        <v>5</v>
      </c>
      <c r="E721" s="69"/>
      <c r="F721" s="70">
        <v>20</v>
      </c>
      <c r="G721" s="67"/>
      <c r="H721" s="71"/>
      <c r="I721" s="72"/>
      <c r="J721" s="72"/>
      <c r="K721" s="34"/>
      <c r="L721" s="79">
        <v>721</v>
      </c>
      <c r="M721" s="79"/>
      <c r="N721" s="74"/>
      <c r="O721" s="81" t="s">
        <v>944</v>
      </c>
      <c r="P721">
        <v>1</v>
      </c>
      <c r="Q721" s="80" t="str">
        <f>REPLACE(INDEX(GroupVertices[Group],MATCH(Edges[[#This Row],[Vertex 1]],GroupVertices[Vertex],0)),1,1,"")</f>
        <v>2</v>
      </c>
      <c r="R721" s="80" t="e">
        <f>REPLACE(INDEX(GroupVertices[Group],MATCH(Edges[[#This Row],[Vertex 2]],GroupVertices[Vertex],0)),1,1,"")</f>
        <v>#N/A</v>
      </c>
      <c r="S721" s="34"/>
      <c r="T721" s="34"/>
      <c r="U721" s="34"/>
      <c r="V721" s="34"/>
      <c r="W721" s="34"/>
      <c r="X721" s="34"/>
      <c r="Y721" s="34"/>
      <c r="Z721" s="34"/>
      <c r="AA721" s="34"/>
    </row>
    <row r="722" spans="1:27" ht="15">
      <c r="A722" s="66" t="s">
        <v>245</v>
      </c>
      <c r="B722" s="66" t="s">
        <v>704</v>
      </c>
      <c r="C722" s="67" t="s">
        <v>4454</v>
      </c>
      <c r="D722" s="68">
        <v>5</v>
      </c>
      <c r="E722" s="69"/>
      <c r="F722" s="70">
        <v>20</v>
      </c>
      <c r="G722" s="67"/>
      <c r="H722" s="71"/>
      <c r="I722" s="72"/>
      <c r="J722" s="72"/>
      <c r="K722" s="34"/>
      <c r="L722" s="79">
        <v>722</v>
      </c>
      <c r="M722" s="79"/>
      <c r="N722" s="74"/>
      <c r="O722" s="81" t="s">
        <v>944</v>
      </c>
      <c r="P722">
        <v>1</v>
      </c>
      <c r="Q722" s="80" t="str">
        <f>REPLACE(INDEX(GroupVertices[Group],MATCH(Edges[[#This Row],[Vertex 1]],GroupVertices[Vertex],0)),1,1,"")</f>
        <v>3</v>
      </c>
      <c r="R722" s="80" t="e">
        <f>REPLACE(INDEX(GroupVertices[Group],MATCH(Edges[[#This Row],[Vertex 2]],GroupVertices[Vertex],0)),1,1,"")</f>
        <v>#N/A</v>
      </c>
      <c r="S722" s="34"/>
      <c r="T722" s="34"/>
      <c r="U722" s="34"/>
      <c r="V722" s="34"/>
      <c r="W722" s="34"/>
      <c r="X722" s="34"/>
      <c r="Y722" s="34"/>
      <c r="Z722" s="34"/>
      <c r="AA722" s="34"/>
    </row>
    <row r="723" spans="1:27" ht="15">
      <c r="A723" s="66" t="s">
        <v>231</v>
      </c>
      <c r="B723" s="66" t="s">
        <v>705</v>
      </c>
      <c r="C723" s="67" t="s">
        <v>4454</v>
      </c>
      <c r="D723" s="68">
        <v>5</v>
      </c>
      <c r="E723" s="69"/>
      <c r="F723" s="70">
        <v>20</v>
      </c>
      <c r="G723" s="67"/>
      <c r="H723" s="71"/>
      <c r="I723" s="72"/>
      <c r="J723" s="72"/>
      <c r="K723" s="34" t="s">
        <v>65</v>
      </c>
      <c r="L723" s="79">
        <v>723</v>
      </c>
      <c r="M723" s="79"/>
      <c r="N723" s="74"/>
      <c r="O723" s="81" t="s">
        <v>944</v>
      </c>
      <c r="P723">
        <v>1</v>
      </c>
      <c r="Q723" s="80" t="str">
        <f>REPLACE(INDEX(GroupVertices[Group],MATCH(Edges[[#This Row],[Vertex 1]],GroupVertices[Vertex],0)),1,1,"")</f>
        <v>1</v>
      </c>
      <c r="R723" s="80" t="str">
        <f>REPLACE(INDEX(GroupVertices[Group],MATCH(Edges[[#This Row],[Vertex 2]],GroupVertices[Vertex],0)),1,1,"")</f>
        <v>3</v>
      </c>
      <c r="S723" s="34"/>
      <c r="T723" s="34"/>
      <c r="U723" s="34"/>
      <c r="V723" s="34"/>
      <c r="W723" s="34"/>
      <c r="X723" s="34"/>
      <c r="Y723" s="34"/>
      <c r="Z723" s="34"/>
      <c r="AA723" s="34"/>
    </row>
    <row r="724" spans="1:27" ht="15">
      <c r="A724" s="66" t="s">
        <v>245</v>
      </c>
      <c r="B724" s="66" t="s">
        <v>705</v>
      </c>
      <c r="C724" s="67" t="s">
        <v>4454</v>
      </c>
      <c r="D724" s="68">
        <v>5</v>
      </c>
      <c r="E724" s="69"/>
      <c r="F724" s="70">
        <v>20</v>
      </c>
      <c r="G724" s="67"/>
      <c r="H724" s="71"/>
      <c r="I724" s="72"/>
      <c r="J724" s="72"/>
      <c r="K724" s="34" t="s">
        <v>65</v>
      </c>
      <c r="L724" s="79">
        <v>724</v>
      </c>
      <c r="M724" s="79"/>
      <c r="N724" s="74"/>
      <c r="O724" s="81" t="s">
        <v>944</v>
      </c>
      <c r="P724">
        <v>1</v>
      </c>
      <c r="Q724" s="80" t="str">
        <f>REPLACE(INDEX(GroupVertices[Group],MATCH(Edges[[#This Row],[Vertex 1]],GroupVertices[Vertex],0)),1,1,"")</f>
        <v>3</v>
      </c>
      <c r="R724" s="80" t="str">
        <f>REPLACE(INDEX(GroupVertices[Group],MATCH(Edges[[#This Row],[Vertex 2]],GroupVertices[Vertex],0)),1,1,"")</f>
        <v>3</v>
      </c>
      <c r="S724" s="34"/>
      <c r="T724" s="34"/>
      <c r="U724" s="34"/>
      <c r="V724" s="34"/>
      <c r="W724" s="34"/>
      <c r="X724" s="34"/>
      <c r="Y724" s="34"/>
      <c r="Z724" s="34"/>
      <c r="AA724" s="34"/>
    </row>
    <row r="725" spans="1:27" ht="15">
      <c r="A725" s="66" t="s">
        <v>245</v>
      </c>
      <c r="B725" s="66" t="s">
        <v>706</v>
      </c>
      <c r="C725" s="67" t="s">
        <v>4454</v>
      </c>
      <c r="D725" s="68">
        <v>5</v>
      </c>
      <c r="E725" s="69"/>
      <c r="F725" s="70">
        <v>20</v>
      </c>
      <c r="G725" s="67"/>
      <c r="H725" s="71"/>
      <c r="I725" s="72"/>
      <c r="J725" s="72"/>
      <c r="K725" s="34"/>
      <c r="L725" s="79">
        <v>725</v>
      </c>
      <c r="M725" s="79"/>
      <c r="N725" s="74"/>
      <c r="O725" s="81" t="s">
        <v>944</v>
      </c>
      <c r="P725">
        <v>1</v>
      </c>
      <c r="Q725" s="80" t="str">
        <f>REPLACE(INDEX(GroupVertices[Group],MATCH(Edges[[#This Row],[Vertex 1]],GroupVertices[Vertex],0)),1,1,"")</f>
        <v>3</v>
      </c>
      <c r="R725" s="80" t="e">
        <f>REPLACE(INDEX(GroupVertices[Group],MATCH(Edges[[#This Row],[Vertex 2]],GroupVertices[Vertex],0)),1,1,"")</f>
        <v>#N/A</v>
      </c>
      <c r="S725" s="34"/>
      <c r="T725" s="34"/>
      <c r="U725" s="34"/>
      <c r="V725" s="34"/>
      <c r="W725" s="34"/>
      <c r="X725" s="34"/>
      <c r="Y725" s="34"/>
      <c r="Z725" s="34"/>
      <c r="AA725" s="34"/>
    </row>
    <row r="726" spans="1:27" ht="15">
      <c r="A726" s="66" t="s">
        <v>216</v>
      </c>
      <c r="B726" s="66" t="s">
        <v>707</v>
      </c>
      <c r="C726" s="67" t="s">
        <v>4454</v>
      </c>
      <c r="D726" s="68">
        <v>5</v>
      </c>
      <c r="E726" s="69"/>
      <c r="F726" s="70">
        <v>20</v>
      </c>
      <c r="G726" s="67"/>
      <c r="H726" s="71"/>
      <c r="I726" s="72"/>
      <c r="J726" s="72"/>
      <c r="K726" s="34" t="s">
        <v>65</v>
      </c>
      <c r="L726" s="79">
        <v>726</v>
      </c>
      <c r="M726" s="79"/>
      <c r="N726" s="74"/>
      <c r="O726" s="81" t="s">
        <v>944</v>
      </c>
      <c r="P726">
        <v>1</v>
      </c>
      <c r="Q726" s="80" t="str">
        <f>REPLACE(INDEX(GroupVertices[Group],MATCH(Edges[[#This Row],[Vertex 1]],GroupVertices[Vertex],0)),1,1,"")</f>
        <v>3</v>
      </c>
      <c r="R726" s="80" t="str">
        <f>REPLACE(INDEX(GroupVertices[Group],MATCH(Edges[[#This Row],[Vertex 2]],GroupVertices[Vertex],0)),1,1,"")</f>
        <v>3</v>
      </c>
      <c r="S726" s="34"/>
      <c r="T726" s="34"/>
      <c r="U726" s="34"/>
      <c r="V726" s="34"/>
      <c r="W726" s="34"/>
      <c r="X726" s="34"/>
      <c r="Y726" s="34"/>
      <c r="Z726" s="34"/>
      <c r="AA726" s="34"/>
    </row>
    <row r="727" spans="1:27" ht="15">
      <c r="A727" s="66" t="s">
        <v>245</v>
      </c>
      <c r="B727" s="66" t="s">
        <v>707</v>
      </c>
      <c r="C727" s="67" t="s">
        <v>4454</v>
      </c>
      <c r="D727" s="68">
        <v>5</v>
      </c>
      <c r="E727" s="69"/>
      <c r="F727" s="70">
        <v>20</v>
      </c>
      <c r="G727" s="67"/>
      <c r="H727" s="71"/>
      <c r="I727" s="72"/>
      <c r="J727" s="72"/>
      <c r="K727" s="34" t="s">
        <v>65</v>
      </c>
      <c r="L727" s="79">
        <v>727</v>
      </c>
      <c r="M727" s="79"/>
      <c r="N727" s="74"/>
      <c r="O727" s="81" t="s">
        <v>944</v>
      </c>
      <c r="P727">
        <v>1</v>
      </c>
      <c r="Q727" s="80" t="str">
        <f>REPLACE(INDEX(GroupVertices[Group],MATCH(Edges[[#This Row],[Vertex 1]],GroupVertices[Vertex],0)),1,1,"")</f>
        <v>3</v>
      </c>
      <c r="R727" s="80" t="str">
        <f>REPLACE(INDEX(GroupVertices[Group],MATCH(Edges[[#This Row],[Vertex 2]],GroupVertices[Vertex],0)),1,1,"")</f>
        <v>3</v>
      </c>
      <c r="S727" s="34"/>
      <c r="T727" s="34"/>
      <c r="U727" s="34"/>
      <c r="V727" s="34"/>
      <c r="W727" s="34"/>
      <c r="X727" s="34"/>
      <c r="Y727" s="34"/>
      <c r="Z727" s="34"/>
      <c r="AA727" s="34"/>
    </row>
    <row r="728" spans="1:27" ht="15">
      <c r="A728" s="66" t="s">
        <v>245</v>
      </c>
      <c r="B728" s="66" t="s">
        <v>708</v>
      </c>
      <c r="C728" s="67" t="s">
        <v>4454</v>
      </c>
      <c r="D728" s="68">
        <v>5</v>
      </c>
      <c r="E728" s="69"/>
      <c r="F728" s="70">
        <v>20</v>
      </c>
      <c r="G728" s="67"/>
      <c r="H728" s="71"/>
      <c r="I728" s="72"/>
      <c r="J728" s="72"/>
      <c r="K728" s="34"/>
      <c r="L728" s="79">
        <v>728</v>
      </c>
      <c r="M728" s="79"/>
      <c r="N728" s="74"/>
      <c r="O728" s="81" t="s">
        <v>944</v>
      </c>
      <c r="P728">
        <v>1</v>
      </c>
      <c r="Q728" s="80" t="str">
        <f>REPLACE(INDEX(GroupVertices[Group],MATCH(Edges[[#This Row],[Vertex 1]],GroupVertices[Vertex],0)),1,1,"")</f>
        <v>3</v>
      </c>
      <c r="R728" s="80" t="e">
        <f>REPLACE(INDEX(GroupVertices[Group],MATCH(Edges[[#This Row],[Vertex 2]],GroupVertices[Vertex],0)),1,1,"")</f>
        <v>#N/A</v>
      </c>
      <c r="S728" s="34"/>
      <c r="T728" s="34"/>
      <c r="U728" s="34"/>
      <c r="V728" s="34"/>
      <c r="W728" s="34"/>
      <c r="X728" s="34"/>
      <c r="Y728" s="34"/>
      <c r="Z728" s="34"/>
      <c r="AA728" s="34"/>
    </row>
    <row r="729" spans="1:27" ht="15">
      <c r="A729" s="66" t="s">
        <v>245</v>
      </c>
      <c r="B729" s="66" t="s">
        <v>709</v>
      </c>
      <c r="C729" s="67" t="s">
        <v>4454</v>
      </c>
      <c r="D729" s="68">
        <v>5</v>
      </c>
      <c r="E729" s="69"/>
      <c r="F729" s="70">
        <v>20</v>
      </c>
      <c r="G729" s="67"/>
      <c r="H729" s="71"/>
      <c r="I729" s="72"/>
      <c r="J729" s="72"/>
      <c r="K729" s="34"/>
      <c r="L729" s="79">
        <v>729</v>
      </c>
      <c r="M729" s="79"/>
      <c r="N729" s="74"/>
      <c r="O729" s="81" t="s">
        <v>944</v>
      </c>
      <c r="P729">
        <v>1</v>
      </c>
      <c r="Q729" s="80" t="str">
        <f>REPLACE(INDEX(GroupVertices[Group],MATCH(Edges[[#This Row],[Vertex 1]],GroupVertices[Vertex],0)),1,1,"")</f>
        <v>3</v>
      </c>
      <c r="R729" s="80" t="e">
        <f>REPLACE(INDEX(GroupVertices[Group],MATCH(Edges[[#This Row],[Vertex 2]],GroupVertices[Vertex],0)),1,1,"")</f>
        <v>#N/A</v>
      </c>
      <c r="S729" s="34"/>
      <c r="T729" s="34"/>
      <c r="U729" s="34"/>
      <c r="V729" s="34"/>
      <c r="W729" s="34"/>
      <c r="X729" s="34"/>
      <c r="Y729" s="34"/>
      <c r="Z729" s="34"/>
      <c r="AA729" s="34"/>
    </row>
    <row r="730" spans="1:27" ht="15">
      <c r="A730" s="66" t="s">
        <v>216</v>
      </c>
      <c r="B730" s="66" t="s">
        <v>674</v>
      </c>
      <c r="C730" s="67" t="s">
        <v>4454</v>
      </c>
      <c r="D730" s="68">
        <v>5</v>
      </c>
      <c r="E730" s="69"/>
      <c r="F730" s="70">
        <v>20</v>
      </c>
      <c r="G730" s="67"/>
      <c r="H730" s="71"/>
      <c r="I730" s="72"/>
      <c r="J730" s="72"/>
      <c r="K730" s="34" t="s">
        <v>65</v>
      </c>
      <c r="L730" s="79">
        <v>730</v>
      </c>
      <c r="M730" s="79"/>
      <c r="N730" s="74"/>
      <c r="O730" s="81" t="s">
        <v>944</v>
      </c>
      <c r="P730">
        <v>1</v>
      </c>
      <c r="Q730" s="80" t="str">
        <f>REPLACE(INDEX(GroupVertices[Group],MATCH(Edges[[#This Row],[Vertex 1]],GroupVertices[Vertex],0)),1,1,"")</f>
        <v>3</v>
      </c>
      <c r="R730" s="80" t="str">
        <f>REPLACE(INDEX(GroupVertices[Group],MATCH(Edges[[#This Row],[Vertex 2]],GroupVertices[Vertex],0)),1,1,"")</f>
        <v>3</v>
      </c>
      <c r="S730" s="34"/>
      <c r="T730" s="34"/>
      <c r="U730" s="34"/>
      <c r="V730" s="34"/>
      <c r="W730" s="34"/>
      <c r="X730" s="34"/>
      <c r="Y730" s="34"/>
      <c r="Z730" s="34"/>
      <c r="AA730" s="34"/>
    </row>
    <row r="731" spans="1:27" ht="15">
      <c r="A731" s="66" t="s">
        <v>239</v>
      </c>
      <c r="B731" s="66" t="s">
        <v>674</v>
      </c>
      <c r="C731" s="67" t="s">
        <v>4454</v>
      </c>
      <c r="D731" s="68">
        <v>5</v>
      </c>
      <c r="E731" s="69"/>
      <c r="F731" s="70">
        <v>20</v>
      </c>
      <c r="G731" s="67"/>
      <c r="H731" s="71"/>
      <c r="I731" s="72"/>
      <c r="J731" s="72"/>
      <c r="K731" s="34" t="s">
        <v>65</v>
      </c>
      <c r="L731" s="79">
        <v>731</v>
      </c>
      <c r="M731" s="79"/>
      <c r="N731" s="74"/>
      <c r="O731" s="81" t="s">
        <v>944</v>
      </c>
      <c r="P731">
        <v>1</v>
      </c>
      <c r="Q731" s="80" t="str">
        <f>REPLACE(INDEX(GroupVertices[Group],MATCH(Edges[[#This Row],[Vertex 1]],GroupVertices[Vertex],0)),1,1,"")</f>
        <v>3</v>
      </c>
      <c r="R731" s="80" t="str">
        <f>REPLACE(INDEX(GroupVertices[Group],MATCH(Edges[[#This Row],[Vertex 2]],GroupVertices[Vertex],0)),1,1,"")</f>
        <v>3</v>
      </c>
      <c r="S731" s="34"/>
      <c r="T731" s="34"/>
      <c r="U731" s="34"/>
      <c r="V731" s="34"/>
      <c r="W731" s="34"/>
      <c r="X731" s="34"/>
      <c r="Y731" s="34"/>
      <c r="Z731" s="34"/>
      <c r="AA731" s="34"/>
    </row>
    <row r="732" spans="1:27" ht="15">
      <c r="A732" s="66" t="s">
        <v>245</v>
      </c>
      <c r="B732" s="66" t="s">
        <v>674</v>
      </c>
      <c r="C732" s="67" t="s">
        <v>4454</v>
      </c>
      <c r="D732" s="68">
        <v>5</v>
      </c>
      <c r="E732" s="69"/>
      <c r="F732" s="70">
        <v>20</v>
      </c>
      <c r="G732" s="67"/>
      <c r="H732" s="71"/>
      <c r="I732" s="72"/>
      <c r="J732" s="72"/>
      <c r="K732" s="34" t="s">
        <v>65</v>
      </c>
      <c r="L732" s="79">
        <v>732</v>
      </c>
      <c r="M732" s="79"/>
      <c r="N732" s="74"/>
      <c r="O732" s="81" t="s">
        <v>944</v>
      </c>
      <c r="P732">
        <v>1</v>
      </c>
      <c r="Q732" s="80" t="str">
        <f>REPLACE(INDEX(GroupVertices[Group],MATCH(Edges[[#This Row],[Vertex 1]],GroupVertices[Vertex],0)),1,1,"")</f>
        <v>3</v>
      </c>
      <c r="R732" s="80" t="str">
        <f>REPLACE(INDEX(GroupVertices[Group],MATCH(Edges[[#This Row],[Vertex 2]],GroupVertices[Vertex],0)),1,1,"")</f>
        <v>3</v>
      </c>
      <c r="S732" s="34"/>
      <c r="T732" s="34"/>
      <c r="U732" s="34"/>
      <c r="V732" s="34"/>
      <c r="W732" s="34"/>
      <c r="X732" s="34"/>
      <c r="Y732" s="34"/>
      <c r="Z732" s="34"/>
      <c r="AA732" s="34"/>
    </row>
    <row r="733" spans="1:27" ht="15">
      <c r="A733" s="66" t="s">
        <v>245</v>
      </c>
      <c r="B733" s="66" t="s">
        <v>710</v>
      </c>
      <c r="C733" s="67" t="s">
        <v>4454</v>
      </c>
      <c r="D733" s="68">
        <v>5</v>
      </c>
      <c r="E733" s="69"/>
      <c r="F733" s="70">
        <v>20</v>
      </c>
      <c r="G733" s="67"/>
      <c r="H733" s="71"/>
      <c r="I733" s="72"/>
      <c r="J733" s="72"/>
      <c r="K733" s="34"/>
      <c r="L733" s="79">
        <v>733</v>
      </c>
      <c r="M733" s="79"/>
      <c r="N733" s="74"/>
      <c r="O733" s="81" t="s">
        <v>944</v>
      </c>
      <c r="P733">
        <v>1</v>
      </c>
      <c r="Q733" s="80" t="str">
        <f>REPLACE(INDEX(GroupVertices[Group],MATCH(Edges[[#This Row],[Vertex 1]],GroupVertices[Vertex],0)),1,1,"")</f>
        <v>3</v>
      </c>
      <c r="R733" s="80" t="e">
        <f>REPLACE(INDEX(GroupVertices[Group],MATCH(Edges[[#This Row],[Vertex 2]],GroupVertices[Vertex],0)),1,1,"")</f>
        <v>#N/A</v>
      </c>
      <c r="S733" s="34"/>
      <c r="T733" s="34"/>
      <c r="U733" s="34"/>
      <c r="V733" s="34"/>
      <c r="W733" s="34"/>
      <c r="X733" s="34"/>
      <c r="Y733" s="34"/>
      <c r="Z733" s="34"/>
      <c r="AA733" s="34"/>
    </row>
    <row r="734" spans="1:27" ht="15">
      <c r="A734" s="66" t="s">
        <v>245</v>
      </c>
      <c r="B734" s="66" t="s">
        <v>711</v>
      </c>
      <c r="C734" s="67" t="s">
        <v>4454</v>
      </c>
      <c r="D734" s="68">
        <v>5</v>
      </c>
      <c r="E734" s="69"/>
      <c r="F734" s="70">
        <v>20</v>
      </c>
      <c r="G734" s="67"/>
      <c r="H734" s="71"/>
      <c r="I734" s="72"/>
      <c r="J734" s="72"/>
      <c r="K734" s="34"/>
      <c r="L734" s="79">
        <v>734</v>
      </c>
      <c r="M734" s="79"/>
      <c r="N734" s="74"/>
      <c r="O734" s="81" t="s">
        <v>944</v>
      </c>
      <c r="P734">
        <v>1</v>
      </c>
      <c r="Q734" s="80" t="str">
        <f>REPLACE(INDEX(GroupVertices[Group],MATCH(Edges[[#This Row],[Vertex 1]],GroupVertices[Vertex],0)),1,1,"")</f>
        <v>3</v>
      </c>
      <c r="R734" s="80" t="e">
        <f>REPLACE(INDEX(GroupVertices[Group],MATCH(Edges[[#This Row],[Vertex 2]],GroupVertices[Vertex],0)),1,1,"")</f>
        <v>#N/A</v>
      </c>
      <c r="S734" s="34"/>
      <c r="T734" s="34"/>
      <c r="U734" s="34"/>
      <c r="V734" s="34"/>
      <c r="W734" s="34"/>
      <c r="X734" s="34"/>
      <c r="Y734" s="34"/>
      <c r="Z734" s="34"/>
      <c r="AA734" s="34"/>
    </row>
    <row r="735" spans="1:27" ht="15">
      <c r="A735" s="66" t="s">
        <v>245</v>
      </c>
      <c r="B735" s="66" t="s">
        <v>712</v>
      </c>
      <c r="C735" s="67" t="s">
        <v>4454</v>
      </c>
      <c r="D735" s="68">
        <v>5</v>
      </c>
      <c r="E735" s="69"/>
      <c r="F735" s="70">
        <v>20</v>
      </c>
      <c r="G735" s="67"/>
      <c r="H735" s="71"/>
      <c r="I735" s="72"/>
      <c r="J735" s="72"/>
      <c r="K735" s="34"/>
      <c r="L735" s="79">
        <v>735</v>
      </c>
      <c r="M735" s="79"/>
      <c r="N735" s="74"/>
      <c r="O735" s="81" t="s">
        <v>944</v>
      </c>
      <c r="P735">
        <v>1</v>
      </c>
      <c r="Q735" s="80" t="str">
        <f>REPLACE(INDEX(GroupVertices[Group],MATCH(Edges[[#This Row],[Vertex 1]],GroupVertices[Vertex],0)),1,1,"")</f>
        <v>3</v>
      </c>
      <c r="R735" s="80" t="e">
        <f>REPLACE(INDEX(GroupVertices[Group],MATCH(Edges[[#This Row],[Vertex 2]],GroupVertices[Vertex],0)),1,1,"")</f>
        <v>#N/A</v>
      </c>
      <c r="S735" s="34"/>
      <c r="T735" s="34"/>
      <c r="U735" s="34"/>
      <c r="V735" s="34"/>
      <c r="W735" s="34"/>
      <c r="X735" s="34"/>
      <c r="Y735" s="34"/>
      <c r="Z735" s="34"/>
      <c r="AA735" s="34"/>
    </row>
    <row r="736" spans="1:27" ht="15">
      <c r="A736" s="66" t="s">
        <v>215</v>
      </c>
      <c r="B736" s="66" t="s">
        <v>504</v>
      </c>
      <c r="C736" s="67" t="s">
        <v>4454</v>
      </c>
      <c r="D736" s="68">
        <v>5</v>
      </c>
      <c r="E736" s="69"/>
      <c r="F736" s="70">
        <v>20</v>
      </c>
      <c r="G736" s="67"/>
      <c r="H736" s="71"/>
      <c r="I736" s="72"/>
      <c r="J736" s="72"/>
      <c r="K736" s="34" t="s">
        <v>65</v>
      </c>
      <c r="L736" s="79">
        <v>736</v>
      </c>
      <c r="M736" s="79"/>
      <c r="N736" s="74"/>
      <c r="O736" s="81" t="s">
        <v>944</v>
      </c>
      <c r="P736">
        <v>1</v>
      </c>
      <c r="Q736" s="80" t="str">
        <f>REPLACE(INDEX(GroupVertices[Group],MATCH(Edges[[#This Row],[Vertex 1]],GroupVertices[Vertex],0)),1,1,"")</f>
        <v>3</v>
      </c>
      <c r="R736" s="80" t="str">
        <f>REPLACE(INDEX(GroupVertices[Group],MATCH(Edges[[#This Row],[Vertex 2]],GroupVertices[Vertex],0)),1,1,"")</f>
        <v>3</v>
      </c>
      <c r="S736" s="34"/>
      <c r="T736" s="34"/>
      <c r="U736" s="34"/>
      <c r="V736" s="34"/>
      <c r="W736" s="34"/>
      <c r="X736" s="34"/>
      <c r="Y736" s="34"/>
      <c r="Z736" s="34"/>
      <c r="AA736" s="34"/>
    </row>
    <row r="737" spans="1:27" ht="15">
      <c r="A737" s="66" t="s">
        <v>216</v>
      </c>
      <c r="B737" s="66" t="s">
        <v>504</v>
      </c>
      <c r="C737" s="67" t="s">
        <v>4454</v>
      </c>
      <c r="D737" s="68">
        <v>5</v>
      </c>
      <c r="E737" s="69"/>
      <c r="F737" s="70">
        <v>20</v>
      </c>
      <c r="G737" s="67"/>
      <c r="H737" s="71"/>
      <c r="I737" s="72"/>
      <c r="J737" s="72"/>
      <c r="K737" s="34" t="s">
        <v>65</v>
      </c>
      <c r="L737" s="79">
        <v>737</v>
      </c>
      <c r="M737" s="79"/>
      <c r="N737" s="74"/>
      <c r="O737" s="81" t="s">
        <v>944</v>
      </c>
      <c r="P737">
        <v>1</v>
      </c>
      <c r="Q737" s="80" t="str">
        <f>REPLACE(INDEX(GroupVertices[Group],MATCH(Edges[[#This Row],[Vertex 1]],GroupVertices[Vertex],0)),1,1,"")</f>
        <v>3</v>
      </c>
      <c r="R737" s="80" t="str">
        <f>REPLACE(INDEX(GroupVertices[Group],MATCH(Edges[[#This Row],[Vertex 2]],GroupVertices[Vertex],0)),1,1,"")</f>
        <v>3</v>
      </c>
      <c r="S737" s="34"/>
      <c r="T737" s="34"/>
      <c r="U737" s="34"/>
      <c r="V737" s="34"/>
      <c r="W737" s="34"/>
      <c r="X737" s="34"/>
      <c r="Y737" s="34"/>
      <c r="Z737" s="34"/>
      <c r="AA737" s="34"/>
    </row>
    <row r="738" spans="1:27" ht="15">
      <c r="A738" s="66" t="s">
        <v>221</v>
      </c>
      <c r="B738" s="66" t="s">
        <v>504</v>
      </c>
      <c r="C738" s="67" t="s">
        <v>4454</v>
      </c>
      <c r="D738" s="68">
        <v>5</v>
      </c>
      <c r="E738" s="69"/>
      <c r="F738" s="70">
        <v>20</v>
      </c>
      <c r="G738" s="67"/>
      <c r="H738" s="71"/>
      <c r="I738" s="72"/>
      <c r="J738" s="72"/>
      <c r="K738" s="34" t="s">
        <v>65</v>
      </c>
      <c r="L738" s="79">
        <v>738</v>
      </c>
      <c r="M738" s="79"/>
      <c r="N738" s="74"/>
      <c r="O738" s="81" t="s">
        <v>944</v>
      </c>
      <c r="P738">
        <v>1</v>
      </c>
      <c r="Q738" s="80" t="str">
        <f>REPLACE(INDEX(GroupVertices[Group],MATCH(Edges[[#This Row],[Vertex 1]],GroupVertices[Vertex],0)),1,1,"")</f>
        <v>2</v>
      </c>
      <c r="R738" s="80" t="str">
        <f>REPLACE(INDEX(GroupVertices[Group],MATCH(Edges[[#This Row],[Vertex 2]],GroupVertices[Vertex],0)),1,1,"")</f>
        <v>3</v>
      </c>
      <c r="S738" s="34"/>
      <c r="T738" s="34"/>
      <c r="U738" s="34"/>
      <c r="V738" s="34"/>
      <c r="W738" s="34"/>
      <c r="X738" s="34"/>
      <c r="Y738" s="34"/>
      <c r="Z738" s="34"/>
      <c r="AA738" s="34"/>
    </row>
    <row r="739" spans="1:27" ht="15">
      <c r="A739" s="66" t="s">
        <v>227</v>
      </c>
      <c r="B739" s="66" t="s">
        <v>504</v>
      </c>
      <c r="C739" s="67" t="s">
        <v>4454</v>
      </c>
      <c r="D739" s="68">
        <v>5</v>
      </c>
      <c r="E739" s="69"/>
      <c r="F739" s="70">
        <v>20</v>
      </c>
      <c r="G739" s="67"/>
      <c r="H739" s="71"/>
      <c r="I739" s="72"/>
      <c r="J739" s="72"/>
      <c r="K739" s="34" t="s">
        <v>65</v>
      </c>
      <c r="L739" s="79">
        <v>739</v>
      </c>
      <c r="M739" s="79"/>
      <c r="N739" s="74"/>
      <c r="O739" s="81" t="s">
        <v>944</v>
      </c>
      <c r="P739">
        <v>1</v>
      </c>
      <c r="Q739" s="80" t="str">
        <f>REPLACE(INDEX(GroupVertices[Group],MATCH(Edges[[#This Row],[Vertex 1]],GroupVertices[Vertex],0)),1,1,"")</f>
        <v>3</v>
      </c>
      <c r="R739" s="80" t="str">
        <f>REPLACE(INDEX(GroupVertices[Group],MATCH(Edges[[#This Row],[Vertex 2]],GroupVertices[Vertex],0)),1,1,"")</f>
        <v>3</v>
      </c>
      <c r="S739" s="34"/>
      <c r="T739" s="34"/>
      <c r="U739" s="34"/>
      <c r="V739" s="34"/>
      <c r="W739" s="34"/>
      <c r="X739" s="34"/>
      <c r="Y739" s="34"/>
      <c r="Z739" s="34"/>
      <c r="AA739" s="34"/>
    </row>
    <row r="740" spans="1:27" ht="15">
      <c r="A740" s="66" t="s">
        <v>236</v>
      </c>
      <c r="B740" s="66" t="s">
        <v>504</v>
      </c>
      <c r="C740" s="67" t="s">
        <v>4454</v>
      </c>
      <c r="D740" s="68">
        <v>5</v>
      </c>
      <c r="E740" s="69"/>
      <c r="F740" s="70">
        <v>20</v>
      </c>
      <c r="G740" s="67"/>
      <c r="H740" s="71"/>
      <c r="I740" s="72"/>
      <c r="J740" s="72"/>
      <c r="K740" s="34" t="s">
        <v>65</v>
      </c>
      <c r="L740" s="79">
        <v>740</v>
      </c>
      <c r="M740" s="79"/>
      <c r="N740" s="74"/>
      <c r="O740" s="81" t="s">
        <v>944</v>
      </c>
      <c r="P740">
        <v>1</v>
      </c>
      <c r="Q740" s="80" t="str">
        <f>REPLACE(INDEX(GroupVertices[Group],MATCH(Edges[[#This Row],[Vertex 1]],GroupVertices[Vertex],0)),1,1,"")</f>
        <v>1</v>
      </c>
      <c r="R740" s="80" t="str">
        <f>REPLACE(INDEX(GroupVertices[Group],MATCH(Edges[[#This Row],[Vertex 2]],GroupVertices[Vertex],0)),1,1,"")</f>
        <v>3</v>
      </c>
      <c r="S740" s="34"/>
      <c r="T740" s="34"/>
      <c r="U740" s="34"/>
      <c r="V740" s="34"/>
      <c r="W740" s="34"/>
      <c r="X740" s="34"/>
      <c r="Y740" s="34"/>
      <c r="Z740" s="34"/>
      <c r="AA740" s="34"/>
    </row>
    <row r="741" spans="1:27" ht="15">
      <c r="A741" s="66" t="s">
        <v>245</v>
      </c>
      <c r="B741" s="66" t="s">
        <v>504</v>
      </c>
      <c r="C741" s="67" t="s">
        <v>4454</v>
      </c>
      <c r="D741" s="68">
        <v>5</v>
      </c>
      <c r="E741" s="69"/>
      <c r="F741" s="70">
        <v>20</v>
      </c>
      <c r="G741" s="67"/>
      <c r="H741" s="71"/>
      <c r="I741" s="72"/>
      <c r="J741" s="72"/>
      <c r="K741" s="34" t="s">
        <v>65</v>
      </c>
      <c r="L741" s="79">
        <v>741</v>
      </c>
      <c r="M741" s="79"/>
      <c r="N741" s="74"/>
      <c r="O741" s="81" t="s">
        <v>944</v>
      </c>
      <c r="P741">
        <v>1</v>
      </c>
      <c r="Q741" s="80" t="str">
        <f>REPLACE(INDEX(GroupVertices[Group],MATCH(Edges[[#This Row],[Vertex 1]],GroupVertices[Vertex],0)),1,1,"")</f>
        <v>3</v>
      </c>
      <c r="R741" s="80" t="str">
        <f>REPLACE(INDEX(GroupVertices[Group],MATCH(Edges[[#This Row],[Vertex 2]],GroupVertices[Vertex],0)),1,1,"")</f>
        <v>3</v>
      </c>
      <c r="S741" s="34"/>
      <c r="T741" s="34"/>
      <c r="U741" s="34"/>
      <c r="V741" s="34"/>
      <c r="W741" s="34"/>
      <c r="X741" s="34"/>
      <c r="Y741" s="34"/>
      <c r="Z741" s="34"/>
      <c r="AA741" s="34"/>
    </row>
    <row r="742" spans="1:27" ht="15">
      <c r="A742" s="66" t="s">
        <v>245</v>
      </c>
      <c r="B742" s="66" t="s">
        <v>713</v>
      </c>
      <c r="C742" s="67" t="s">
        <v>4454</v>
      </c>
      <c r="D742" s="68">
        <v>5</v>
      </c>
      <c r="E742" s="69"/>
      <c r="F742" s="70">
        <v>20</v>
      </c>
      <c r="G742" s="67"/>
      <c r="H742" s="71"/>
      <c r="I742" s="72"/>
      <c r="J742" s="72"/>
      <c r="K742" s="34"/>
      <c r="L742" s="79">
        <v>742</v>
      </c>
      <c r="M742" s="79"/>
      <c r="N742" s="74"/>
      <c r="O742" s="81" t="s">
        <v>944</v>
      </c>
      <c r="P742">
        <v>1</v>
      </c>
      <c r="Q742" s="80" t="str">
        <f>REPLACE(INDEX(GroupVertices[Group],MATCH(Edges[[#This Row],[Vertex 1]],GroupVertices[Vertex],0)),1,1,"")</f>
        <v>3</v>
      </c>
      <c r="R742" s="80" t="e">
        <f>REPLACE(INDEX(GroupVertices[Group],MATCH(Edges[[#This Row],[Vertex 2]],GroupVertices[Vertex],0)),1,1,"")</f>
        <v>#N/A</v>
      </c>
      <c r="S742" s="34"/>
      <c r="T742" s="34"/>
      <c r="U742" s="34"/>
      <c r="V742" s="34"/>
      <c r="W742" s="34"/>
      <c r="X742" s="34"/>
      <c r="Y742" s="34"/>
      <c r="Z742" s="34"/>
      <c r="AA742" s="34"/>
    </row>
    <row r="743" spans="1:27" ht="15">
      <c r="A743" s="66" t="s">
        <v>245</v>
      </c>
      <c r="B743" s="66" t="s">
        <v>714</v>
      </c>
      <c r="C743" s="67" t="s">
        <v>4454</v>
      </c>
      <c r="D743" s="68">
        <v>5</v>
      </c>
      <c r="E743" s="69"/>
      <c r="F743" s="70">
        <v>20</v>
      </c>
      <c r="G743" s="67"/>
      <c r="H743" s="71"/>
      <c r="I743" s="72"/>
      <c r="J743" s="72"/>
      <c r="K743" s="34"/>
      <c r="L743" s="79">
        <v>743</v>
      </c>
      <c r="M743" s="79"/>
      <c r="N743" s="74"/>
      <c r="O743" s="81" t="s">
        <v>944</v>
      </c>
      <c r="P743">
        <v>1</v>
      </c>
      <c r="Q743" s="80" t="str">
        <f>REPLACE(INDEX(GroupVertices[Group],MATCH(Edges[[#This Row],[Vertex 1]],GroupVertices[Vertex],0)),1,1,"")</f>
        <v>3</v>
      </c>
      <c r="R743" s="80" t="e">
        <f>REPLACE(INDEX(GroupVertices[Group],MATCH(Edges[[#This Row],[Vertex 2]],GroupVertices[Vertex],0)),1,1,"")</f>
        <v>#N/A</v>
      </c>
      <c r="S743" s="34"/>
      <c r="T743" s="34"/>
      <c r="U743" s="34"/>
      <c r="V743" s="34"/>
      <c r="W743" s="34"/>
      <c r="X743" s="34"/>
      <c r="Y743" s="34"/>
      <c r="Z743" s="34"/>
      <c r="AA743" s="34"/>
    </row>
    <row r="744" spans="1:27" ht="15">
      <c r="A744" s="66" t="s">
        <v>216</v>
      </c>
      <c r="B744" s="66" t="s">
        <v>715</v>
      </c>
      <c r="C744" s="67" t="s">
        <v>4454</v>
      </c>
      <c r="D744" s="68">
        <v>5</v>
      </c>
      <c r="E744" s="69"/>
      <c r="F744" s="70">
        <v>20</v>
      </c>
      <c r="G744" s="67"/>
      <c r="H744" s="71"/>
      <c r="I744" s="72"/>
      <c r="J744" s="72"/>
      <c r="K744" s="34" t="s">
        <v>65</v>
      </c>
      <c r="L744" s="79">
        <v>744</v>
      </c>
      <c r="M744" s="79"/>
      <c r="N744" s="74"/>
      <c r="O744" s="81" t="s">
        <v>944</v>
      </c>
      <c r="P744">
        <v>1</v>
      </c>
      <c r="Q744" s="80" t="str">
        <f>REPLACE(INDEX(GroupVertices[Group],MATCH(Edges[[#This Row],[Vertex 1]],GroupVertices[Vertex],0)),1,1,"")</f>
        <v>3</v>
      </c>
      <c r="R744" s="80" t="str">
        <f>REPLACE(INDEX(GroupVertices[Group],MATCH(Edges[[#This Row],[Vertex 2]],GroupVertices[Vertex],0)),1,1,"")</f>
        <v>3</v>
      </c>
      <c r="S744" s="34"/>
      <c r="T744" s="34"/>
      <c r="U744" s="34"/>
      <c r="V744" s="34"/>
      <c r="W744" s="34"/>
      <c r="X744" s="34"/>
      <c r="Y744" s="34"/>
      <c r="Z744" s="34"/>
      <c r="AA744" s="34"/>
    </row>
    <row r="745" spans="1:27" ht="15">
      <c r="A745" s="66" t="s">
        <v>245</v>
      </c>
      <c r="B745" s="66" t="s">
        <v>715</v>
      </c>
      <c r="C745" s="67" t="s">
        <v>4454</v>
      </c>
      <c r="D745" s="68">
        <v>5</v>
      </c>
      <c r="E745" s="69"/>
      <c r="F745" s="70">
        <v>20</v>
      </c>
      <c r="G745" s="67"/>
      <c r="H745" s="71"/>
      <c r="I745" s="72"/>
      <c r="J745" s="72"/>
      <c r="K745" s="34" t="s">
        <v>65</v>
      </c>
      <c r="L745" s="79">
        <v>745</v>
      </c>
      <c r="M745" s="79"/>
      <c r="N745" s="74"/>
      <c r="O745" s="81" t="s">
        <v>944</v>
      </c>
      <c r="P745">
        <v>1</v>
      </c>
      <c r="Q745" s="80" t="str">
        <f>REPLACE(INDEX(GroupVertices[Group],MATCH(Edges[[#This Row],[Vertex 1]],GroupVertices[Vertex],0)),1,1,"")</f>
        <v>3</v>
      </c>
      <c r="R745" s="80" t="str">
        <f>REPLACE(INDEX(GroupVertices[Group],MATCH(Edges[[#This Row],[Vertex 2]],GroupVertices[Vertex],0)),1,1,"")</f>
        <v>3</v>
      </c>
      <c r="S745" s="34"/>
      <c r="T745" s="34"/>
      <c r="U745" s="34"/>
      <c r="V745" s="34"/>
      <c r="W745" s="34"/>
      <c r="X745" s="34"/>
      <c r="Y745" s="34"/>
      <c r="Z745" s="34"/>
      <c r="AA745" s="34"/>
    </row>
    <row r="746" spans="1:27" ht="15">
      <c r="A746" s="66" t="s">
        <v>245</v>
      </c>
      <c r="B746" s="66" t="s">
        <v>716</v>
      </c>
      <c r="C746" s="67" t="s">
        <v>4454</v>
      </c>
      <c r="D746" s="68">
        <v>5</v>
      </c>
      <c r="E746" s="69"/>
      <c r="F746" s="70">
        <v>20</v>
      </c>
      <c r="G746" s="67"/>
      <c r="H746" s="71"/>
      <c r="I746" s="72"/>
      <c r="J746" s="72"/>
      <c r="K746" s="34"/>
      <c r="L746" s="79">
        <v>746</v>
      </c>
      <c r="M746" s="79"/>
      <c r="N746" s="74"/>
      <c r="O746" s="81" t="s">
        <v>944</v>
      </c>
      <c r="P746">
        <v>1</v>
      </c>
      <c r="Q746" s="80" t="str">
        <f>REPLACE(INDEX(GroupVertices[Group],MATCH(Edges[[#This Row],[Vertex 1]],GroupVertices[Vertex],0)),1,1,"")</f>
        <v>3</v>
      </c>
      <c r="R746" s="80" t="e">
        <f>REPLACE(INDEX(GroupVertices[Group],MATCH(Edges[[#This Row],[Vertex 2]],GroupVertices[Vertex],0)),1,1,"")</f>
        <v>#N/A</v>
      </c>
      <c r="S746" s="34"/>
      <c r="T746" s="34"/>
      <c r="U746" s="34"/>
      <c r="V746" s="34"/>
      <c r="W746" s="34"/>
      <c r="X746" s="34"/>
      <c r="Y746" s="34"/>
      <c r="Z746" s="34"/>
      <c r="AA746" s="34"/>
    </row>
    <row r="747" spans="1:27" ht="15">
      <c r="A747" s="66" t="s">
        <v>245</v>
      </c>
      <c r="B747" s="66" t="s">
        <v>717</v>
      </c>
      <c r="C747" s="67" t="s">
        <v>4454</v>
      </c>
      <c r="D747" s="68">
        <v>5</v>
      </c>
      <c r="E747" s="69"/>
      <c r="F747" s="70">
        <v>20</v>
      </c>
      <c r="G747" s="67"/>
      <c r="H747" s="71"/>
      <c r="I747" s="72"/>
      <c r="J747" s="72"/>
      <c r="K747" s="34"/>
      <c r="L747" s="79">
        <v>747</v>
      </c>
      <c r="M747" s="79"/>
      <c r="N747" s="74"/>
      <c r="O747" s="81" t="s">
        <v>944</v>
      </c>
      <c r="P747">
        <v>1</v>
      </c>
      <c r="Q747" s="80" t="str">
        <f>REPLACE(INDEX(GroupVertices[Group],MATCH(Edges[[#This Row],[Vertex 1]],GroupVertices[Vertex],0)),1,1,"")</f>
        <v>3</v>
      </c>
      <c r="R747" s="80" t="e">
        <f>REPLACE(INDEX(GroupVertices[Group],MATCH(Edges[[#This Row],[Vertex 2]],GroupVertices[Vertex],0)),1,1,"")</f>
        <v>#N/A</v>
      </c>
      <c r="S747" s="34"/>
      <c r="T747" s="34"/>
      <c r="U747" s="34"/>
      <c r="V747" s="34"/>
      <c r="W747" s="34"/>
      <c r="X747" s="34"/>
      <c r="Y747" s="34"/>
      <c r="Z747" s="34"/>
      <c r="AA747" s="34"/>
    </row>
    <row r="748" spans="1:27" ht="15">
      <c r="A748" s="66" t="s">
        <v>245</v>
      </c>
      <c r="B748" s="66" t="s">
        <v>718</v>
      </c>
      <c r="C748" s="67" t="s">
        <v>4454</v>
      </c>
      <c r="D748" s="68">
        <v>5</v>
      </c>
      <c r="E748" s="69"/>
      <c r="F748" s="70">
        <v>20</v>
      </c>
      <c r="G748" s="67"/>
      <c r="H748" s="71"/>
      <c r="I748" s="72"/>
      <c r="J748" s="72"/>
      <c r="K748" s="34"/>
      <c r="L748" s="79">
        <v>748</v>
      </c>
      <c r="M748" s="79"/>
      <c r="N748" s="74"/>
      <c r="O748" s="81" t="s">
        <v>944</v>
      </c>
      <c r="P748">
        <v>1</v>
      </c>
      <c r="Q748" s="80" t="str">
        <f>REPLACE(INDEX(GroupVertices[Group],MATCH(Edges[[#This Row],[Vertex 1]],GroupVertices[Vertex],0)),1,1,"")</f>
        <v>3</v>
      </c>
      <c r="R748" s="80" t="e">
        <f>REPLACE(INDEX(GroupVertices[Group],MATCH(Edges[[#This Row],[Vertex 2]],GroupVertices[Vertex],0)),1,1,"")</f>
        <v>#N/A</v>
      </c>
      <c r="S748" s="34"/>
      <c r="T748" s="34"/>
      <c r="U748" s="34"/>
      <c r="V748" s="34"/>
      <c r="W748" s="34"/>
      <c r="X748" s="34"/>
      <c r="Y748" s="34"/>
      <c r="Z748" s="34"/>
      <c r="AA748" s="34"/>
    </row>
    <row r="749" spans="1:27" ht="15">
      <c r="A749" s="66" t="s">
        <v>245</v>
      </c>
      <c r="B749" s="66" t="s">
        <v>719</v>
      </c>
      <c r="C749" s="67" t="s">
        <v>4454</v>
      </c>
      <c r="D749" s="68">
        <v>5</v>
      </c>
      <c r="E749" s="69"/>
      <c r="F749" s="70">
        <v>20</v>
      </c>
      <c r="G749" s="67"/>
      <c r="H749" s="71"/>
      <c r="I749" s="72"/>
      <c r="J749" s="72"/>
      <c r="K749" s="34"/>
      <c r="L749" s="79">
        <v>749</v>
      </c>
      <c r="M749" s="79"/>
      <c r="N749" s="74"/>
      <c r="O749" s="81" t="s">
        <v>944</v>
      </c>
      <c r="P749">
        <v>1</v>
      </c>
      <c r="Q749" s="80" t="str">
        <f>REPLACE(INDEX(GroupVertices[Group],MATCH(Edges[[#This Row],[Vertex 1]],GroupVertices[Vertex],0)),1,1,"")</f>
        <v>3</v>
      </c>
      <c r="R749" s="80" t="e">
        <f>REPLACE(INDEX(GroupVertices[Group],MATCH(Edges[[#This Row],[Vertex 2]],GroupVertices[Vertex],0)),1,1,"")</f>
        <v>#N/A</v>
      </c>
      <c r="S749" s="34"/>
      <c r="T749" s="34"/>
      <c r="U749" s="34"/>
      <c r="V749" s="34"/>
      <c r="W749" s="34"/>
      <c r="X749" s="34"/>
      <c r="Y749" s="34"/>
      <c r="Z749" s="34"/>
      <c r="AA749" s="34"/>
    </row>
    <row r="750" spans="1:27" ht="15">
      <c r="A750" s="66" t="s">
        <v>216</v>
      </c>
      <c r="B750" s="66" t="s">
        <v>720</v>
      </c>
      <c r="C750" s="67" t="s">
        <v>4454</v>
      </c>
      <c r="D750" s="68">
        <v>5</v>
      </c>
      <c r="E750" s="69"/>
      <c r="F750" s="70">
        <v>20</v>
      </c>
      <c r="G750" s="67"/>
      <c r="H750" s="71"/>
      <c r="I750" s="72"/>
      <c r="J750" s="72"/>
      <c r="K750" s="34" t="s">
        <v>65</v>
      </c>
      <c r="L750" s="79">
        <v>750</v>
      </c>
      <c r="M750" s="79"/>
      <c r="N750" s="74"/>
      <c r="O750" s="81" t="s">
        <v>944</v>
      </c>
      <c r="P750">
        <v>1</v>
      </c>
      <c r="Q750" s="80" t="str">
        <f>REPLACE(INDEX(GroupVertices[Group],MATCH(Edges[[#This Row],[Vertex 1]],GroupVertices[Vertex],0)),1,1,"")</f>
        <v>3</v>
      </c>
      <c r="R750" s="80" t="str">
        <f>REPLACE(INDEX(GroupVertices[Group],MATCH(Edges[[#This Row],[Vertex 2]],GroupVertices[Vertex],0)),1,1,"")</f>
        <v>3</v>
      </c>
      <c r="S750" s="34"/>
      <c r="T750" s="34"/>
      <c r="U750" s="34"/>
      <c r="V750" s="34"/>
      <c r="W750" s="34"/>
      <c r="X750" s="34"/>
      <c r="Y750" s="34"/>
      <c r="Z750" s="34"/>
      <c r="AA750" s="34"/>
    </row>
    <row r="751" spans="1:27" ht="15">
      <c r="A751" s="66" t="s">
        <v>233</v>
      </c>
      <c r="B751" s="66" t="s">
        <v>720</v>
      </c>
      <c r="C751" s="67" t="s">
        <v>4454</v>
      </c>
      <c r="D751" s="68">
        <v>5</v>
      </c>
      <c r="E751" s="69"/>
      <c r="F751" s="70">
        <v>20</v>
      </c>
      <c r="G751" s="67"/>
      <c r="H751" s="71"/>
      <c r="I751" s="72"/>
      <c r="J751" s="72"/>
      <c r="K751" s="34" t="s">
        <v>65</v>
      </c>
      <c r="L751" s="79">
        <v>751</v>
      </c>
      <c r="M751" s="79"/>
      <c r="N751" s="74"/>
      <c r="O751" s="81" t="s">
        <v>944</v>
      </c>
      <c r="P751">
        <v>1</v>
      </c>
      <c r="Q751" s="80" t="str">
        <f>REPLACE(INDEX(GroupVertices[Group],MATCH(Edges[[#This Row],[Vertex 1]],GroupVertices[Vertex],0)),1,1,"")</f>
        <v>2</v>
      </c>
      <c r="R751" s="80" t="str">
        <f>REPLACE(INDEX(GroupVertices[Group],MATCH(Edges[[#This Row],[Vertex 2]],GroupVertices[Vertex],0)),1,1,"")</f>
        <v>3</v>
      </c>
      <c r="S751" s="34"/>
      <c r="T751" s="34"/>
      <c r="U751" s="34"/>
      <c r="V751" s="34"/>
      <c r="W751" s="34"/>
      <c r="X751" s="34"/>
      <c r="Y751" s="34"/>
      <c r="Z751" s="34"/>
      <c r="AA751" s="34"/>
    </row>
    <row r="752" spans="1:27" ht="15">
      <c r="A752" s="66" t="s">
        <v>245</v>
      </c>
      <c r="B752" s="66" t="s">
        <v>720</v>
      </c>
      <c r="C752" s="67" t="s">
        <v>4454</v>
      </c>
      <c r="D752" s="68">
        <v>5</v>
      </c>
      <c r="E752" s="69"/>
      <c r="F752" s="70">
        <v>20</v>
      </c>
      <c r="G752" s="67"/>
      <c r="H752" s="71"/>
      <c r="I752" s="72"/>
      <c r="J752" s="72"/>
      <c r="K752" s="34" t="s">
        <v>65</v>
      </c>
      <c r="L752" s="79">
        <v>752</v>
      </c>
      <c r="M752" s="79"/>
      <c r="N752" s="74"/>
      <c r="O752" s="81" t="s">
        <v>944</v>
      </c>
      <c r="P752">
        <v>1</v>
      </c>
      <c r="Q752" s="80" t="str">
        <f>REPLACE(INDEX(GroupVertices[Group],MATCH(Edges[[#This Row],[Vertex 1]],GroupVertices[Vertex],0)),1,1,"")</f>
        <v>3</v>
      </c>
      <c r="R752" s="80" t="str">
        <f>REPLACE(INDEX(GroupVertices[Group],MATCH(Edges[[#This Row],[Vertex 2]],GroupVertices[Vertex],0)),1,1,"")</f>
        <v>3</v>
      </c>
      <c r="S752" s="34"/>
      <c r="T752" s="34"/>
      <c r="U752" s="34"/>
      <c r="V752" s="34"/>
      <c r="W752" s="34"/>
      <c r="X752" s="34"/>
      <c r="Y752" s="34"/>
      <c r="Z752" s="34"/>
      <c r="AA752" s="34"/>
    </row>
    <row r="753" spans="1:27" ht="15">
      <c r="A753" s="66" t="s">
        <v>245</v>
      </c>
      <c r="B753" s="66" t="s">
        <v>721</v>
      </c>
      <c r="C753" s="67" t="s">
        <v>4454</v>
      </c>
      <c r="D753" s="68">
        <v>5</v>
      </c>
      <c r="E753" s="69"/>
      <c r="F753" s="70">
        <v>20</v>
      </c>
      <c r="G753" s="67"/>
      <c r="H753" s="71"/>
      <c r="I753" s="72"/>
      <c r="J753" s="72"/>
      <c r="K753" s="34"/>
      <c r="L753" s="79">
        <v>753</v>
      </c>
      <c r="M753" s="79"/>
      <c r="N753" s="74"/>
      <c r="O753" s="81" t="s">
        <v>944</v>
      </c>
      <c r="P753">
        <v>1</v>
      </c>
      <c r="Q753" s="80" t="str">
        <f>REPLACE(INDEX(GroupVertices[Group],MATCH(Edges[[#This Row],[Vertex 1]],GroupVertices[Vertex],0)),1,1,"")</f>
        <v>3</v>
      </c>
      <c r="R753" s="80" t="e">
        <f>REPLACE(INDEX(GroupVertices[Group],MATCH(Edges[[#This Row],[Vertex 2]],GroupVertices[Vertex],0)),1,1,"")</f>
        <v>#N/A</v>
      </c>
      <c r="S753" s="34"/>
      <c r="T753" s="34"/>
      <c r="U753" s="34"/>
      <c r="V753" s="34"/>
      <c r="W753" s="34"/>
      <c r="X753" s="34"/>
      <c r="Y753" s="34"/>
      <c r="Z753" s="34"/>
      <c r="AA753" s="34"/>
    </row>
    <row r="754" spans="1:27" ht="15">
      <c r="A754" s="66" t="s">
        <v>245</v>
      </c>
      <c r="B754" s="66" t="s">
        <v>722</v>
      </c>
      <c r="C754" s="67" t="s">
        <v>4454</v>
      </c>
      <c r="D754" s="68">
        <v>5</v>
      </c>
      <c r="E754" s="69"/>
      <c r="F754" s="70">
        <v>20</v>
      </c>
      <c r="G754" s="67"/>
      <c r="H754" s="71"/>
      <c r="I754" s="72"/>
      <c r="J754" s="72"/>
      <c r="K754" s="34"/>
      <c r="L754" s="79">
        <v>754</v>
      </c>
      <c r="M754" s="79"/>
      <c r="N754" s="74"/>
      <c r="O754" s="81" t="s">
        <v>944</v>
      </c>
      <c r="P754">
        <v>1</v>
      </c>
      <c r="Q754" s="80" t="str">
        <f>REPLACE(INDEX(GroupVertices[Group],MATCH(Edges[[#This Row],[Vertex 1]],GroupVertices[Vertex],0)),1,1,"")</f>
        <v>3</v>
      </c>
      <c r="R754" s="80" t="e">
        <f>REPLACE(INDEX(GroupVertices[Group],MATCH(Edges[[#This Row],[Vertex 2]],GroupVertices[Vertex],0)),1,1,"")</f>
        <v>#N/A</v>
      </c>
      <c r="S754" s="34"/>
      <c r="T754" s="34"/>
      <c r="U754" s="34"/>
      <c r="V754" s="34"/>
      <c r="W754" s="34"/>
      <c r="X754" s="34"/>
      <c r="Y754" s="34"/>
      <c r="Z754" s="34"/>
      <c r="AA754" s="34"/>
    </row>
    <row r="755" spans="1:27" ht="15">
      <c r="A755" s="66" t="s">
        <v>216</v>
      </c>
      <c r="B755" s="66" t="s">
        <v>723</v>
      </c>
      <c r="C755" s="67" t="s">
        <v>4454</v>
      </c>
      <c r="D755" s="68">
        <v>5</v>
      </c>
      <c r="E755" s="69"/>
      <c r="F755" s="70">
        <v>20</v>
      </c>
      <c r="G755" s="67"/>
      <c r="H755" s="71"/>
      <c r="I755" s="72"/>
      <c r="J755" s="72"/>
      <c r="K755" s="34" t="s">
        <v>65</v>
      </c>
      <c r="L755" s="79">
        <v>755</v>
      </c>
      <c r="M755" s="79"/>
      <c r="N755" s="74"/>
      <c r="O755" s="81" t="s">
        <v>944</v>
      </c>
      <c r="P755">
        <v>1</v>
      </c>
      <c r="Q755" s="80" t="str">
        <f>REPLACE(INDEX(GroupVertices[Group],MATCH(Edges[[#This Row],[Vertex 1]],GroupVertices[Vertex],0)),1,1,"")</f>
        <v>3</v>
      </c>
      <c r="R755" s="80" t="str">
        <f>REPLACE(INDEX(GroupVertices[Group],MATCH(Edges[[#This Row],[Vertex 2]],GroupVertices[Vertex],0)),1,1,"")</f>
        <v>3</v>
      </c>
      <c r="S755" s="34"/>
      <c r="T755" s="34"/>
      <c r="U755" s="34"/>
      <c r="V755" s="34"/>
      <c r="W755" s="34"/>
      <c r="X755" s="34"/>
      <c r="Y755" s="34"/>
      <c r="Z755" s="34"/>
      <c r="AA755" s="34"/>
    </row>
    <row r="756" spans="1:27" ht="15">
      <c r="A756" s="66" t="s">
        <v>231</v>
      </c>
      <c r="B756" s="66" t="s">
        <v>723</v>
      </c>
      <c r="C756" s="67" t="s">
        <v>4454</v>
      </c>
      <c r="D756" s="68">
        <v>5</v>
      </c>
      <c r="E756" s="69"/>
      <c r="F756" s="70">
        <v>20</v>
      </c>
      <c r="G756" s="67"/>
      <c r="H756" s="71"/>
      <c r="I756" s="72"/>
      <c r="J756" s="72"/>
      <c r="K756" s="34" t="s">
        <v>65</v>
      </c>
      <c r="L756" s="79">
        <v>756</v>
      </c>
      <c r="M756" s="79"/>
      <c r="N756" s="74"/>
      <c r="O756" s="81" t="s">
        <v>944</v>
      </c>
      <c r="P756">
        <v>1</v>
      </c>
      <c r="Q756" s="80" t="str">
        <f>REPLACE(INDEX(GroupVertices[Group],MATCH(Edges[[#This Row],[Vertex 1]],GroupVertices[Vertex],0)),1,1,"")</f>
        <v>1</v>
      </c>
      <c r="R756" s="80" t="str">
        <f>REPLACE(INDEX(GroupVertices[Group],MATCH(Edges[[#This Row],[Vertex 2]],GroupVertices[Vertex],0)),1,1,"")</f>
        <v>3</v>
      </c>
      <c r="S756" s="34"/>
      <c r="T756" s="34"/>
      <c r="U756" s="34"/>
      <c r="V756" s="34"/>
      <c r="W756" s="34"/>
      <c r="X756" s="34"/>
      <c r="Y756" s="34"/>
      <c r="Z756" s="34"/>
      <c r="AA756" s="34"/>
    </row>
    <row r="757" spans="1:27" ht="15">
      <c r="A757" s="66" t="s">
        <v>245</v>
      </c>
      <c r="B757" s="66" t="s">
        <v>723</v>
      </c>
      <c r="C757" s="67" t="s">
        <v>4454</v>
      </c>
      <c r="D757" s="68">
        <v>5</v>
      </c>
      <c r="E757" s="69"/>
      <c r="F757" s="70">
        <v>20</v>
      </c>
      <c r="G757" s="67"/>
      <c r="H757" s="71"/>
      <c r="I757" s="72"/>
      <c r="J757" s="72"/>
      <c r="K757" s="34" t="s">
        <v>65</v>
      </c>
      <c r="L757" s="79">
        <v>757</v>
      </c>
      <c r="M757" s="79"/>
      <c r="N757" s="74"/>
      <c r="O757" s="81" t="s">
        <v>944</v>
      </c>
      <c r="P757">
        <v>1</v>
      </c>
      <c r="Q757" s="80" t="str">
        <f>REPLACE(INDEX(GroupVertices[Group],MATCH(Edges[[#This Row],[Vertex 1]],GroupVertices[Vertex],0)),1,1,"")</f>
        <v>3</v>
      </c>
      <c r="R757" s="80" t="str">
        <f>REPLACE(INDEX(GroupVertices[Group],MATCH(Edges[[#This Row],[Vertex 2]],GroupVertices[Vertex],0)),1,1,"")</f>
        <v>3</v>
      </c>
      <c r="S757" s="34"/>
      <c r="T757" s="34"/>
      <c r="U757" s="34"/>
      <c r="V757" s="34"/>
      <c r="W757" s="34"/>
      <c r="X757" s="34"/>
      <c r="Y757" s="34"/>
      <c r="Z757" s="34"/>
      <c r="AA757" s="34"/>
    </row>
    <row r="758" spans="1:27" ht="15">
      <c r="A758" s="66" t="s">
        <v>214</v>
      </c>
      <c r="B758" s="66" t="s">
        <v>724</v>
      </c>
      <c r="C758" s="67" t="s">
        <v>4454</v>
      </c>
      <c r="D758" s="68">
        <v>5</v>
      </c>
      <c r="E758" s="69"/>
      <c r="F758" s="70">
        <v>20</v>
      </c>
      <c r="G758" s="67"/>
      <c r="H758" s="71"/>
      <c r="I758" s="72"/>
      <c r="J758" s="72"/>
      <c r="K758" s="34" t="s">
        <v>65</v>
      </c>
      <c r="L758" s="79">
        <v>758</v>
      </c>
      <c r="M758" s="79"/>
      <c r="N758" s="74"/>
      <c r="O758" s="81" t="s">
        <v>944</v>
      </c>
      <c r="P758">
        <v>1</v>
      </c>
      <c r="Q758" s="80" t="str">
        <f>REPLACE(INDEX(GroupVertices[Group],MATCH(Edges[[#This Row],[Vertex 1]],GroupVertices[Vertex],0)),1,1,"")</f>
        <v>1</v>
      </c>
      <c r="R758" s="80" t="str">
        <f>REPLACE(INDEX(GroupVertices[Group],MATCH(Edges[[#This Row],[Vertex 2]],GroupVertices[Vertex],0)),1,1,"")</f>
        <v>4</v>
      </c>
      <c r="S758" s="34"/>
      <c r="T758" s="34"/>
      <c r="U758" s="34"/>
      <c r="V758" s="34"/>
      <c r="W758" s="34"/>
      <c r="X758" s="34"/>
      <c r="Y758" s="34"/>
      <c r="Z758" s="34"/>
      <c r="AA758" s="34"/>
    </row>
    <row r="759" spans="1:27" ht="15">
      <c r="A759" s="66" t="s">
        <v>217</v>
      </c>
      <c r="B759" s="66" t="s">
        <v>724</v>
      </c>
      <c r="C759" s="67" t="s">
        <v>4454</v>
      </c>
      <c r="D759" s="68">
        <v>5</v>
      </c>
      <c r="E759" s="69"/>
      <c r="F759" s="70">
        <v>20</v>
      </c>
      <c r="G759" s="67"/>
      <c r="H759" s="71"/>
      <c r="I759" s="72"/>
      <c r="J759" s="72"/>
      <c r="K759" s="34" t="s">
        <v>65</v>
      </c>
      <c r="L759" s="79">
        <v>759</v>
      </c>
      <c r="M759" s="79"/>
      <c r="N759" s="74"/>
      <c r="O759" s="81" t="s">
        <v>944</v>
      </c>
      <c r="P759">
        <v>1</v>
      </c>
      <c r="Q759" s="80" t="str">
        <f>REPLACE(INDEX(GroupVertices[Group],MATCH(Edges[[#This Row],[Vertex 1]],GroupVertices[Vertex],0)),1,1,"")</f>
        <v>4</v>
      </c>
      <c r="R759" s="80" t="str">
        <f>REPLACE(INDEX(GroupVertices[Group],MATCH(Edges[[#This Row],[Vertex 2]],GroupVertices[Vertex],0)),1,1,"")</f>
        <v>4</v>
      </c>
      <c r="S759" s="34"/>
      <c r="T759" s="34"/>
      <c r="U759" s="34"/>
      <c r="V759" s="34"/>
      <c r="W759" s="34"/>
      <c r="X759" s="34"/>
      <c r="Y759" s="34"/>
      <c r="Z759" s="34"/>
      <c r="AA759" s="34"/>
    </row>
    <row r="760" spans="1:27" ht="15">
      <c r="A760" s="66" t="s">
        <v>222</v>
      </c>
      <c r="B760" s="66" t="s">
        <v>724</v>
      </c>
      <c r="C760" s="67" t="s">
        <v>4454</v>
      </c>
      <c r="D760" s="68">
        <v>5</v>
      </c>
      <c r="E760" s="69"/>
      <c r="F760" s="70">
        <v>20</v>
      </c>
      <c r="G760" s="67"/>
      <c r="H760" s="71"/>
      <c r="I760" s="72"/>
      <c r="J760" s="72"/>
      <c r="K760" s="34" t="s">
        <v>65</v>
      </c>
      <c r="L760" s="79">
        <v>760</v>
      </c>
      <c r="M760" s="79"/>
      <c r="N760" s="74"/>
      <c r="O760" s="81" t="s">
        <v>944</v>
      </c>
      <c r="P760">
        <v>1</v>
      </c>
      <c r="Q760" s="80" t="str">
        <f>REPLACE(INDEX(GroupVertices[Group],MATCH(Edges[[#This Row],[Vertex 1]],GroupVertices[Vertex],0)),1,1,"")</f>
        <v>2</v>
      </c>
      <c r="R760" s="80" t="str">
        <f>REPLACE(INDEX(GroupVertices[Group],MATCH(Edges[[#This Row],[Vertex 2]],GroupVertices[Vertex],0)),1,1,"")</f>
        <v>4</v>
      </c>
      <c r="S760" s="34"/>
      <c r="T760" s="34"/>
      <c r="U760" s="34"/>
      <c r="V760" s="34"/>
      <c r="W760" s="34"/>
      <c r="X760" s="34"/>
      <c r="Y760" s="34"/>
      <c r="Z760" s="34"/>
      <c r="AA760" s="34"/>
    </row>
    <row r="761" spans="1:27" ht="15">
      <c r="A761" s="66" t="s">
        <v>226</v>
      </c>
      <c r="B761" s="66" t="s">
        <v>724</v>
      </c>
      <c r="C761" s="67" t="s">
        <v>4454</v>
      </c>
      <c r="D761" s="68">
        <v>5</v>
      </c>
      <c r="E761" s="69"/>
      <c r="F761" s="70">
        <v>20</v>
      </c>
      <c r="G761" s="67"/>
      <c r="H761" s="71"/>
      <c r="I761" s="72"/>
      <c r="J761" s="72"/>
      <c r="K761" s="34" t="s">
        <v>65</v>
      </c>
      <c r="L761" s="79">
        <v>761</v>
      </c>
      <c r="M761" s="79"/>
      <c r="N761" s="74"/>
      <c r="O761" s="81" t="s">
        <v>944</v>
      </c>
      <c r="P761">
        <v>1</v>
      </c>
      <c r="Q761" s="80" t="str">
        <f>REPLACE(INDEX(GroupVertices[Group],MATCH(Edges[[#This Row],[Vertex 1]],GroupVertices[Vertex],0)),1,1,"")</f>
        <v>4</v>
      </c>
      <c r="R761" s="80" t="str">
        <f>REPLACE(INDEX(GroupVertices[Group],MATCH(Edges[[#This Row],[Vertex 2]],GroupVertices[Vertex],0)),1,1,"")</f>
        <v>4</v>
      </c>
      <c r="S761" s="34"/>
      <c r="T761" s="34"/>
      <c r="U761" s="34"/>
      <c r="V761" s="34"/>
      <c r="W761" s="34"/>
      <c r="X761" s="34"/>
      <c r="Y761" s="34"/>
      <c r="Z761" s="34"/>
      <c r="AA761" s="34"/>
    </row>
    <row r="762" spans="1:27" ht="15">
      <c r="A762" s="66" t="s">
        <v>236</v>
      </c>
      <c r="B762" s="66" t="s">
        <v>724</v>
      </c>
      <c r="C762" s="67" t="s">
        <v>4454</v>
      </c>
      <c r="D762" s="68">
        <v>5</v>
      </c>
      <c r="E762" s="69"/>
      <c r="F762" s="70">
        <v>20</v>
      </c>
      <c r="G762" s="67"/>
      <c r="H762" s="71"/>
      <c r="I762" s="72"/>
      <c r="J762" s="72"/>
      <c r="K762" s="34" t="s">
        <v>65</v>
      </c>
      <c r="L762" s="79">
        <v>762</v>
      </c>
      <c r="M762" s="79"/>
      <c r="N762" s="74"/>
      <c r="O762" s="81" t="s">
        <v>944</v>
      </c>
      <c r="P762">
        <v>1</v>
      </c>
      <c r="Q762" s="80" t="str">
        <f>REPLACE(INDEX(GroupVertices[Group],MATCH(Edges[[#This Row],[Vertex 1]],GroupVertices[Vertex],0)),1,1,"")</f>
        <v>1</v>
      </c>
      <c r="R762" s="80" t="str">
        <f>REPLACE(INDEX(GroupVertices[Group],MATCH(Edges[[#This Row],[Vertex 2]],GroupVertices[Vertex],0)),1,1,"")</f>
        <v>4</v>
      </c>
      <c r="S762" s="34"/>
      <c r="T762" s="34"/>
      <c r="U762" s="34"/>
      <c r="V762" s="34"/>
      <c r="W762" s="34"/>
      <c r="X762" s="34"/>
      <c r="Y762" s="34"/>
      <c r="Z762" s="34"/>
      <c r="AA762" s="34"/>
    </row>
    <row r="763" spans="1:27" ht="15">
      <c r="A763" s="66" t="s">
        <v>238</v>
      </c>
      <c r="B763" s="66" t="s">
        <v>724</v>
      </c>
      <c r="C763" s="67" t="s">
        <v>4454</v>
      </c>
      <c r="D763" s="68">
        <v>5</v>
      </c>
      <c r="E763" s="69"/>
      <c r="F763" s="70">
        <v>20</v>
      </c>
      <c r="G763" s="67"/>
      <c r="H763" s="71"/>
      <c r="I763" s="72"/>
      <c r="J763" s="72"/>
      <c r="K763" s="34" t="s">
        <v>65</v>
      </c>
      <c r="L763" s="79">
        <v>763</v>
      </c>
      <c r="M763" s="79"/>
      <c r="N763" s="74"/>
      <c r="O763" s="81" t="s">
        <v>944</v>
      </c>
      <c r="P763">
        <v>1</v>
      </c>
      <c r="Q763" s="80" t="str">
        <f>REPLACE(INDEX(GroupVertices[Group],MATCH(Edges[[#This Row],[Vertex 1]],GroupVertices[Vertex],0)),1,1,"")</f>
        <v>2</v>
      </c>
      <c r="R763" s="80" t="str">
        <f>REPLACE(INDEX(GroupVertices[Group],MATCH(Edges[[#This Row],[Vertex 2]],GroupVertices[Vertex],0)),1,1,"")</f>
        <v>4</v>
      </c>
      <c r="S763" s="34"/>
      <c r="T763" s="34"/>
      <c r="U763" s="34"/>
      <c r="V763" s="34"/>
      <c r="W763" s="34"/>
      <c r="X763" s="34"/>
      <c r="Y763" s="34"/>
      <c r="Z763" s="34"/>
      <c r="AA763" s="34"/>
    </row>
    <row r="764" spans="1:27" ht="15">
      <c r="A764" s="66" t="s">
        <v>245</v>
      </c>
      <c r="B764" s="66" t="s">
        <v>724</v>
      </c>
      <c r="C764" s="67" t="s">
        <v>4454</v>
      </c>
      <c r="D764" s="68">
        <v>5</v>
      </c>
      <c r="E764" s="69"/>
      <c r="F764" s="70">
        <v>20</v>
      </c>
      <c r="G764" s="67"/>
      <c r="H764" s="71"/>
      <c r="I764" s="72"/>
      <c r="J764" s="72"/>
      <c r="K764" s="34" t="s">
        <v>65</v>
      </c>
      <c r="L764" s="79">
        <v>764</v>
      </c>
      <c r="M764" s="79"/>
      <c r="N764" s="74"/>
      <c r="O764" s="81" t="s">
        <v>944</v>
      </c>
      <c r="P764">
        <v>1</v>
      </c>
      <c r="Q764" s="80" t="str">
        <f>REPLACE(INDEX(GroupVertices[Group],MATCH(Edges[[#This Row],[Vertex 1]],GroupVertices[Vertex],0)),1,1,"")</f>
        <v>3</v>
      </c>
      <c r="R764" s="80" t="str">
        <f>REPLACE(INDEX(GroupVertices[Group],MATCH(Edges[[#This Row],[Vertex 2]],GroupVertices[Vertex],0)),1,1,"")</f>
        <v>4</v>
      </c>
      <c r="S764" s="34"/>
      <c r="T764" s="34"/>
      <c r="U764" s="34"/>
      <c r="V764" s="34"/>
      <c r="W764" s="34"/>
      <c r="X764" s="34"/>
      <c r="Y764" s="34"/>
      <c r="Z764" s="34"/>
      <c r="AA764" s="34"/>
    </row>
    <row r="765" spans="1:27" ht="15">
      <c r="A765" s="66" t="s">
        <v>245</v>
      </c>
      <c r="B765" s="66" t="s">
        <v>725</v>
      </c>
      <c r="C765" s="67" t="s">
        <v>4454</v>
      </c>
      <c r="D765" s="68">
        <v>5</v>
      </c>
      <c r="E765" s="69"/>
      <c r="F765" s="70">
        <v>20</v>
      </c>
      <c r="G765" s="67"/>
      <c r="H765" s="71"/>
      <c r="I765" s="72"/>
      <c r="J765" s="72"/>
      <c r="K765" s="34"/>
      <c r="L765" s="79">
        <v>765</v>
      </c>
      <c r="M765" s="79"/>
      <c r="N765" s="74"/>
      <c r="O765" s="81" t="s">
        <v>944</v>
      </c>
      <c r="P765">
        <v>1</v>
      </c>
      <c r="Q765" s="80" t="str">
        <f>REPLACE(INDEX(GroupVertices[Group],MATCH(Edges[[#This Row],[Vertex 1]],GroupVertices[Vertex],0)),1,1,"")</f>
        <v>3</v>
      </c>
      <c r="R765" s="80" t="e">
        <f>REPLACE(INDEX(GroupVertices[Group],MATCH(Edges[[#This Row],[Vertex 2]],GroupVertices[Vertex],0)),1,1,"")</f>
        <v>#N/A</v>
      </c>
      <c r="S765" s="34"/>
      <c r="T765" s="34"/>
      <c r="U765" s="34"/>
      <c r="V765" s="34"/>
      <c r="W765" s="34"/>
      <c r="X765" s="34"/>
      <c r="Y765" s="34"/>
      <c r="Z765" s="34"/>
      <c r="AA765" s="34"/>
    </row>
    <row r="766" spans="1:27" ht="15">
      <c r="A766" s="66" t="s">
        <v>245</v>
      </c>
      <c r="B766" s="66" t="s">
        <v>726</v>
      </c>
      <c r="C766" s="67" t="s">
        <v>4454</v>
      </c>
      <c r="D766" s="68">
        <v>5</v>
      </c>
      <c r="E766" s="69"/>
      <c r="F766" s="70">
        <v>20</v>
      </c>
      <c r="G766" s="67"/>
      <c r="H766" s="71"/>
      <c r="I766" s="72"/>
      <c r="J766" s="72"/>
      <c r="K766" s="34"/>
      <c r="L766" s="79">
        <v>766</v>
      </c>
      <c r="M766" s="79"/>
      <c r="N766" s="74"/>
      <c r="O766" s="81" t="s">
        <v>944</v>
      </c>
      <c r="P766">
        <v>1</v>
      </c>
      <c r="Q766" s="80" t="str">
        <f>REPLACE(INDEX(GroupVertices[Group],MATCH(Edges[[#This Row],[Vertex 1]],GroupVertices[Vertex],0)),1,1,"")</f>
        <v>3</v>
      </c>
      <c r="R766" s="80" t="e">
        <f>REPLACE(INDEX(GroupVertices[Group],MATCH(Edges[[#This Row],[Vertex 2]],GroupVertices[Vertex],0)),1,1,"")</f>
        <v>#N/A</v>
      </c>
      <c r="S766" s="34"/>
      <c r="T766" s="34"/>
      <c r="U766" s="34"/>
      <c r="V766" s="34"/>
      <c r="W766" s="34"/>
      <c r="X766" s="34"/>
      <c r="Y766" s="34"/>
      <c r="Z766" s="34"/>
      <c r="AA766" s="34"/>
    </row>
    <row r="767" spans="1:27" ht="15">
      <c r="A767" s="66" t="s">
        <v>245</v>
      </c>
      <c r="B767" s="66" t="s">
        <v>727</v>
      </c>
      <c r="C767" s="67" t="s">
        <v>4454</v>
      </c>
      <c r="D767" s="68">
        <v>5</v>
      </c>
      <c r="E767" s="69"/>
      <c r="F767" s="70">
        <v>20</v>
      </c>
      <c r="G767" s="67"/>
      <c r="H767" s="71"/>
      <c r="I767" s="72"/>
      <c r="J767" s="72"/>
      <c r="K767" s="34"/>
      <c r="L767" s="79">
        <v>767</v>
      </c>
      <c r="M767" s="79"/>
      <c r="N767" s="74"/>
      <c r="O767" s="81" t="s">
        <v>944</v>
      </c>
      <c r="P767">
        <v>1</v>
      </c>
      <c r="Q767" s="80" t="str">
        <f>REPLACE(INDEX(GroupVertices[Group],MATCH(Edges[[#This Row],[Vertex 1]],GroupVertices[Vertex],0)),1,1,"")</f>
        <v>3</v>
      </c>
      <c r="R767" s="80" t="e">
        <f>REPLACE(INDEX(GroupVertices[Group],MATCH(Edges[[#This Row],[Vertex 2]],GroupVertices[Vertex],0)),1,1,"")</f>
        <v>#N/A</v>
      </c>
      <c r="S767" s="34"/>
      <c r="T767" s="34"/>
      <c r="U767" s="34"/>
      <c r="V767" s="34"/>
      <c r="W767" s="34"/>
      <c r="X767" s="34"/>
      <c r="Y767" s="34"/>
      <c r="Z767" s="34"/>
      <c r="AA767" s="34"/>
    </row>
    <row r="768" spans="1:27" ht="15">
      <c r="A768" s="66" t="s">
        <v>245</v>
      </c>
      <c r="B768" s="66" t="s">
        <v>728</v>
      </c>
      <c r="C768" s="67" t="s">
        <v>4454</v>
      </c>
      <c r="D768" s="68">
        <v>5</v>
      </c>
      <c r="E768" s="69"/>
      <c r="F768" s="70">
        <v>20</v>
      </c>
      <c r="G768" s="67"/>
      <c r="H768" s="71"/>
      <c r="I768" s="72"/>
      <c r="J768" s="72"/>
      <c r="K768" s="34"/>
      <c r="L768" s="79">
        <v>768</v>
      </c>
      <c r="M768" s="79"/>
      <c r="N768" s="74"/>
      <c r="O768" s="81" t="s">
        <v>944</v>
      </c>
      <c r="P768">
        <v>1</v>
      </c>
      <c r="Q768" s="80" t="str">
        <f>REPLACE(INDEX(GroupVertices[Group],MATCH(Edges[[#This Row],[Vertex 1]],GroupVertices[Vertex],0)),1,1,"")</f>
        <v>3</v>
      </c>
      <c r="R768" s="80" t="e">
        <f>REPLACE(INDEX(GroupVertices[Group],MATCH(Edges[[#This Row],[Vertex 2]],GroupVertices[Vertex],0)),1,1,"")</f>
        <v>#N/A</v>
      </c>
      <c r="S768" s="34"/>
      <c r="T768" s="34"/>
      <c r="U768" s="34"/>
      <c r="V768" s="34"/>
      <c r="W768" s="34"/>
      <c r="X768" s="34"/>
      <c r="Y768" s="34"/>
      <c r="Z768" s="34"/>
      <c r="AA768" s="34"/>
    </row>
    <row r="769" spans="1:27" ht="15">
      <c r="A769" s="66" t="s">
        <v>246</v>
      </c>
      <c r="B769" s="66" t="s">
        <v>729</v>
      </c>
      <c r="C769" s="67" t="s">
        <v>4454</v>
      </c>
      <c r="D769" s="68">
        <v>5</v>
      </c>
      <c r="E769" s="69"/>
      <c r="F769" s="70">
        <v>20</v>
      </c>
      <c r="G769" s="67"/>
      <c r="H769" s="71"/>
      <c r="I769" s="72"/>
      <c r="J769" s="72"/>
      <c r="K769" s="34"/>
      <c r="L769" s="79">
        <v>769</v>
      </c>
      <c r="M769" s="79"/>
      <c r="N769" s="74"/>
      <c r="O769" s="81" t="s">
        <v>944</v>
      </c>
      <c r="P769">
        <v>1</v>
      </c>
      <c r="Q769" s="80" t="str">
        <f>REPLACE(INDEX(GroupVertices[Group],MATCH(Edges[[#This Row],[Vertex 1]],GroupVertices[Vertex],0)),1,1,"")</f>
        <v>2</v>
      </c>
      <c r="R769" s="80" t="e">
        <f>REPLACE(INDEX(GroupVertices[Group],MATCH(Edges[[#This Row],[Vertex 2]],GroupVertices[Vertex],0)),1,1,"")</f>
        <v>#N/A</v>
      </c>
      <c r="S769" s="34"/>
      <c r="T769" s="34"/>
      <c r="U769" s="34"/>
      <c r="V769" s="34"/>
      <c r="W769" s="34"/>
      <c r="X769" s="34"/>
      <c r="Y769" s="34"/>
      <c r="Z769" s="34"/>
      <c r="AA769" s="34"/>
    </row>
    <row r="770" spans="1:27" ht="15">
      <c r="A770" s="66" t="s">
        <v>246</v>
      </c>
      <c r="B770" s="66" t="s">
        <v>730</v>
      </c>
      <c r="C770" s="67" t="s">
        <v>4454</v>
      </c>
      <c r="D770" s="68">
        <v>5</v>
      </c>
      <c r="E770" s="69"/>
      <c r="F770" s="70">
        <v>20</v>
      </c>
      <c r="G770" s="67"/>
      <c r="H770" s="71"/>
      <c r="I770" s="72"/>
      <c r="J770" s="72"/>
      <c r="K770" s="34"/>
      <c r="L770" s="79">
        <v>770</v>
      </c>
      <c r="M770" s="79"/>
      <c r="N770" s="74"/>
      <c r="O770" s="81" t="s">
        <v>944</v>
      </c>
      <c r="P770">
        <v>1</v>
      </c>
      <c r="Q770" s="80" t="str">
        <f>REPLACE(INDEX(GroupVertices[Group],MATCH(Edges[[#This Row],[Vertex 1]],GroupVertices[Vertex],0)),1,1,"")</f>
        <v>2</v>
      </c>
      <c r="R770" s="80" t="e">
        <f>REPLACE(INDEX(GroupVertices[Group],MATCH(Edges[[#This Row],[Vertex 2]],GroupVertices[Vertex],0)),1,1,"")</f>
        <v>#N/A</v>
      </c>
      <c r="S770" s="34"/>
      <c r="T770" s="34"/>
      <c r="U770" s="34"/>
      <c r="V770" s="34"/>
      <c r="W770" s="34"/>
      <c r="X770" s="34"/>
      <c r="Y770" s="34"/>
      <c r="Z770" s="34"/>
      <c r="AA770" s="34"/>
    </row>
    <row r="771" spans="1:27" ht="15">
      <c r="A771" s="66" t="s">
        <v>246</v>
      </c>
      <c r="B771" s="66" t="s">
        <v>731</v>
      </c>
      <c r="C771" s="67" t="s">
        <v>4454</v>
      </c>
      <c r="D771" s="68">
        <v>5</v>
      </c>
      <c r="E771" s="69"/>
      <c r="F771" s="70">
        <v>20</v>
      </c>
      <c r="G771" s="67"/>
      <c r="H771" s="71"/>
      <c r="I771" s="72"/>
      <c r="J771" s="72"/>
      <c r="K771" s="34"/>
      <c r="L771" s="79">
        <v>771</v>
      </c>
      <c r="M771" s="79"/>
      <c r="N771" s="74"/>
      <c r="O771" s="81" t="s">
        <v>944</v>
      </c>
      <c r="P771">
        <v>1</v>
      </c>
      <c r="Q771" s="80" t="str">
        <f>REPLACE(INDEX(GroupVertices[Group],MATCH(Edges[[#This Row],[Vertex 1]],GroupVertices[Vertex],0)),1,1,"")</f>
        <v>2</v>
      </c>
      <c r="R771" s="80" t="e">
        <f>REPLACE(INDEX(GroupVertices[Group],MATCH(Edges[[#This Row],[Vertex 2]],GroupVertices[Vertex],0)),1,1,"")</f>
        <v>#N/A</v>
      </c>
      <c r="S771" s="34"/>
      <c r="T771" s="34"/>
      <c r="U771" s="34"/>
      <c r="V771" s="34"/>
      <c r="W771" s="34"/>
      <c r="X771" s="34"/>
      <c r="Y771" s="34"/>
      <c r="Z771" s="34"/>
      <c r="AA771" s="34"/>
    </row>
    <row r="772" spans="1:27" ht="15">
      <c r="A772" s="66" t="s">
        <v>215</v>
      </c>
      <c r="B772" s="66" t="s">
        <v>245</v>
      </c>
      <c r="C772" s="67" t="s">
        <v>4454</v>
      </c>
      <c r="D772" s="68">
        <v>5</v>
      </c>
      <c r="E772" s="69"/>
      <c r="F772" s="70">
        <v>20</v>
      </c>
      <c r="G772" s="67"/>
      <c r="H772" s="71"/>
      <c r="I772" s="72"/>
      <c r="J772" s="72"/>
      <c r="K772" s="34" t="s">
        <v>66</v>
      </c>
      <c r="L772" s="79">
        <v>772</v>
      </c>
      <c r="M772" s="79"/>
      <c r="N772" s="74"/>
      <c r="O772" s="81" t="s">
        <v>944</v>
      </c>
      <c r="P772">
        <v>1</v>
      </c>
      <c r="Q772" s="80" t="str">
        <f>REPLACE(INDEX(GroupVertices[Group],MATCH(Edges[[#This Row],[Vertex 1]],GroupVertices[Vertex],0)),1,1,"")</f>
        <v>3</v>
      </c>
      <c r="R772" s="80" t="str">
        <f>REPLACE(INDEX(GroupVertices[Group],MATCH(Edges[[#This Row],[Vertex 2]],GroupVertices[Vertex],0)),1,1,"")</f>
        <v>3</v>
      </c>
      <c r="S772" s="34"/>
      <c r="T772" s="34"/>
      <c r="U772" s="34"/>
      <c r="V772" s="34"/>
      <c r="W772" s="34"/>
      <c r="X772" s="34"/>
      <c r="Y772" s="34"/>
      <c r="Z772" s="34"/>
      <c r="AA772" s="34"/>
    </row>
    <row r="773" spans="1:27" ht="15">
      <c r="A773" s="66" t="s">
        <v>216</v>
      </c>
      <c r="B773" s="66" t="s">
        <v>245</v>
      </c>
      <c r="C773" s="67" t="s">
        <v>4454</v>
      </c>
      <c r="D773" s="68">
        <v>5</v>
      </c>
      <c r="E773" s="69"/>
      <c r="F773" s="70">
        <v>20</v>
      </c>
      <c r="G773" s="67"/>
      <c r="H773" s="71"/>
      <c r="I773" s="72"/>
      <c r="J773" s="72"/>
      <c r="K773" s="34" t="s">
        <v>65</v>
      </c>
      <c r="L773" s="79">
        <v>773</v>
      </c>
      <c r="M773" s="79"/>
      <c r="N773" s="74"/>
      <c r="O773" s="81" t="s">
        <v>944</v>
      </c>
      <c r="P773">
        <v>1</v>
      </c>
      <c r="Q773" s="80" t="str">
        <f>REPLACE(INDEX(GroupVertices[Group],MATCH(Edges[[#This Row],[Vertex 1]],GroupVertices[Vertex],0)),1,1,"")</f>
        <v>3</v>
      </c>
      <c r="R773" s="80" t="str">
        <f>REPLACE(INDEX(GroupVertices[Group],MATCH(Edges[[#This Row],[Vertex 2]],GroupVertices[Vertex],0)),1,1,"")</f>
        <v>3</v>
      </c>
      <c r="S773" s="34"/>
      <c r="T773" s="34"/>
      <c r="U773" s="34"/>
      <c r="V773" s="34"/>
      <c r="W773" s="34"/>
      <c r="X773" s="34"/>
      <c r="Y773" s="34"/>
      <c r="Z773" s="34"/>
      <c r="AA773" s="34"/>
    </row>
    <row r="774" spans="1:27" ht="15">
      <c r="A774" s="66" t="s">
        <v>221</v>
      </c>
      <c r="B774" s="66" t="s">
        <v>245</v>
      </c>
      <c r="C774" s="67" t="s">
        <v>4454</v>
      </c>
      <c r="D774" s="68">
        <v>5</v>
      </c>
      <c r="E774" s="69"/>
      <c r="F774" s="70">
        <v>20</v>
      </c>
      <c r="G774" s="67"/>
      <c r="H774" s="71"/>
      <c r="I774" s="72"/>
      <c r="J774" s="72"/>
      <c r="K774" s="34" t="s">
        <v>65</v>
      </c>
      <c r="L774" s="79">
        <v>774</v>
      </c>
      <c r="M774" s="79"/>
      <c r="N774" s="74"/>
      <c r="O774" s="81" t="s">
        <v>944</v>
      </c>
      <c r="P774">
        <v>1</v>
      </c>
      <c r="Q774" s="80" t="str">
        <f>REPLACE(INDEX(GroupVertices[Group],MATCH(Edges[[#This Row],[Vertex 1]],GroupVertices[Vertex],0)),1,1,"")</f>
        <v>2</v>
      </c>
      <c r="R774" s="80" t="str">
        <f>REPLACE(INDEX(GroupVertices[Group],MATCH(Edges[[#This Row],[Vertex 2]],GroupVertices[Vertex],0)),1,1,"")</f>
        <v>3</v>
      </c>
      <c r="S774" s="34"/>
      <c r="T774" s="34"/>
      <c r="U774" s="34"/>
      <c r="V774" s="34"/>
      <c r="W774" s="34"/>
      <c r="X774" s="34"/>
      <c r="Y774" s="34"/>
      <c r="Z774" s="34"/>
      <c r="AA774" s="34"/>
    </row>
    <row r="775" spans="1:27" ht="15">
      <c r="A775" s="66" t="s">
        <v>222</v>
      </c>
      <c r="B775" s="66" t="s">
        <v>245</v>
      </c>
      <c r="C775" s="67" t="s">
        <v>4454</v>
      </c>
      <c r="D775" s="68">
        <v>5</v>
      </c>
      <c r="E775" s="69"/>
      <c r="F775" s="70">
        <v>20</v>
      </c>
      <c r="G775" s="67"/>
      <c r="H775" s="71"/>
      <c r="I775" s="72"/>
      <c r="J775" s="72"/>
      <c r="K775" s="34" t="s">
        <v>65</v>
      </c>
      <c r="L775" s="79">
        <v>775</v>
      </c>
      <c r="M775" s="79"/>
      <c r="N775" s="74"/>
      <c r="O775" s="81" t="s">
        <v>944</v>
      </c>
      <c r="P775">
        <v>1</v>
      </c>
      <c r="Q775" s="80" t="str">
        <f>REPLACE(INDEX(GroupVertices[Group],MATCH(Edges[[#This Row],[Vertex 1]],GroupVertices[Vertex],0)),1,1,"")</f>
        <v>2</v>
      </c>
      <c r="R775" s="80" t="str">
        <f>REPLACE(INDEX(GroupVertices[Group],MATCH(Edges[[#This Row],[Vertex 2]],GroupVertices[Vertex],0)),1,1,"")</f>
        <v>3</v>
      </c>
      <c r="S775" s="34"/>
      <c r="T775" s="34"/>
      <c r="U775" s="34"/>
      <c r="V775" s="34"/>
      <c r="W775" s="34"/>
      <c r="X775" s="34"/>
      <c r="Y775" s="34"/>
      <c r="Z775" s="34"/>
      <c r="AA775" s="34"/>
    </row>
    <row r="776" spans="1:27" ht="15">
      <c r="A776" s="66" t="s">
        <v>228</v>
      </c>
      <c r="B776" s="66" t="s">
        <v>245</v>
      </c>
      <c r="C776" s="67" t="s">
        <v>4454</v>
      </c>
      <c r="D776" s="68">
        <v>5</v>
      </c>
      <c r="E776" s="69"/>
      <c r="F776" s="70">
        <v>20</v>
      </c>
      <c r="G776" s="67"/>
      <c r="H776" s="71"/>
      <c r="I776" s="72"/>
      <c r="J776" s="72"/>
      <c r="K776" s="34" t="s">
        <v>65</v>
      </c>
      <c r="L776" s="79">
        <v>776</v>
      </c>
      <c r="M776" s="79"/>
      <c r="N776" s="74"/>
      <c r="O776" s="81" t="s">
        <v>944</v>
      </c>
      <c r="P776">
        <v>1</v>
      </c>
      <c r="Q776" s="80" t="str">
        <f>REPLACE(INDEX(GroupVertices[Group],MATCH(Edges[[#This Row],[Vertex 1]],GroupVertices[Vertex],0)),1,1,"")</f>
        <v>3</v>
      </c>
      <c r="R776" s="80" t="str">
        <f>REPLACE(INDEX(GroupVertices[Group],MATCH(Edges[[#This Row],[Vertex 2]],GroupVertices[Vertex],0)),1,1,"")</f>
        <v>3</v>
      </c>
      <c r="S776" s="34"/>
      <c r="T776" s="34"/>
      <c r="U776" s="34"/>
      <c r="V776" s="34"/>
      <c r="W776" s="34"/>
      <c r="X776" s="34"/>
      <c r="Y776" s="34"/>
      <c r="Z776" s="34"/>
      <c r="AA776" s="34"/>
    </row>
    <row r="777" spans="1:27" ht="15">
      <c r="A777" s="66" t="s">
        <v>235</v>
      </c>
      <c r="B777" s="66" t="s">
        <v>245</v>
      </c>
      <c r="C777" s="67" t="s">
        <v>4454</v>
      </c>
      <c r="D777" s="68">
        <v>5</v>
      </c>
      <c r="E777" s="69"/>
      <c r="F777" s="70">
        <v>20</v>
      </c>
      <c r="G777" s="67"/>
      <c r="H777" s="71"/>
      <c r="I777" s="72"/>
      <c r="J777" s="72"/>
      <c r="K777" s="34" t="s">
        <v>65</v>
      </c>
      <c r="L777" s="79">
        <v>777</v>
      </c>
      <c r="M777" s="79"/>
      <c r="N777" s="74"/>
      <c r="O777" s="81" t="s">
        <v>944</v>
      </c>
      <c r="P777">
        <v>1</v>
      </c>
      <c r="Q777" s="80" t="str">
        <f>REPLACE(INDEX(GroupVertices[Group],MATCH(Edges[[#This Row],[Vertex 1]],GroupVertices[Vertex],0)),1,1,"")</f>
        <v>2</v>
      </c>
      <c r="R777" s="80" t="str">
        <f>REPLACE(INDEX(GroupVertices[Group],MATCH(Edges[[#This Row],[Vertex 2]],GroupVertices[Vertex],0)),1,1,"")</f>
        <v>3</v>
      </c>
      <c r="S777" s="34"/>
      <c r="T777" s="34"/>
      <c r="U777" s="34"/>
      <c r="V777" s="34"/>
      <c r="W777" s="34"/>
      <c r="X777" s="34"/>
      <c r="Y777" s="34"/>
      <c r="Z777" s="34"/>
      <c r="AA777" s="34"/>
    </row>
    <row r="778" spans="1:27" ht="15">
      <c r="A778" s="66" t="s">
        <v>240</v>
      </c>
      <c r="B778" s="66" t="s">
        <v>245</v>
      </c>
      <c r="C778" s="67" t="s">
        <v>4454</v>
      </c>
      <c r="D778" s="68">
        <v>5</v>
      </c>
      <c r="E778" s="69"/>
      <c r="F778" s="70">
        <v>20</v>
      </c>
      <c r="G778" s="67"/>
      <c r="H778" s="71"/>
      <c r="I778" s="72"/>
      <c r="J778" s="72"/>
      <c r="K778" s="34" t="s">
        <v>66</v>
      </c>
      <c r="L778" s="79">
        <v>778</v>
      </c>
      <c r="M778" s="79"/>
      <c r="N778" s="74"/>
      <c r="O778" s="81" t="s">
        <v>944</v>
      </c>
      <c r="P778">
        <v>1</v>
      </c>
      <c r="Q778" s="80" t="str">
        <f>REPLACE(INDEX(GroupVertices[Group],MATCH(Edges[[#This Row],[Vertex 1]],GroupVertices[Vertex],0)),1,1,"")</f>
        <v>2</v>
      </c>
      <c r="R778" s="80" t="str">
        <f>REPLACE(INDEX(GroupVertices[Group],MATCH(Edges[[#This Row],[Vertex 2]],GroupVertices[Vertex],0)),1,1,"")</f>
        <v>3</v>
      </c>
      <c r="S778" s="34"/>
      <c r="T778" s="34"/>
      <c r="U778" s="34"/>
      <c r="V778" s="34"/>
      <c r="W778" s="34"/>
      <c r="X778" s="34"/>
      <c r="Y778" s="34"/>
      <c r="Z778" s="34"/>
      <c r="AA778" s="34"/>
    </row>
    <row r="779" spans="1:27" ht="15">
      <c r="A779" s="66" t="s">
        <v>243</v>
      </c>
      <c r="B779" s="66" t="s">
        <v>245</v>
      </c>
      <c r="C779" s="67" t="s">
        <v>4454</v>
      </c>
      <c r="D779" s="68">
        <v>5</v>
      </c>
      <c r="E779" s="69"/>
      <c r="F779" s="70">
        <v>20</v>
      </c>
      <c r="G779" s="67"/>
      <c r="H779" s="71"/>
      <c r="I779" s="72"/>
      <c r="J779" s="72"/>
      <c r="K779" s="34" t="s">
        <v>65</v>
      </c>
      <c r="L779" s="79">
        <v>779</v>
      </c>
      <c r="M779" s="79"/>
      <c r="N779" s="74"/>
      <c r="O779" s="81" t="s">
        <v>944</v>
      </c>
      <c r="P779">
        <v>1</v>
      </c>
      <c r="Q779" s="80" t="str">
        <f>REPLACE(INDEX(GroupVertices[Group],MATCH(Edges[[#This Row],[Vertex 1]],GroupVertices[Vertex],0)),1,1,"")</f>
        <v>2</v>
      </c>
      <c r="R779" s="80" t="str">
        <f>REPLACE(INDEX(GroupVertices[Group],MATCH(Edges[[#This Row],[Vertex 2]],GroupVertices[Vertex],0)),1,1,"")</f>
        <v>3</v>
      </c>
      <c r="S779" s="34"/>
      <c r="T779" s="34"/>
      <c r="U779" s="34"/>
      <c r="V779" s="34"/>
      <c r="W779" s="34"/>
      <c r="X779" s="34"/>
      <c r="Y779" s="34"/>
      <c r="Z779" s="34"/>
      <c r="AA779" s="34"/>
    </row>
    <row r="780" spans="1:27" ht="15">
      <c r="A780" s="66" t="s">
        <v>245</v>
      </c>
      <c r="B780" s="66" t="s">
        <v>732</v>
      </c>
      <c r="C780" s="67" t="s">
        <v>4454</v>
      </c>
      <c r="D780" s="68">
        <v>5</v>
      </c>
      <c r="E780" s="69"/>
      <c r="F780" s="70">
        <v>20</v>
      </c>
      <c r="G780" s="67"/>
      <c r="H780" s="71"/>
      <c r="I780" s="72"/>
      <c r="J780" s="72"/>
      <c r="K780" s="34" t="s">
        <v>65</v>
      </c>
      <c r="L780" s="79">
        <v>780</v>
      </c>
      <c r="M780" s="79"/>
      <c r="N780" s="74"/>
      <c r="O780" s="81" t="s">
        <v>944</v>
      </c>
      <c r="P780">
        <v>1</v>
      </c>
      <c r="Q780" s="80" t="str">
        <f>REPLACE(INDEX(GroupVertices[Group],MATCH(Edges[[#This Row],[Vertex 1]],GroupVertices[Vertex],0)),1,1,"")</f>
        <v>3</v>
      </c>
      <c r="R780" s="80" t="str">
        <f>REPLACE(INDEX(GroupVertices[Group],MATCH(Edges[[#This Row],[Vertex 2]],GroupVertices[Vertex],0)),1,1,"")</f>
        <v>4</v>
      </c>
      <c r="S780" s="34"/>
      <c r="T780" s="34"/>
      <c r="U780" s="34"/>
      <c r="V780" s="34"/>
      <c r="W780" s="34"/>
      <c r="X780" s="34"/>
      <c r="Y780" s="34"/>
      <c r="Z780" s="34"/>
      <c r="AA780" s="34"/>
    </row>
    <row r="781" spans="1:27" ht="15">
      <c r="A781" s="66" t="s">
        <v>245</v>
      </c>
      <c r="B781" s="66" t="s">
        <v>227</v>
      </c>
      <c r="C781" s="67" t="s">
        <v>4454</v>
      </c>
      <c r="D781" s="68">
        <v>5</v>
      </c>
      <c r="E781" s="69"/>
      <c r="F781" s="70">
        <v>20</v>
      </c>
      <c r="G781" s="67"/>
      <c r="H781" s="71"/>
      <c r="I781" s="72"/>
      <c r="J781" s="72"/>
      <c r="K781" s="34" t="s">
        <v>65</v>
      </c>
      <c r="L781" s="79">
        <v>781</v>
      </c>
      <c r="M781" s="79"/>
      <c r="N781" s="74"/>
      <c r="O781" s="81" t="s">
        <v>944</v>
      </c>
      <c r="P781">
        <v>1</v>
      </c>
      <c r="Q781" s="80" t="str">
        <f>REPLACE(INDEX(GroupVertices[Group],MATCH(Edges[[#This Row],[Vertex 1]],GroupVertices[Vertex],0)),1,1,"")</f>
        <v>3</v>
      </c>
      <c r="R781" s="80" t="str">
        <f>REPLACE(INDEX(GroupVertices[Group],MATCH(Edges[[#This Row],[Vertex 2]],GroupVertices[Vertex],0)),1,1,"")</f>
        <v>3</v>
      </c>
      <c r="S781" s="34"/>
      <c r="T781" s="34"/>
      <c r="U781" s="34"/>
      <c r="V781" s="34"/>
      <c r="W781" s="34"/>
      <c r="X781" s="34"/>
      <c r="Y781" s="34"/>
      <c r="Z781" s="34"/>
      <c r="AA781" s="34"/>
    </row>
    <row r="782" spans="1:27" ht="15">
      <c r="A782" s="66" t="s">
        <v>245</v>
      </c>
      <c r="B782" s="66" t="s">
        <v>251</v>
      </c>
      <c r="C782" s="67" t="s">
        <v>4454</v>
      </c>
      <c r="D782" s="68">
        <v>5</v>
      </c>
      <c r="E782" s="69"/>
      <c r="F782" s="70">
        <v>20</v>
      </c>
      <c r="G782" s="67"/>
      <c r="H782" s="71"/>
      <c r="I782" s="72"/>
      <c r="J782" s="72"/>
      <c r="K782" s="34" t="s">
        <v>65</v>
      </c>
      <c r="L782" s="79">
        <v>782</v>
      </c>
      <c r="M782" s="79"/>
      <c r="N782" s="74"/>
      <c r="O782" s="81" t="s">
        <v>944</v>
      </c>
      <c r="P782">
        <v>1</v>
      </c>
      <c r="Q782" s="80" t="str">
        <f>REPLACE(INDEX(GroupVertices[Group],MATCH(Edges[[#This Row],[Vertex 1]],GroupVertices[Vertex],0)),1,1,"")</f>
        <v>3</v>
      </c>
      <c r="R782" s="80" t="str">
        <f>REPLACE(INDEX(GroupVertices[Group],MATCH(Edges[[#This Row],[Vertex 2]],GroupVertices[Vertex],0)),1,1,"")</f>
        <v>2</v>
      </c>
      <c r="S782" s="34"/>
      <c r="T782" s="34"/>
      <c r="U782" s="34"/>
      <c r="V782" s="34"/>
      <c r="W782" s="34"/>
      <c r="X782" s="34"/>
      <c r="Y782" s="34"/>
      <c r="Z782" s="34"/>
      <c r="AA782" s="34"/>
    </row>
    <row r="783" spans="1:27" ht="15">
      <c r="A783" s="66" t="s">
        <v>245</v>
      </c>
      <c r="B783" s="66" t="s">
        <v>510</v>
      </c>
      <c r="C783" s="67" t="s">
        <v>4454</v>
      </c>
      <c r="D783" s="68">
        <v>5</v>
      </c>
      <c r="E783" s="69"/>
      <c r="F783" s="70">
        <v>20</v>
      </c>
      <c r="G783" s="67"/>
      <c r="H783" s="71"/>
      <c r="I783" s="72"/>
      <c r="J783" s="72"/>
      <c r="K783" s="34" t="s">
        <v>65</v>
      </c>
      <c r="L783" s="79">
        <v>783</v>
      </c>
      <c r="M783" s="79"/>
      <c r="N783" s="74"/>
      <c r="O783" s="81" t="s">
        <v>944</v>
      </c>
      <c r="P783">
        <v>1</v>
      </c>
      <c r="Q783" s="80" t="str">
        <f>REPLACE(INDEX(GroupVertices[Group],MATCH(Edges[[#This Row],[Vertex 1]],GroupVertices[Vertex],0)),1,1,"")</f>
        <v>3</v>
      </c>
      <c r="R783" s="80" t="str">
        <f>REPLACE(INDEX(GroupVertices[Group],MATCH(Edges[[#This Row],[Vertex 2]],GroupVertices[Vertex],0)),1,1,"")</f>
        <v>2</v>
      </c>
      <c r="S783" s="34"/>
      <c r="T783" s="34"/>
      <c r="U783" s="34"/>
      <c r="V783" s="34"/>
      <c r="W783" s="34"/>
      <c r="X783" s="34"/>
      <c r="Y783" s="34"/>
      <c r="Z783" s="34"/>
      <c r="AA783" s="34"/>
    </row>
    <row r="784" spans="1:27" ht="15">
      <c r="A784" s="66" t="s">
        <v>245</v>
      </c>
      <c r="B784" s="66" t="s">
        <v>242</v>
      </c>
      <c r="C784" s="67" t="s">
        <v>4454</v>
      </c>
      <c r="D784" s="68">
        <v>5</v>
      </c>
      <c r="E784" s="69"/>
      <c r="F784" s="70">
        <v>20</v>
      </c>
      <c r="G784" s="67"/>
      <c r="H784" s="71"/>
      <c r="I784" s="72"/>
      <c r="J784" s="72"/>
      <c r="K784" s="34" t="s">
        <v>65</v>
      </c>
      <c r="L784" s="79">
        <v>784</v>
      </c>
      <c r="M784" s="79"/>
      <c r="N784" s="74"/>
      <c r="O784" s="81" t="s">
        <v>944</v>
      </c>
      <c r="P784">
        <v>1</v>
      </c>
      <c r="Q784" s="80" t="str">
        <f>REPLACE(INDEX(GroupVertices[Group],MATCH(Edges[[#This Row],[Vertex 1]],GroupVertices[Vertex],0)),1,1,"")</f>
        <v>3</v>
      </c>
      <c r="R784" s="80" t="str">
        <f>REPLACE(INDEX(GroupVertices[Group],MATCH(Edges[[#This Row],[Vertex 2]],GroupVertices[Vertex],0)),1,1,"")</f>
        <v>1</v>
      </c>
      <c r="S784" s="34"/>
      <c r="T784" s="34"/>
      <c r="U784" s="34"/>
      <c r="V784" s="34"/>
      <c r="W784" s="34"/>
      <c r="X784" s="34"/>
      <c r="Y784" s="34"/>
      <c r="Z784" s="34"/>
      <c r="AA784" s="34"/>
    </row>
    <row r="785" spans="1:27" ht="15">
      <c r="A785" s="66" t="s">
        <v>245</v>
      </c>
      <c r="B785" s="66" t="s">
        <v>215</v>
      </c>
      <c r="C785" s="67" t="s">
        <v>4454</v>
      </c>
      <c r="D785" s="68">
        <v>5</v>
      </c>
      <c r="E785" s="69"/>
      <c r="F785" s="70">
        <v>20</v>
      </c>
      <c r="G785" s="67"/>
      <c r="H785" s="71"/>
      <c r="I785" s="72"/>
      <c r="J785" s="72"/>
      <c r="K785" s="34" t="s">
        <v>66</v>
      </c>
      <c r="L785" s="79">
        <v>785</v>
      </c>
      <c r="M785" s="79"/>
      <c r="N785" s="74"/>
      <c r="O785" s="81" t="s">
        <v>944</v>
      </c>
      <c r="P785">
        <v>1</v>
      </c>
      <c r="Q785" s="80" t="str">
        <f>REPLACE(INDEX(GroupVertices[Group],MATCH(Edges[[#This Row],[Vertex 1]],GroupVertices[Vertex],0)),1,1,"")</f>
        <v>3</v>
      </c>
      <c r="R785" s="80" t="str">
        <f>REPLACE(INDEX(GroupVertices[Group],MATCH(Edges[[#This Row],[Vertex 2]],GroupVertices[Vertex],0)),1,1,"")</f>
        <v>3</v>
      </c>
      <c r="S785" s="34"/>
      <c r="T785" s="34"/>
      <c r="U785" s="34"/>
      <c r="V785" s="34"/>
      <c r="W785" s="34"/>
      <c r="X785" s="34"/>
      <c r="Y785" s="34"/>
      <c r="Z785" s="34"/>
      <c r="AA785" s="34"/>
    </row>
    <row r="786" spans="1:27" ht="15">
      <c r="A786" s="66" t="s">
        <v>245</v>
      </c>
      <c r="B786" s="66" t="s">
        <v>238</v>
      </c>
      <c r="C786" s="67" t="s">
        <v>4454</v>
      </c>
      <c r="D786" s="68">
        <v>5</v>
      </c>
      <c r="E786" s="69"/>
      <c r="F786" s="70">
        <v>20</v>
      </c>
      <c r="G786" s="67"/>
      <c r="H786" s="71"/>
      <c r="I786" s="72"/>
      <c r="J786" s="72"/>
      <c r="K786" s="34" t="s">
        <v>65</v>
      </c>
      <c r="L786" s="79">
        <v>786</v>
      </c>
      <c r="M786" s="79"/>
      <c r="N786" s="74"/>
      <c r="O786" s="81" t="s">
        <v>944</v>
      </c>
      <c r="P786">
        <v>1</v>
      </c>
      <c r="Q786" s="80" t="str">
        <f>REPLACE(INDEX(GroupVertices[Group],MATCH(Edges[[#This Row],[Vertex 1]],GroupVertices[Vertex],0)),1,1,"")</f>
        <v>3</v>
      </c>
      <c r="R786" s="80" t="str">
        <f>REPLACE(INDEX(GroupVertices[Group],MATCH(Edges[[#This Row],[Vertex 2]],GroupVertices[Vertex],0)),1,1,"")</f>
        <v>2</v>
      </c>
      <c r="S786" s="34"/>
      <c r="T786" s="34"/>
      <c r="U786" s="34"/>
      <c r="V786" s="34"/>
      <c r="W786" s="34"/>
      <c r="X786" s="34"/>
      <c r="Y786" s="34"/>
      <c r="Z786" s="34"/>
      <c r="AA786" s="34"/>
    </row>
    <row r="787" spans="1:27" ht="15">
      <c r="A787" s="66" t="s">
        <v>245</v>
      </c>
      <c r="B787" s="66" t="s">
        <v>252</v>
      </c>
      <c r="C787" s="67" t="s">
        <v>4454</v>
      </c>
      <c r="D787" s="68">
        <v>5</v>
      </c>
      <c r="E787" s="69"/>
      <c r="F787" s="70">
        <v>20</v>
      </c>
      <c r="G787" s="67"/>
      <c r="H787" s="71"/>
      <c r="I787" s="72"/>
      <c r="J787" s="72"/>
      <c r="K787" s="34" t="s">
        <v>65</v>
      </c>
      <c r="L787" s="79">
        <v>787</v>
      </c>
      <c r="M787" s="79"/>
      <c r="N787" s="74"/>
      <c r="O787" s="81" t="s">
        <v>944</v>
      </c>
      <c r="P787">
        <v>1</v>
      </c>
      <c r="Q787" s="80" t="str">
        <f>REPLACE(INDEX(GroupVertices[Group],MATCH(Edges[[#This Row],[Vertex 1]],GroupVertices[Vertex],0)),1,1,"")</f>
        <v>3</v>
      </c>
      <c r="R787" s="80" t="str">
        <f>REPLACE(INDEX(GroupVertices[Group],MATCH(Edges[[#This Row],[Vertex 2]],GroupVertices[Vertex],0)),1,1,"")</f>
        <v>1</v>
      </c>
      <c r="S787" s="34"/>
      <c r="T787" s="34"/>
      <c r="U787" s="34"/>
      <c r="V787" s="34"/>
      <c r="W787" s="34"/>
      <c r="X787" s="34"/>
      <c r="Y787" s="34"/>
      <c r="Z787" s="34"/>
      <c r="AA787" s="34"/>
    </row>
    <row r="788" spans="1:27" ht="15">
      <c r="A788" s="66" t="s">
        <v>245</v>
      </c>
      <c r="B788" s="66" t="s">
        <v>255</v>
      </c>
      <c r="C788" s="67" t="s">
        <v>4454</v>
      </c>
      <c r="D788" s="68">
        <v>5</v>
      </c>
      <c r="E788" s="69"/>
      <c r="F788" s="70">
        <v>20</v>
      </c>
      <c r="G788" s="67"/>
      <c r="H788" s="71"/>
      <c r="I788" s="72"/>
      <c r="J788" s="72"/>
      <c r="K788" s="34" t="s">
        <v>65</v>
      </c>
      <c r="L788" s="79">
        <v>788</v>
      </c>
      <c r="M788" s="79"/>
      <c r="N788" s="74"/>
      <c r="O788" s="81" t="s">
        <v>944</v>
      </c>
      <c r="P788">
        <v>1</v>
      </c>
      <c r="Q788" s="80" t="str">
        <f>REPLACE(INDEX(GroupVertices[Group],MATCH(Edges[[#This Row],[Vertex 1]],GroupVertices[Vertex],0)),1,1,"")</f>
        <v>3</v>
      </c>
      <c r="R788" s="80" t="str">
        <f>REPLACE(INDEX(GroupVertices[Group],MATCH(Edges[[#This Row],[Vertex 2]],GroupVertices[Vertex],0)),1,1,"")</f>
        <v>4</v>
      </c>
      <c r="S788" s="34"/>
      <c r="T788" s="34"/>
      <c r="U788" s="34"/>
      <c r="V788" s="34"/>
      <c r="W788" s="34"/>
      <c r="X788" s="34"/>
      <c r="Y788" s="34"/>
      <c r="Z788" s="34"/>
      <c r="AA788" s="34"/>
    </row>
    <row r="789" spans="1:27" ht="15">
      <c r="A789" s="66" t="s">
        <v>245</v>
      </c>
      <c r="B789" s="66" t="s">
        <v>733</v>
      </c>
      <c r="C789" s="67" t="s">
        <v>4454</v>
      </c>
      <c r="D789" s="68">
        <v>5</v>
      </c>
      <c r="E789" s="69"/>
      <c r="F789" s="70">
        <v>20</v>
      </c>
      <c r="G789" s="67"/>
      <c r="H789" s="71"/>
      <c r="I789" s="72"/>
      <c r="J789" s="72"/>
      <c r="K789" s="34" t="s">
        <v>65</v>
      </c>
      <c r="L789" s="79">
        <v>789</v>
      </c>
      <c r="M789" s="79"/>
      <c r="N789" s="74"/>
      <c r="O789" s="81" t="s">
        <v>944</v>
      </c>
      <c r="P789">
        <v>1</v>
      </c>
      <c r="Q789" s="80" t="str">
        <f>REPLACE(INDEX(GroupVertices[Group],MATCH(Edges[[#This Row],[Vertex 1]],GroupVertices[Vertex],0)),1,1,"")</f>
        <v>3</v>
      </c>
      <c r="R789" s="80" t="str">
        <f>REPLACE(INDEX(GroupVertices[Group],MATCH(Edges[[#This Row],[Vertex 2]],GroupVertices[Vertex],0)),1,1,"")</f>
        <v>1</v>
      </c>
      <c r="S789" s="34"/>
      <c r="T789" s="34"/>
      <c r="U789" s="34"/>
      <c r="V789" s="34"/>
      <c r="W789" s="34"/>
      <c r="X789" s="34"/>
      <c r="Y789" s="34"/>
      <c r="Z789" s="34"/>
      <c r="AA789" s="34"/>
    </row>
    <row r="790" spans="1:27" ht="15">
      <c r="A790" s="66" t="s">
        <v>245</v>
      </c>
      <c r="B790" s="66" t="s">
        <v>734</v>
      </c>
      <c r="C790" s="67" t="s">
        <v>4454</v>
      </c>
      <c r="D790" s="68">
        <v>5</v>
      </c>
      <c r="E790" s="69"/>
      <c r="F790" s="70">
        <v>20</v>
      </c>
      <c r="G790" s="67"/>
      <c r="H790" s="71"/>
      <c r="I790" s="72"/>
      <c r="J790" s="72"/>
      <c r="K790" s="34" t="s">
        <v>65</v>
      </c>
      <c r="L790" s="79">
        <v>790</v>
      </c>
      <c r="M790" s="79"/>
      <c r="N790" s="74"/>
      <c r="O790" s="81" t="s">
        <v>944</v>
      </c>
      <c r="P790">
        <v>1</v>
      </c>
      <c r="Q790" s="80" t="str">
        <f>REPLACE(INDEX(GroupVertices[Group],MATCH(Edges[[#This Row],[Vertex 1]],GroupVertices[Vertex],0)),1,1,"")</f>
        <v>3</v>
      </c>
      <c r="R790" s="80" t="str">
        <f>REPLACE(INDEX(GroupVertices[Group],MATCH(Edges[[#This Row],[Vertex 2]],GroupVertices[Vertex],0)),1,1,"")</f>
        <v>1</v>
      </c>
      <c r="S790" s="34"/>
      <c r="T790" s="34"/>
      <c r="U790" s="34"/>
      <c r="V790" s="34"/>
      <c r="W790" s="34"/>
      <c r="X790" s="34"/>
      <c r="Y790" s="34"/>
      <c r="Z790" s="34"/>
      <c r="AA790" s="34"/>
    </row>
    <row r="791" spans="1:27" ht="15">
      <c r="A791" s="66" t="s">
        <v>245</v>
      </c>
      <c r="B791" s="66" t="s">
        <v>261</v>
      </c>
      <c r="C791" s="67" t="s">
        <v>4454</v>
      </c>
      <c r="D791" s="68">
        <v>5</v>
      </c>
      <c r="E791" s="69"/>
      <c r="F791" s="70">
        <v>20</v>
      </c>
      <c r="G791" s="67"/>
      <c r="H791" s="71"/>
      <c r="I791" s="72"/>
      <c r="J791" s="72"/>
      <c r="K791" s="34" t="s">
        <v>65</v>
      </c>
      <c r="L791" s="79">
        <v>791</v>
      </c>
      <c r="M791" s="79"/>
      <c r="N791" s="74"/>
      <c r="O791" s="81" t="s">
        <v>944</v>
      </c>
      <c r="P791">
        <v>1</v>
      </c>
      <c r="Q791" s="80" t="str">
        <f>REPLACE(INDEX(GroupVertices[Group],MATCH(Edges[[#This Row],[Vertex 1]],GroupVertices[Vertex],0)),1,1,"")</f>
        <v>3</v>
      </c>
      <c r="R791" s="80" t="str">
        <f>REPLACE(INDEX(GroupVertices[Group],MATCH(Edges[[#This Row],[Vertex 2]],GroupVertices[Vertex],0)),1,1,"")</f>
        <v>1</v>
      </c>
      <c r="S791" s="34"/>
      <c r="T791" s="34"/>
      <c r="U791" s="34"/>
      <c r="V791" s="34"/>
      <c r="W791" s="34"/>
      <c r="X791" s="34"/>
      <c r="Y791" s="34"/>
      <c r="Z791" s="34"/>
      <c r="AA791" s="34"/>
    </row>
    <row r="792" spans="1:27" ht="15">
      <c r="A792" s="66" t="s">
        <v>245</v>
      </c>
      <c r="B792" s="66" t="s">
        <v>735</v>
      </c>
      <c r="C792" s="67" t="s">
        <v>4454</v>
      </c>
      <c r="D792" s="68">
        <v>5</v>
      </c>
      <c r="E792" s="69"/>
      <c r="F792" s="70">
        <v>20</v>
      </c>
      <c r="G792" s="67"/>
      <c r="H792" s="71"/>
      <c r="I792" s="72"/>
      <c r="J792" s="72"/>
      <c r="K792" s="34" t="s">
        <v>65</v>
      </c>
      <c r="L792" s="79">
        <v>792</v>
      </c>
      <c r="M792" s="79"/>
      <c r="N792" s="74"/>
      <c r="O792" s="81" t="s">
        <v>944</v>
      </c>
      <c r="P792">
        <v>1</v>
      </c>
      <c r="Q792" s="80" t="str">
        <f>REPLACE(INDEX(GroupVertices[Group],MATCH(Edges[[#This Row],[Vertex 1]],GroupVertices[Vertex],0)),1,1,"")</f>
        <v>3</v>
      </c>
      <c r="R792" s="80" t="str">
        <f>REPLACE(INDEX(GroupVertices[Group],MATCH(Edges[[#This Row],[Vertex 2]],GroupVertices[Vertex],0)),1,1,"")</f>
        <v>2</v>
      </c>
      <c r="S792" s="34"/>
      <c r="T792" s="34"/>
      <c r="U792" s="34"/>
      <c r="V792" s="34"/>
      <c r="W792" s="34"/>
      <c r="X792" s="34"/>
      <c r="Y792" s="34"/>
      <c r="Z792" s="34"/>
      <c r="AA792" s="34"/>
    </row>
    <row r="793" spans="1:27" ht="15">
      <c r="A793" s="66" t="s">
        <v>245</v>
      </c>
      <c r="B793" s="66" t="s">
        <v>236</v>
      </c>
      <c r="C793" s="67" t="s">
        <v>4454</v>
      </c>
      <c r="D793" s="68">
        <v>5</v>
      </c>
      <c r="E793" s="69"/>
      <c r="F793" s="70">
        <v>20</v>
      </c>
      <c r="G793" s="67"/>
      <c r="H793" s="71"/>
      <c r="I793" s="72"/>
      <c r="J793" s="72"/>
      <c r="K793" s="34" t="s">
        <v>65</v>
      </c>
      <c r="L793" s="79">
        <v>793</v>
      </c>
      <c r="M793" s="79"/>
      <c r="N793" s="74"/>
      <c r="O793" s="81" t="s">
        <v>944</v>
      </c>
      <c r="P793">
        <v>1</v>
      </c>
      <c r="Q793" s="80" t="str">
        <f>REPLACE(INDEX(GroupVertices[Group],MATCH(Edges[[#This Row],[Vertex 1]],GroupVertices[Vertex],0)),1,1,"")</f>
        <v>3</v>
      </c>
      <c r="R793" s="80" t="str">
        <f>REPLACE(INDEX(GroupVertices[Group],MATCH(Edges[[#This Row],[Vertex 2]],GroupVertices[Vertex],0)),1,1,"")</f>
        <v>1</v>
      </c>
      <c r="S793" s="34"/>
      <c r="T793" s="34"/>
      <c r="U793" s="34"/>
      <c r="V793" s="34"/>
      <c r="W793" s="34"/>
      <c r="X793" s="34"/>
      <c r="Y793" s="34"/>
      <c r="Z793" s="34"/>
      <c r="AA793" s="34"/>
    </row>
    <row r="794" spans="1:27" ht="15">
      <c r="A794" s="66" t="s">
        <v>245</v>
      </c>
      <c r="B794" s="66" t="s">
        <v>239</v>
      </c>
      <c r="C794" s="67" t="s">
        <v>4454</v>
      </c>
      <c r="D794" s="68">
        <v>5</v>
      </c>
      <c r="E794" s="69"/>
      <c r="F794" s="70">
        <v>20</v>
      </c>
      <c r="G794" s="67"/>
      <c r="H794" s="71"/>
      <c r="I794" s="72"/>
      <c r="J794" s="72"/>
      <c r="K794" s="34" t="s">
        <v>65</v>
      </c>
      <c r="L794" s="79">
        <v>794</v>
      </c>
      <c r="M794" s="79"/>
      <c r="N794" s="74"/>
      <c r="O794" s="81" t="s">
        <v>944</v>
      </c>
      <c r="P794">
        <v>1</v>
      </c>
      <c r="Q794" s="80" t="str">
        <f>REPLACE(INDEX(GroupVertices[Group],MATCH(Edges[[#This Row],[Vertex 1]],GroupVertices[Vertex],0)),1,1,"")</f>
        <v>3</v>
      </c>
      <c r="R794" s="80" t="str">
        <f>REPLACE(INDEX(GroupVertices[Group],MATCH(Edges[[#This Row],[Vertex 2]],GroupVertices[Vertex],0)),1,1,"")</f>
        <v>3</v>
      </c>
      <c r="S794" s="34"/>
      <c r="T794" s="34"/>
      <c r="U794" s="34"/>
      <c r="V794" s="34"/>
      <c r="W794" s="34"/>
      <c r="X794" s="34"/>
      <c r="Y794" s="34"/>
      <c r="Z794" s="34"/>
      <c r="AA794" s="34"/>
    </row>
    <row r="795" spans="1:27" ht="15">
      <c r="A795" s="66" t="s">
        <v>245</v>
      </c>
      <c r="B795" s="66" t="s">
        <v>736</v>
      </c>
      <c r="C795" s="67" t="s">
        <v>4454</v>
      </c>
      <c r="D795" s="68">
        <v>5</v>
      </c>
      <c r="E795" s="69"/>
      <c r="F795" s="70">
        <v>20</v>
      </c>
      <c r="G795" s="67"/>
      <c r="H795" s="71"/>
      <c r="I795" s="72"/>
      <c r="J795" s="72"/>
      <c r="K795" s="34" t="s">
        <v>65</v>
      </c>
      <c r="L795" s="79">
        <v>795</v>
      </c>
      <c r="M795" s="79"/>
      <c r="N795" s="74"/>
      <c r="O795" s="81" t="s">
        <v>944</v>
      </c>
      <c r="P795">
        <v>1</v>
      </c>
      <c r="Q795" s="80" t="str">
        <f>REPLACE(INDEX(GroupVertices[Group],MATCH(Edges[[#This Row],[Vertex 1]],GroupVertices[Vertex],0)),1,1,"")</f>
        <v>3</v>
      </c>
      <c r="R795" s="80" t="str">
        <f>REPLACE(INDEX(GroupVertices[Group],MATCH(Edges[[#This Row],[Vertex 2]],GroupVertices[Vertex],0)),1,1,"")</f>
        <v>1</v>
      </c>
      <c r="S795" s="34"/>
      <c r="T795" s="34"/>
      <c r="U795" s="34"/>
      <c r="V795" s="34"/>
      <c r="W795" s="34"/>
      <c r="X795" s="34"/>
      <c r="Y795" s="34"/>
      <c r="Z795" s="34"/>
      <c r="AA795" s="34"/>
    </row>
    <row r="796" spans="1:27" ht="15">
      <c r="A796" s="66" t="s">
        <v>245</v>
      </c>
      <c r="B796" s="66" t="s">
        <v>737</v>
      </c>
      <c r="C796" s="67" t="s">
        <v>4454</v>
      </c>
      <c r="D796" s="68">
        <v>5</v>
      </c>
      <c r="E796" s="69"/>
      <c r="F796" s="70">
        <v>20</v>
      </c>
      <c r="G796" s="67"/>
      <c r="H796" s="71"/>
      <c r="I796" s="72"/>
      <c r="J796" s="72"/>
      <c r="K796" s="34" t="s">
        <v>65</v>
      </c>
      <c r="L796" s="79">
        <v>796</v>
      </c>
      <c r="M796" s="79"/>
      <c r="N796" s="74"/>
      <c r="O796" s="81" t="s">
        <v>944</v>
      </c>
      <c r="P796">
        <v>1</v>
      </c>
      <c r="Q796" s="80" t="str">
        <f>REPLACE(INDEX(GroupVertices[Group],MATCH(Edges[[#This Row],[Vertex 1]],GroupVertices[Vertex],0)),1,1,"")</f>
        <v>3</v>
      </c>
      <c r="R796" s="80" t="str">
        <f>REPLACE(INDEX(GroupVertices[Group],MATCH(Edges[[#This Row],[Vertex 2]],GroupVertices[Vertex],0)),1,1,"")</f>
        <v>1</v>
      </c>
      <c r="S796" s="34"/>
      <c r="T796" s="34"/>
      <c r="U796" s="34"/>
      <c r="V796" s="34"/>
      <c r="W796" s="34"/>
      <c r="X796" s="34"/>
      <c r="Y796" s="34"/>
      <c r="Z796" s="34"/>
      <c r="AA796" s="34"/>
    </row>
    <row r="797" spans="1:27" ht="15">
      <c r="A797" s="66" t="s">
        <v>245</v>
      </c>
      <c r="B797" s="66" t="s">
        <v>486</v>
      </c>
      <c r="C797" s="67" t="s">
        <v>4454</v>
      </c>
      <c r="D797" s="68">
        <v>5</v>
      </c>
      <c r="E797" s="69"/>
      <c r="F797" s="70">
        <v>20</v>
      </c>
      <c r="G797" s="67"/>
      <c r="H797" s="71"/>
      <c r="I797" s="72"/>
      <c r="J797" s="72"/>
      <c r="K797" s="34" t="s">
        <v>65</v>
      </c>
      <c r="L797" s="79">
        <v>797</v>
      </c>
      <c r="M797" s="79"/>
      <c r="N797" s="74"/>
      <c r="O797" s="81" t="s">
        <v>944</v>
      </c>
      <c r="P797">
        <v>1</v>
      </c>
      <c r="Q797" s="80" t="str">
        <f>REPLACE(INDEX(GroupVertices[Group],MATCH(Edges[[#This Row],[Vertex 1]],GroupVertices[Vertex],0)),1,1,"")</f>
        <v>3</v>
      </c>
      <c r="R797" s="80" t="str">
        <f>REPLACE(INDEX(GroupVertices[Group],MATCH(Edges[[#This Row],[Vertex 2]],GroupVertices[Vertex],0)),1,1,"")</f>
        <v>2</v>
      </c>
      <c r="S797" s="34"/>
      <c r="T797" s="34"/>
      <c r="U797" s="34"/>
      <c r="V797" s="34"/>
      <c r="W797" s="34"/>
      <c r="X797" s="34"/>
      <c r="Y797" s="34"/>
      <c r="Z797" s="34"/>
      <c r="AA797" s="34"/>
    </row>
    <row r="798" spans="1:27" ht="15">
      <c r="A798" s="66" t="s">
        <v>245</v>
      </c>
      <c r="B798" s="66" t="s">
        <v>234</v>
      </c>
      <c r="C798" s="67" t="s">
        <v>4454</v>
      </c>
      <c r="D798" s="68">
        <v>5</v>
      </c>
      <c r="E798" s="69"/>
      <c r="F798" s="70">
        <v>20</v>
      </c>
      <c r="G798" s="67"/>
      <c r="H798" s="71"/>
      <c r="I798" s="72"/>
      <c r="J798" s="72"/>
      <c r="K798" s="34" t="s">
        <v>65</v>
      </c>
      <c r="L798" s="79">
        <v>798</v>
      </c>
      <c r="M798" s="79"/>
      <c r="N798" s="74"/>
      <c r="O798" s="81" t="s">
        <v>944</v>
      </c>
      <c r="P798">
        <v>1</v>
      </c>
      <c r="Q798" s="80" t="str">
        <f>REPLACE(INDEX(GroupVertices[Group],MATCH(Edges[[#This Row],[Vertex 1]],GroupVertices[Vertex],0)),1,1,"")</f>
        <v>3</v>
      </c>
      <c r="R798" s="80" t="str">
        <f>REPLACE(INDEX(GroupVertices[Group],MATCH(Edges[[#This Row],[Vertex 2]],GroupVertices[Vertex],0)),1,1,"")</f>
        <v>4</v>
      </c>
      <c r="S798" s="34"/>
      <c r="T798" s="34"/>
      <c r="U798" s="34"/>
      <c r="V798" s="34"/>
      <c r="W798" s="34"/>
      <c r="X798" s="34"/>
      <c r="Y798" s="34"/>
      <c r="Z798" s="34"/>
      <c r="AA798" s="34"/>
    </row>
    <row r="799" spans="1:27" ht="15">
      <c r="A799" s="66" t="s">
        <v>245</v>
      </c>
      <c r="B799" s="66" t="s">
        <v>514</v>
      </c>
      <c r="C799" s="67" t="s">
        <v>4454</v>
      </c>
      <c r="D799" s="68">
        <v>5</v>
      </c>
      <c r="E799" s="69"/>
      <c r="F799" s="70">
        <v>20</v>
      </c>
      <c r="G799" s="67"/>
      <c r="H799" s="71"/>
      <c r="I799" s="72"/>
      <c r="J799" s="72"/>
      <c r="K799" s="34" t="s">
        <v>65</v>
      </c>
      <c r="L799" s="79">
        <v>799</v>
      </c>
      <c r="M799" s="79"/>
      <c r="N799" s="74"/>
      <c r="O799" s="81" t="s">
        <v>944</v>
      </c>
      <c r="P799">
        <v>1</v>
      </c>
      <c r="Q799" s="80" t="str">
        <f>REPLACE(INDEX(GroupVertices[Group],MATCH(Edges[[#This Row],[Vertex 1]],GroupVertices[Vertex],0)),1,1,"")</f>
        <v>3</v>
      </c>
      <c r="R799" s="80" t="str">
        <f>REPLACE(INDEX(GroupVertices[Group],MATCH(Edges[[#This Row],[Vertex 2]],GroupVertices[Vertex],0)),1,1,"")</f>
        <v>3</v>
      </c>
      <c r="S799" s="34"/>
      <c r="T799" s="34"/>
      <c r="U799" s="34"/>
      <c r="V799" s="34"/>
      <c r="W799" s="34"/>
      <c r="X799" s="34"/>
      <c r="Y799" s="34"/>
      <c r="Z799" s="34"/>
      <c r="AA799" s="34"/>
    </row>
    <row r="800" spans="1:27" ht="15">
      <c r="A800" s="66" t="s">
        <v>245</v>
      </c>
      <c r="B800" s="66" t="s">
        <v>738</v>
      </c>
      <c r="C800" s="67" t="s">
        <v>4454</v>
      </c>
      <c r="D800" s="68">
        <v>5</v>
      </c>
      <c r="E800" s="69"/>
      <c r="F800" s="70">
        <v>20</v>
      </c>
      <c r="G800" s="67"/>
      <c r="H800" s="71"/>
      <c r="I800" s="72"/>
      <c r="J800" s="72"/>
      <c r="K800" s="34" t="s">
        <v>65</v>
      </c>
      <c r="L800" s="79">
        <v>800</v>
      </c>
      <c r="M800" s="79"/>
      <c r="N800" s="74"/>
      <c r="O800" s="81" t="s">
        <v>944</v>
      </c>
      <c r="P800">
        <v>1</v>
      </c>
      <c r="Q800" s="80" t="str">
        <f>REPLACE(INDEX(GroupVertices[Group],MATCH(Edges[[#This Row],[Vertex 1]],GroupVertices[Vertex],0)),1,1,"")</f>
        <v>3</v>
      </c>
      <c r="R800" s="80" t="str">
        <f>REPLACE(INDEX(GroupVertices[Group],MATCH(Edges[[#This Row],[Vertex 2]],GroupVertices[Vertex],0)),1,1,"")</f>
        <v>1</v>
      </c>
      <c r="S800" s="34"/>
      <c r="T800" s="34"/>
      <c r="U800" s="34"/>
      <c r="V800" s="34"/>
      <c r="W800" s="34"/>
      <c r="X800" s="34"/>
      <c r="Y800" s="34"/>
      <c r="Z800" s="34"/>
      <c r="AA800" s="34"/>
    </row>
    <row r="801" spans="1:27" ht="15">
      <c r="A801" s="66" t="s">
        <v>245</v>
      </c>
      <c r="B801" s="66" t="s">
        <v>240</v>
      </c>
      <c r="C801" s="67" t="s">
        <v>4454</v>
      </c>
      <c r="D801" s="68">
        <v>5</v>
      </c>
      <c r="E801" s="69"/>
      <c r="F801" s="70">
        <v>20</v>
      </c>
      <c r="G801" s="67"/>
      <c r="H801" s="71"/>
      <c r="I801" s="72"/>
      <c r="J801" s="72"/>
      <c r="K801" s="34" t="s">
        <v>66</v>
      </c>
      <c r="L801" s="79">
        <v>801</v>
      </c>
      <c r="M801" s="79"/>
      <c r="N801" s="74"/>
      <c r="O801" s="81" t="s">
        <v>944</v>
      </c>
      <c r="P801">
        <v>1</v>
      </c>
      <c r="Q801" s="80" t="str">
        <f>REPLACE(INDEX(GroupVertices[Group],MATCH(Edges[[#This Row],[Vertex 1]],GroupVertices[Vertex],0)),1,1,"")</f>
        <v>3</v>
      </c>
      <c r="R801" s="80" t="str">
        <f>REPLACE(INDEX(GroupVertices[Group],MATCH(Edges[[#This Row],[Vertex 2]],GroupVertices[Vertex],0)),1,1,"")</f>
        <v>2</v>
      </c>
      <c r="S801" s="34"/>
      <c r="T801" s="34"/>
      <c r="U801" s="34"/>
      <c r="V801" s="34"/>
      <c r="W801" s="34"/>
      <c r="X801" s="34"/>
      <c r="Y801" s="34"/>
      <c r="Z801" s="34"/>
      <c r="AA801" s="34"/>
    </row>
    <row r="802" spans="1:27" ht="15">
      <c r="A802" s="66" t="s">
        <v>247</v>
      </c>
      <c r="B802" s="66" t="s">
        <v>245</v>
      </c>
      <c r="C802" s="67" t="s">
        <v>4454</v>
      </c>
      <c r="D802" s="68">
        <v>5</v>
      </c>
      <c r="E802" s="69"/>
      <c r="F802" s="70">
        <v>20</v>
      </c>
      <c r="G802" s="67"/>
      <c r="H802" s="71"/>
      <c r="I802" s="72"/>
      <c r="J802" s="72"/>
      <c r="K802" s="34" t="s">
        <v>65</v>
      </c>
      <c r="L802" s="79">
        <v>802</v>
      </c>
      <c r="M802" s="79"/>
      <c r="N802" s="74"/>
      <c r="O802" s="81" t="s">
        <v>944</v>
      </c>
      <c r="P802">
        <v>1</v>
      </c>
      <c r="Q802" s="80" t="str">
        <f>REPLACE(INDEX(GroupVertices[Group],MATCH(Edges[[#This Row],[Vertex 1]],GroupVertices[Vertex],0)),1,1,"")</f>
        <v>2</v>
      </c>
      <c r="R802" s="80" t="str">
        <f>REPLACE(INDEX(GroupVertices[Group],MATCH(Edges[[#This Row],[Vertex 2]],GroupVertices[Vertex],0)),1,1,"")</f>
        <v>3</v>
      </c>
      <c r="S802" s="34"/>
      <c r="T802" s="34"/>
      <c r="U802" s="34"/>
      <c r="V802" s="34"/>
      <c r="W802" s="34"/>
      <c r="X802" s="34"/>
      <c r="Y802" s="34"/>
      <c r="Z802" s="34"/>
      <c r="AA802" s="34"/>
    </row>
    <row r="803" spans="1:27" ht="15">
      <c r="A803" s="66" t="s">
        <v>247</v>
      </c>
      <c r="B803" s="66" t="s">
        <v>739</v>
      </c>
      <c r="C803" s="67" t="s">
        <v>4454</v>
      </c>
      <c r="D803" s="68">
        <v>5</v>
      </c>
      <c r="E803" s="69"/>
      <c r="F803" s="70">
        <v>20</v>
      </c>
      <c r="G803" s="67"/>
      <c r="H803" s="71"/>
      <c r="I803" s="72"/>
      <c r="J803" s="72"/>
      <c r="K803" s="34"/>
      <c r="L803" s="79">
        <v>803</v>
      </c>
      <c r="M803" s="79"/>
      <c r="N803" s="74"/>
      <c r="O803" s="81" t="s">
        <v>944</v>
      </c>
      <c r="P803">
        <v>1</v>
      </c>
      <c r="Q803" s="80" t="str">
        <f>REPLACE(INDEX(GroupVertices[Group],MATCH(Edges[[#This Row],[Vertex 1]],GroupVertices[Vertex],0)),1,1,"")</f>
        <v>2</v>
      </c>
      <c r="R803" s="80" t="e">
        <f>REPLACE(INDEX(GroupVertices[Group],MATCH(Edges[[#This Row],[Vertex 2]],GroupVertices[Vertex],0)),1,1,"")</f>
        <v>#N/A</v>
      </c>
      <c r="S803" s="34"/>
      <c r="T803" s="34"/>
      <c r="U803" s="34"/>
      <c r="V803" s="34"/>
      <c r="W803" s="34"/>
      <c r="X803" s="34"/>
      <c r="Y803" s="34"/>
      <c r="Z803" s="34"/>
      <c r="AA803" s="34"/>
    </row>
    <row r="804" spans="1:27" ht="15">
      <c r="A804" s="66" t="s">
        <v>236</v>
      </c>
      <c r="B804" s="66" t="s">
        <v>740</v>
      </c>
      <c r="C804" s="67" t="s">
        <v>4454</v>
      </c>
      <c r="D804" s="68">
        <v>5</v>
      </c>
      <c r="E804" s="69"/>
      <c r="F804" s="70">
        <v>20</v>
      </c>
      <c r="G804" s="67"/>
      <c r="H804" s="71"/>
      <c r="I804" s="72"/>
      <c r="J804" s="72"/>
      <c r="K804" s="34" t="s">
        <v>65</v>
      </c>
      <c r="L804" s="79">
        <v>804</v>
      </c>
      <c r="M804" s="79"/>
      <c r="N804" s="74"/>
      <c r="O804" s="81" t="s">
        <v>944</v>
      </c>
      <c r="P804">
        <v>1</v>
      </c>
      <c r="Q804" s="80" t="str">
        <f>REPLACE(INDEX(GroupVertices[Group],MATCH(Edges[[#This Row],[Vertex 1]],GroupVertices[Vertex],0)),1,1,"")</f>
        <v>1</v>
      </c>
      <c r="R804" s="80" t="str">
        <f>REPLACE(INDEX(GroupVertices[Group],MATCH(Edges[[#This Row],[Vertex 2]],GroupVertices[Vertex],0)),1,1,"")</f>
        <v>1</v>
      </c>
      <c r="S804" s="34"/>
      <c r="T804" s="34"/>
      <c r="U804" s="34"/>
      <c r="V804" s="34"/>
      <c r="W804" s="34"/>
      <c r="X804" s="34"/>
      <c r="Y804" s="34"/>
      <c r="Z804" s="34"/>
      <c r="AA804" s="34"/>
    </row>
    <row r="805" spans="1:27" ht="15">
      <c r="A805" s="66" t="s">
        <v>247</v>
      </c>
      <c r="B805" s="66" t="s">
        <v>740</v>
      </c>
      <c r="C805" s="67" t="s">
        <v>4454</v>
      </c>
      <c r="D805" s="68">
        <v>5</v>
      </c>
      <c r="E805" s="69"/>
      <c r="F805" s="70">
        <v>20</v>
      </c>
      <c r="G805" s="67"/>
      <c r="H805" s="71"/>
      <c r="I805" s="72"/>
      <c r="J805" s="72"/>
      <c r="K805" s="34" t="s">
        <v>65</v>
      </c>
      <c r="L805" s="79">
        <v>805</v>
      </c>
      <c r="M805" s="79"/>
      <c r="N805" s="74"/>
      <c r="O805" s="81" t="s">
        <v>944</v>
      </c>
      <c r="P805">
        <v>1</v>
      </c>
      <c r="Q805" s="80" t="str">
        <f>REPLACE(INDEX(GroupVertices[Group],MATCH(Edges[[#This Row],[Vertex 1]],GroupVertices[Vertex],0)),1,1,"")</f>
        <v>2</v>
      </c>
      <c r="R805" s="80" t="str">
        <f>REPLACE(INDEX(GroupVertices[Group],MATCH(Edges[[#This Row],[Vertex 2]],GroupVertices[Vertex],0)),1,1,"")</f>
        <v>1</v>
      </c>
      <c r="S805" s="34"/>
      <c r="T805" s="34"/>
      <c r="U805" s="34"/>
      <c r="V805" s="34"/>
      <c r="W805" s="34"/>
      <c r="X805" s="34"/>
      <c r="Y805" s="34"/>
      <c r="Z805" s="34"/>
      <c r="AA805" s="34"/>
    </row>
    <row r="806" spans="1:27" ht="15">
      <c r="A806" s="66" t="s">
        <v>247</v>
      </c>
      <c r="B806" s="66" t="s">
        <v>741</v>
      </c>
      <c r="C806" s="67" t="s">
        <v>4454</v>
      </c>
      <c r="D806" s="68">
        <v>5</v>
      </c>
      <c r="E806" s="69"/>
      <c r="F806" s="70">
        <v>20</v>
      </c>
      <c r="G806" s="67"/>
      <c r="H806" s="71"/>
      <c r="I806" s="72"/>
      <c r="J806" s="72"/>
      <c r="K806" s="34"/>
      <c r="L806" s="79">
        <v>806</v>
      </c>
      <c r="M806" s="79"/>
      <c r="N806" s="74"/>
      <c r="O806" s="81" t="s">
        <v>944</v>
      </c>
      <c r="P806">
        <v>1</v>
      </c>
      <c r="Q806" s="80" t="str">
        <f>REPLACE(INDEX(GroupVertices[Group],MATCH(Edges[[#This Row],[Vertex 1]],GroupVertices[Vertex],0)),1,1,"")</f>
        <v>2</v>
      </c>
      <c r="R806" s="80" t="e">
        <f>REPLACE(INDEX(GroupVertices[Group],MATCH(Edges[[#This Row],[Vertex 2]],GroupVertices[Vertex],0)),1,1,"")</f>
        <v>#N/A</v>
      </c>
      <c r="S806" s="34"/>
      <c r="T806" s="34"/>
      <c r="U806" s="34"/>
      <c r="V806" s="34"/>
      <c r="W806" s="34"/>
      <c r="X806" s="34"/>
      <c r="Y806" s="34"/>
      <c r="Z806" s="34"/>
      <c r="AA806" s="34"/>
    </row>
    <row r="807" spans="1:27" ht="15">
      <c r="A807" s="66" t="s">
        <v>247</v>
      </c>
      <c r="B807" s="66" t="s">
        <v>742</v>
      </c>
      <c r="C807" s="67" t="s">
        <v>4454</v>
      </c>
      <c r="D807" s="68">
        <v>5</v>
      </c>
      <c r="E807" s="69"/>
      <c r="F807" s="70">
        <v>20</v>
      </c>
      <c r="G807" s="67"/>
      <c r="H807" s="71"/>
      <c r="I807" s="72"/>
      <c r="J807" s="72"/>
      <c r="K807" s="34"/>
      <c r="L807" s="79">
        <v>807</v>
      </c>
      <c r="M807" s="79"/>
      <c r="N807" s="74"/>
      <c r="O807" s="81" t="s">
        <v>944</v>
      </c>
      <c r="P807">
        <v>1</v>
      </c>
      <c r="Q807" s="80" t="str">
        <f>REPLACE(INDEX(GroupVertices[Group],MATCH(Edges[[#This Row],[Vertex 1]],GroupVertices[Vertex],0)),1,1,"")</f>
        <v>2</v>
      </c>
      <c r="R807" s="80" t="e">
        <f>REPLACE(INDEX(GroupVertices[Group],MATCH(Edges[[#This Row],[Vertex 2]],GroupVertices[Vertex],0)),1,1,"")</f>
        <v>#N/A</v>
      </c>
      <c r="S807" s="34"/>
      <c r="T807" s="34"/>
      <c r="U807" s="34"/>
      <c r="V807" s="34"/>
      <c r="W807" s="34"/>
      <c r="X807" s="34"/>
      <c r="Y807" s="34"/>
      <c r="Z807" s="34"/>
      <c r="AA807" s="34"/>
    </row>
    <row r="808" spans="1:27" ht="15">
      <c r="A808" s="66" t="s">
        <v>247</v>
      </c>
      <c r="B808" s="66" t="s">
        <v>603</v>
      </c>
      <c r="C808" s="67" t="s">
        <v>4454</v>
      </c>
      <c r="D808" s="68">
        <v>5</v>
      </c>
      <c r="E808" s="69"/>
      <c r="F808" s="70">
        <v>20</v>
      </c>
      <c r="G808" s="67"/>
      <c r="H808" s="71"/>
      <c r="I808" s="72"/>
      <c r="J808" s="72"/>
      <c r="K808" s="34" t="s">
        <v>65</v>
      </c>
      <c r="L808" s="79">
        <v>808</v>
      </c>
      <c r="M808" s="79"/>
      <c r="N808" s="74"/>
      <c r="O808" s="81" t="s">
        <v>944</v>
      </c>
      <c r="P808">
        <v>1</v>
      </c>
      <c r="Q808" s="80" t="str">
        <f>REPLACE(INDEX(GroupVertices[Group],MATCH(Edges[[#This Row],[Vertex 1]],GroupVertices[Vertex],0)),1,1,"")</f>
        <v>2</v>
      </c>
      <c r="R808" s="80" t="str">
        <f>REPLACE(INDEX(GroupVertices[Group],MATCH(Edges[[#This Row],[Vertex 2]],GroupVertices[Vertex],0)),1,1,"")</f>
        <v>2</v>
      </c>
      <c r="S808" s="34"/>
      <c r="T808" s="34"/>
      <c r="U808" s="34"/>
      <c r="V808" s="34"/>
      <c r="W808" s="34"/>
      <c r="X808" s="34"/>
      <c r="Y808" s="34"/>
      <c r="Z808" s="34"/>
      <c r="AA808" s="34"/>
    </row>
    <row r="809" spans="1:27" ht="15">
      <c r="A809" s="66" t="s">
        <v>224</v>
      </c>
      <c r="B809" s="66" t="s">
        <v>743</v>
      </c>
      <c r="C809" s="67" t="s">
        <v>4454</v>
      </c>
      <c r="D809" s="68">
        <v>5</v>
      </c>
      <c r="E809" s="69"/>
      <c r="F809" s="70">
        <v>20</v>
      </c>
      <c r="G809" s="67"/>
      <c r="H809" s="71"/>
      <c r="I809" s="72"/>
      <c r="J809" s="72"/>
      <c r="K809" s="34" t="s">
        <v>65</v>
      </c>
      <c r="L809" s="79">
        <v>809</v>
      </c>
      <c r="M809" s="79"/>
      <c r="N809" s="74"/>
      <c r="O809" s="81" t="s">
        <v>944</v>
      </c>
      <c r="P809">
        <v>1</v>
      </c>
      <c r="Q809" s="80" t="str">
        <f>REPLACE(INDEX(GroupVertices[Group],MATCH(Edges[[#This Row],[Vertex 1]],GroupVertices[Vertex],0)),1,1,"")</f>
        <v>2</v>
      </c>
      <c r="R809" s="80" t="str">
        <f>REPLACE(INDEX(GroupVertices[Group],MATCH(Edges[[#This Row],[Vertex 2]],GroupVertices[Vertex],0)),1,1,"")</f>
        <v>2</v>
      </c>
      <c r="S809" s="34"/>
      <c r="T809" s="34"/>
      <c r="U809" s="34"/>
      <c r="V809" s="34"/>
      <c r="W809" s="34"/>
      <c r="X809" s="34"/>
      <c r="Y809" s="34"/>
      <c r="Z809" s="34"/>
      <c r="AA809" s="34"/>
    </row>
    <row r="810" spans="1:27" ht="15">
      <c r="A810" s="66" t="s">
        <v>241</v>
      </c>
      <c r="B810" s="66" t="s">
        <v>743</v>
      </c>
      <c r="C810" s="67" t="s">
        <v>4454</v>
      </c>
      <c r="D810" s="68">
        <v>5</v>
      </c>
      <c r="E810" s="69"/>
      <c r="F810" s="70">
        <v>20</v>
      </c>
      <c r="G810" s="67"/>
      <c r="H810" s="71"/>
      <c r="I810" s="72"/>
      <c r="J810" s="72"/>
      <c r="K810" s="34" t="s">
        <v>65</v>
      </c>
      <c r="L810" s="79">
        <v>810</v>
      </c>
      <c r="M810" s="79"/>
      <c r="N810" s="74"/>
      <c r="O810" s="81" t="s">
        <v>944</v>
      </c>
      <c r="P810">
        <v>1</v>
      </c>
      <c r="Q810" s="80" t="str">
        <f>REPLACE(INDEX(GroupVertices[Group],MATCH(Edges[[#This Row],[Vertex 1]],GroupVertices[Vertex],0)),1,1,"")</f>
        <v>2</v>
      </c>
      <c r="R810" s="80" t="str">
        <f>REPLACE(INDEX(GroupVertices[Group],MATCH(Edges[[#This Row],[Vertex 2]],GroupVertices[Vertex],0)),1,1,"")</f>
        <v>2</v>
      </c>
      <c r="S810" s="34"/>
      <c r="T810" s="34"/>
      <c r="U810" s="34"/>
      <c r="V810" s="34"/>
      <c r="W810" s="34"/>
      <c r="X810" s="34"/>
      <c r="Y810" s="34"/>
      <c r="Z810" s="34"/>
      <c r="AA810" s="34"/>
    </row>
    <row r="811" spans="1:27" ht="15">
      <c r="A811" s="66" t="s">
        <v>247</v>
      </c>
      <c r="B811" s="66" t="s">
        <v>743</v>
      </c>
      <c r="C811" s="67" t="s">
        <v>4454</v>
      </c>
      <c r="D811" s="68">
        <v>5</v>
      </c>
      <c r="E811" s="69"/>
      <c r="F811" s="70">
        <v>20</v>
      </c>
      <c r="G811" s="67"/>
      <c r="H811" s="71"/>
      <c r="I811" s="72"/>
      <c r="J811" s="72"/>
      <c r="K811" s="34" t="s">
        <v>65</v>
      </c>
      <c r="L811" s="79">
        <v>811</v>
      </c>
      <c r="M811" s="79"/>
      <c r="N811" s="74"/>
      <c r="O811" s="81" t="s">
        <v>944</v>
      </c>
      <c r="P811">
        <v>1</v>
      </c>
      <c r="Q811" s="80" t="str">
        <f>REPLACE(INDEX(GroupVertices[Group],MATCH(Edges[[#This Row],[Vertex 1]],GroupVertices[Vertex],0)),1,1,"")</f>
        <v>2</v>
      </c>
      <c r="R811" s="80" t="str">
        <f>REPLACE(INDEX(GroupVertices[Group],MATCH(Edges[[#This Row],[Vertex 2]],GroupVertices[Vertex],0)),1,1,"")</f>
        <v>2</v>
      </c>
      <c r="S811" s="34"/>
      <c r="T811" s="34"/>
      <c r="U811" s="34"/>
      <c r="V811" s="34"/>
      <c r="W811" s="34"/>
      <c r="X811" s="34"/>
      <c r="Y811" s="34"/>
      <c r="Z811" s="34"/>
      <c r="AA811" s="34"/>
    </row>
    <row r="812" spans="1:27" ht="15">
      <c r="A812" s="66" t="s">
        <v>247</v>
      </c>
      <c r="B812" s="66" t="s">
        <v>744</v>
      </c>
      <c r="C812" s="67" t="s">
        <v>4454</v>
      </c>
      <c r="D812" s="68">
        <v>5</v>
      </c>
      <c r="E812" s="69"/>
      <c r="F812" s="70">
        <v>20</v>
      </c>
      <c r="G812" s="67"/>
      <c r="H812" s="71"/>
      <c r="I812" s="72"/>
      <c r="J812" s="72"/>
      <c r="K812" s="34"/>
      <c r="L812" s="79">
        <v>812</v>
      </c>
      <c r="M812" s="79"/>
      <c r="N812" s="74"/>
      <c r="O812" s="81" t="s">
        <v>944</v>
      </c>
      <c r="P812">
        <v>1</v>
      </c>
      <c r="Q812" s="80" t="str">
        <f>REPLACE(INDEX(GroupVertices[Group],MATCH(Edges[[#This Row],[Vertex 1]],GroupVertices[Vertex],0)),1,1,"")</f>
        <v>2</v>
      </c>
      <c r="R812" s="80" t="e">
        <f>REPLACE(INDEX(GroupVertices[Group],MATCH(Edges[[#This Row],[Vertex 2]],GroupVertices[Vertex],0)),1,1,"")</f>
        <v>#N/A</v>
      </c>
      <c r="S812" s="34"/>
      <c r="T812" s="34"/>
      <c r="U812" s="34"/>
      <c r="V812" s="34"/>
      <c r="W812" s="34"/>
      <c r="X812" s="34"/>
      <c r="Y812" s="34"/>
      <c r="Z812" s="34"/>
      <c r="AA812" s="34"/>
    </row>
    <row r="813" spans="1:27" ht="15">
      <c r="A813" s="66" t="s">
        <v>228</v>
      </c>
      <c r="B813" s="66" t="s">
        <v>601</v>
      </c>
      <c r="C813" s="67" t="s">
        <v>4454</v>
      </c>
      <c r="D813" s="68">
        <v>5</v>
      </c>
      <c r="E813" s="69"/>
      <c r="F813" s="70">
        <v>20</v>
      </c>
      <c r="G813" s="67"/>
      <c r="H813" s="71"/>
      <c r="I813" s="72"/>
      <c r="J813" s="72"/>
      <c r="K813" s="34" t="s">
        <v>65</v>
      </c>
      <c r="L813" s="79">
        <v>813</v>
      </c>
      <c r="M813" s="79"/>
      <c r="N813" s="74"/>
      <c r="O813" s="81" t="s">
        <v>944</v>
      </c>
      <c r="P813">
        <v>1</v>
      </c>
      <c r="Q813" s="80" t="str">
        <f>REPLACE(INDEX(GroupVertices[Group],MATCH(Edges[[#This Row],[Vertex 1]],GroupVertices[Vertex],0)),1,1,"")</f>
        <v>3</v>
      </c>
      <c r="R813" s="80" t="str">
        <f>REPLACE(INDEX(GroupVertices[Group],MATCH(Edges[[#This Row],[Vertex 2]],GroupVertices[Vertex],0)),1,1,"")</f>
        <v>3</v>
      </c>
      <c r="S813" s="34"/>
      <c r="T813" s="34"/>
      <c r="U813" s="34"/>
      <c r="V813" s="34"/>
      <c r="W813" s="34"/>
      <c r="X813" s="34"/>
      <c r="Y813" s="34"/>
      <c r="Z813" s="34"/>
      <c r="AA813" s="34"/>
    </row>
    <row r="814" spans="1:27" ht="15">
      <c r="A814" s="66" t="s">
        <v>247</v>
      </c>
      <c r="B814" s="66" t="s">
        <v>601</v>
      </c>
      <c r="C814" s="67" t="s">
        <v>4454</v>
      </c>
      <c r="D814" s="68">
        <v>5</v>
      </c>
      <c r="E814" s="69"/>
      <c r="F814" s="70">
        <v>20</v>
      </c>
      <c r="G814" s="67"/>
      <c r="H814" s="71"/>
      <c r="I814" s="72"/>
      <c r="J814" s="72"/>
      <c r="K814" s="34" t="s">
        <v>65</v>
      </c>
      <c r="L814" s="79">
        <v>814</v>
      </c>
      <c r="M814" s="79"/>
      <c r="N814" s="74"/>
      <c r="O814" s="81" t="s">
        <v>944</v>
      </c>
      <c r="P814">
        <v>1</v>
      </c>
      <c r="Q814" s="80" t="str">
        <f>REPLACE(INDEX(GroupVertices[Group],MATCH(Edges[[#This Row],[Vertex 1]],GroupVertices[Vertex],0)),1,1,"")</f>
        <v>2</v>
      </c>
      <c r="R814" s="80" t="str">
        <f>REPLACE(INDEX(GroupVertices[Group],MATCH(Edges[[#This Row],[Vertex 2]],GroupVertices[Vertex],0)),1,1,"")</f>
        <v>3</v>
      </c>
      <c r="S814" s="34"/>
      <c r="T814" s="34"/>
      <c r="U814" s="34"/>
      <c r="V814" s="34"/>
      <c r="W814" s="34"/>
      <c r="X814" s="34"/>
      <c r="Y814" s="34"/>
      <c r="Z814" s="34"/>
      <c r="AA814" s="34"/>
    </row>
    <row r="815" spans="1:27" ht="15">
      <c r="A815" s="66" t="s">
        <v>247</v>
      </c>
      <c r="B815" s="66" t="s">
        <v>745</v>
      </c>
      <c r="C815" s="67" t="s">
        <v>4454</v>
      </c>
      <c r="D815" s="68">
        <v>5</v>
      </c>
      <c r="E815" s="69"/>
      <c r="F815" s="70">
        <v>20</v>
      </c>
      <c r="G815" s="67"/>
      <c r="H815" s="71"/>
      <c r="I815" s="72"/>
      <c r="J815" s="72"/>
      <c r="K815" s="34"/>
      <c r="L815" s="79">
        <v>815</v>
      </c>
      <c r="M815" s="79"/>
      <c r="N815" s="74"/>
      <c r="O815" s="81" t="s">
        <v>944</v>
      </c>
      <c r="P815">
        <v>1</v>
      </c>
      <c r="Q815" s="80" t="str">
        <f>REPLACE(INDEX(GroupVertices[Group],MATCH(Edges[[#This Row],[Vertex 1]],GroupVertices[Vertex],0)),1,1,"")</f>
        <v>2</v>
      </c>
      <c r="R815" s="80" t="e">
        <f>REPLACE(INDEX(GroupVertices[Group],MATCH(Edges[[#This Row],[Vertex 2]],GroupVertices[Vertex],0)),1,1,"")</f>
        <v>#N/A</v>
      </c>
      <c r="S815" s="34"/>
      <c r="T815" s="34"/>
      <c r="U815" s="34"/>
      <c r="V815" s="34"/>
      <c r="W815" s="34"/>
      <c r="X815" s="34"/>
      <c r="Y815" s="34"/>
      <c r="Z815" s="34"/>
      <c r="AA815" s="34"/>
    </row>
    <row r="816" spans="1:27" ht="15">
      <c r="A816" s="66" t="s">
        <v>234</v>
      </c>
      <c r="B816" s="66" t="s">
        <v>746</v>
      </c>
      <c r="C816" s="67" t="s">
        <v>4454</v>
      </c>
      <c r="D816" s="68">
        <v>5</v>
      </c>
      <c r="E816" s="69"/>
      <c r="F816" s="70">
        <v>20</v>
      </c>
      <c r="G816" s="67"/>
      <c r="H816" s="71"/>
      <c r="I816" s="72"/>
      <c r="J816" s="72"/>
      <c r="K816" s="34" t="s">
        <v>65</v>
      </c>
      <c r="L816" s="79">
        <v>816</v>
      </c>
      <c r="M816" s="79"/>
      <c r="N816" s="74"/>
      <c r="O816" s="81" t="s">
        <v>944</v>
      </c>
      <c r="P816">
        <v>1</v>
      </c>
      <c r="Q816" s="80" t="str">
        <f>REPLACE(INDEX(GroupVertices[Group],MATCH(Edges[[#This Row],[Vertex 1]],GroupVertices[Vertex],0)),1,1,"")</f>
        <v>4</v>
      </c>
      <c r="R816" s="80" t="str">
        <f>REPLACE(INDEX(GroupVertices[Group],MATCH(Edges[[#This Row],[Vertex 2]],GroupVertices[Vertex],0)),1,1,"")</f>
        <v>4</v>
      </c>
      <c r="S816" s="34"/>
      <c r="T816" s="34"/>
      <c r="U816" s="34"/>
      <c r="V816" s="34"/>
      <c r="W816" s="34"/>
      <c r="X816" s="34"/>
      <c r="Y816" s="34"/>
      <c r="Z816" s="34"/>
      <c r="AA816" s="34"/>
    </row>
    <row r="817" spans="1:27" ht="15">
      <c r="A817" s="66" t="s">
        <v>247</v>
      </c>
      <c r="B817" s="66" t="s">
        <v>746</v>
      </c>
      <c r="C817" s="67" t="s">
        <v>4454</v>
      </c>
      <c r="D817" s="68">
        <v>5</v>
      </c>
      <c r="E817" s="69"/>
      <c r="F817" s="70">
        <v>20</v>
      </c>
      <c r="G817" s="67"/>
      <c r="H817" s="71"/>
      <c r="I817" s="72"/>
      <c r="J817" s="72"/>
      <c r="K817" s="34" t="s">
        <v>65</v>
      </c>
      <c r="L817" s="79">
        <v>817</v>
      </c>
      <c r="M817" s="79"/>
      <c r="N817" s="74"/>
      <c r="O817" s="81" t="s">
        <v>944</v>
      </c>
      <c r="P817">
        <v>1</v>
      </c>
      <c r="Q817" s="80" t="str">
        <f>REPLACE(INDEX(GroupVertices[Group],MATCH(Edges[[#This Row],[Vertex 1]],GroupVertices[Vertex],0)),1,1,"")</f>
        <v>2</v>
      </c>
      <c r="R817" s="80" t="str">
        <f>REPLACE(INDEX(GroupVertices[Group],MATCH(Edges[[#This Row],[Vertex 2]],GroupVertices[Vertex],0)),1,1,"")</f>
        <v>4</v>
      </c>
      <c r="S817" s="34"/>
      <c r="T817" s="34"/>
      <c r="U817" s="34"/>
      <c r="V817" s="34"/>
      <c r="W817" s="34"/>
      <c r="X817" s="34"/>
      <c r="Y817" s="34"/>
      <c r="Z817" s="34"/>
      <c r="AA817" s="34"/>
    </row>
    <row r="818" spans="1:27" ht="15">
      <c r="A818" s="66" t="s">
        <v>221</v>
      </c>
      <c r="B818" s="66" t="s">
        <v>747</v>
      </c>
      <c r="C818" s="67" t="s">
        <v>4454</v>
      </c>
      <c r="D818" s="68">
        <v>5</v>
      </c>
      <c r="E818" s="69"/>
      <c r="F818" s="70">
        <v>20</v>
      </c>
      <c r="G818" s="67"/>
      <c r="H818" s="71"/>
      <c r="I818" s="72"/>
      <c r="J818" s="72"/>
      <c r="K818" s="34" t="s">
        <v>65</v>
      </c>
      <c r="L818" s="79">
        <v>818</v>
      </c>
      <c r="M818" s="79"/>
      <c r="N818" s="74"/>
      <c r="O818" s="81" t="s">
        <v>944</v>
      </c>
      <c r="P818">
        <v>1</v>
      </c>
      <c r="Q818" s="80" t="str">
        <f>REPLACE(INDEX(GroupVertices[Group],MATCH(Edges[[#This Row],[Vertex 1]],GroupVertices[Vertex],0)),1,1,"")</f>
        <v>2</v>
      </c>
      <c r="R818" s="80" t="str">
        <f>REPLACE(INDEX(GroupVertices[Group],MATCH(Edges[[#This Row],[Vertex 2]],GroupVertices[Vertex],0)),1,1,"")</f>
        <v>2</v>
      </c>
      <c r="S818" s="34"/>
      <c r="T818" s="34"/>
      <c r="U818" s="34"/>
      <c r="V818" s="34"/>
      <c r="W818" s="34"/>
      <c r="X818" s="34"/>
      <c r="Y818" s="34"/>
      <c r="Z818" s="34"/>
      <c r="AA818" s="34"/>
    </row>
    <row r="819" spans="1:27" ht="15">
      <c r="A819" s="66" t="s">
        <v>247</v>
      </c>
      <c r="B819" s="66" t="s">
        <v>747</v>
      </c>
      <c r="C819" s="67" t="s">
        <v>4454</v>
      </c>
      <c r="D819" s="68">
        <v>5</v>
      </c>
      <c r="E819" s="69"/>
      <c r="F819" s="70">
        <v>20</v>
      </c>
      <c r="G819" s="67"/>
      <c r="H819" s="71"/>
      <c r="I819" s="72"/>
      <c r="J819" s="72"/>
      <c r="K819" s="34" t="s">
        <v>65</v>
      </c>
      <c r="L819" s="79">
        <v>819</v>
      </c>
      <c r="M819" s="79"/>
      <c r="N819" s="74"/>
      <c r="O819" s="81" t="s">
        <v>944</v>
      </c>
      <c r="P819">
        <v>1</v>
      </c>
      <c r="Q819" s="80" t="str">
        <f>REPLACE(INDEX(GroupVertices[Group],MATCH(Edges[[#This Row],[Vertex 1]],GroupVertices[Vertex],0)),1,1,"")</f>
        <v>2</v>
      </c>
      <c r="R819" s="80" t="str">
        <f>REPLACE(INDEX(GroupVertices[Group],MATCH(Edges[[#This Row],[Vertex 2]],GroupVertices[Vertex],0)),1,1,"")</f>
        <v>2</v>
      </c>
      <c r="S819" s="34"/>
      <c r="T819" s="34"/>
      <c r="U819" s="34"/>
      <c r="V819" s="34"/>
      <c r="W819" s="34"/>
      <c r="X819" s="34"/>
      <c r="Y819" s="34"/>
      <c r="Z819" s="34"/>
      <c r="AA819" s="34"/>
    </row>
    <row r="820" spans="1:27" ht="15">
      <c r="A820" s="66" t="s">
        <v>247</v>
      </c>
      <c r="B820" s="66" t="s">
        <v>748</v>
      </c>
      <c r="C820" s="67" t="s">
        <v>4454</v>
      </c>
      <c r="D820" s="68">
        <v>5</v>
      </c>
      <c r="E820" s="69"/>
      <c r="F820" s="70">
        <v>20</v>
      </c>
      <c r="G820" s="67"/>
      <c r="H820" s="71"/>
      <c r="I820" s="72"/>
      <c r="J820" s="72"/>
      <c r="K820" s="34"/>
      <c r="L820" s="79">
        <v>820</v>
      </c>
      <c r="M820" s="79"/>
      <c r="N820" s="74"/>
      <c r="O820" s="81" t="s">
        <v>944</v>
      </c>
      <c r="P820">
        <v>1</v>
      </c>
      <c r="Q820" s="80" t="str">
        <f>REPLACE(INDEX(GroupVertices[Group],MATCH(Edges[[#This Row],[Vertex 1]],GroupVertices[Vertex],0)),1,1,"")</f>
        <v>2</v>
      </c>
      <c r="R820" s="80" t="e">
        <f>REPLACE(INDEX(GroupVertices[Group],MATCH(Edges[[#This Row],[Vertex 2]],GroupVertices[Vertex],0)),1,1,"")</f>
        <v>#N/A</v>
      </c>
      <c r="S820" s="34"/>
      <c r="T820" s="34"/>
      <c r="U820" s="34"/>
      <c r="V820" s="34"/>
      <c r="W820" s="34"/>
      <c r="X820" s="34"/>
      <c r="Y820" s="34"/>
      <c r="Z820" s="34"/>
      <c r="AA820" s="34"/>
    </row>
    <row r="821" spans="1:27" ht="15">
      <c r="A821" s="66" t="s">
        <v>247</v>
      </c>
      <c r="B821" s="66" t="s">
        <v>749</v>
      </c>
      <c r="C821" s="67" t="s">
        <v>4454</v>
      </c>
      <c r="D821" s="68">
        <v>5</v>
      </c>
      <c r="E821" s="69"/>
      <c r="F821" s="70">
        <v>20</v>
      </c>
      <c r="G821" s="67"/>
      <c r="H821" s="71"/>
      <c r="I821" s="72"/>
      <c r="J821" s="72"/>
      <c r="K821" s="34"/>
      <c r="L821" s="79">
        <v>821</v>
      </c>
      <c r="M821" s="79"/>
      <c r="N821" s="74"/>
      <c r="O821" s="81" t="s">
        <v>944</v>
      </c>
      <c r="P821">
        <v>1</v>
      </c>
      <c r="Q821" s="80" t="str">
        <f>REPLACE(INDEX(GroupVertices[Group],MATCH(Edges[[#This Row],[Vertex 1]],GroupVertices[Vertex],0)),1,1,"")</f>
        <v>2</v>
      </c>
      <c r="R821" s="80" t="e">
        <f>REPLACE(INDEX(GroupVertices[Group],MATCH(Edges[[#This Row],[Vertex 2]],GroupVertices[Vertex],0)),1,1,"")</f>
        <v>#N/A</v>
      </c>
      <c r="S821" s="34"/>
      <c r="T821" s="34"/>
      <c r="U821" s="34"/>
      <c r="V821" s="34"/>
      <c r="W821" s="34"/>
      <c r="X821" s="34"/>
      <c r="Y821" s="34"/>
      <c r="Z821" s="34"/>
      <c r="AA821" s="34"/>
    </row>
    <row r="822" spans="1:27" ht="15">
      <c r="A822" s="66" t="s">
        <v>247</v>
      </c>
      <c r="B822" s="66" t="s">
        <v>750</v>
      </c>
      <c r="C822" s="67" t="s">
        <v>4454</v>
      </c>
      <c r="D822" s="68">
        <v>5</v>
      </c>
      <c r="E822" s="69"/>
      <c r="F822" s="70">
        <v>20</v>
      </c>
      <c r="G822" s="67"/>
      <c r="H822" s="71"/>
      <c r="I822" s="72"/>
      <c r="J822" s="72"/>
      <c r="K822" s="34"/>
      <c r="L822" s="79">
        <v>822</v>
      </c>
      <c r="M822" s="79"/>
      <c r="N822" s="74"/>
      <c r="O822" s="81" t="s">
        <v>944</v>
      </c>
      <c r="P822">
        <v>1</v>
      </c>
      <c r="Q822" s="80" t="str">
        <f>REPLACE(INDEX(GroupVertices[Group],MATCH(Edges[[#This Row],[Vertex 1]],GroupVertices[Vertex],0)),1,1,"")</f>
        <v>2</v>
      </c>
      <c r="R822" s="80" t="e">
        <f>REPLACE(INDEX(GroupVertices[Group],MATCH(Edges[[#This Row],[Vertex 2]],GroupVertices[Vertex],0)),1,1,"")</f>
        <v>#N/A</v>
      </c>
      <c r="S822" s="34"/>
      <c r="T822" s="34"/>
      <c r="U822" s="34"/>
      <c r="V822" s="34"/>
      <c r="W822" s="34"/>
      <c r="X822" s="34"/>
      <c r="Y822" s="34"/>
      <c r="Z822" s="34"/>
      <c r="AA822" s="34"/>
    </row>
    <row r="823" spans="1:27" ht="15">
      <c r="A823" s="66" t="s">
        <v>248</v>
      </c>
      <c r="B823" s="66" t="s">
        <v>751</v>
      </c>
      <c r="C823" s="67" t="s">
        <v>4454</v>
      </c>
      <c r="D823" s="68">
        <v>5</v>
      </c>
      <c r="E823" s="69"/>
      <c r="F823" s="70">
        <v>20</v>
      </c>
      <c r="G823" s="67"/>
      <c r="H823" s="71"/>
      <c r="I823" s="72"/>
      <c r="J823" s="72"/>
      <c r="K823" s="34"/>
      <c r="L823" s="79">
        <v>823</v>
      </c>
      <c r="M823" s="79"/>
      <c r="N823" s="74"/>
      <c r="O823" s="81" t="s">
        <v>944</v>
      </c>
      <c r="P823">
        <v>1</v>
      </c>
      <c r="Q823" s="80" t="str">
        <f>REPLACE(INDEX(GroupVertices[Group],MATCH(Edges[[#This Row],[Vertex 1]],GroupVertices[Vertex],0)),1,1,"")</f>
        <v>1</v>
      </c>
      <c r="R823" s="80" t="e">
        <f>REPLACE(INDEX(GroupVertices[Group],MATCH(Edges[[#This Row],[Vertex 2]],GroupVertices[Vertex],0)),1,1,"")</f>
        <v>#N/A</v>
      </c>
      <c r="S823" s="34"/>
      <c r="T823" s="34"/>
      <c r="U823" s="34"/>
      <c r="V823" s="34"/>
      <c r="W823" s="34"/>
      <c r="X823" s="34"/>
      <c r="Y823" s="34"/>
      <c r="Z823" s="34"/>
      <c r="AA823" s="34"/>
    </row>
    <row r="824" spans="1:27" ht="15">
      <c r="A824" s="66" t="s">
        <v>248</v>
      </c>
      <c r="B824" s="66" t="s">
        <v>752</v>
      </c>
      <c r="C824" s="67" t="s">
        <v>4454</v>
      </c>
      <c r="D824" s="68">
        <v>5</v>
      </c>
      <c r="E824" s="69"/>
      <c r="F824" s="70">
        <v>20</v>
      </c>
      <c r="G824" s="67"/>
      <c r="H824" s="71"/>
      <c r="I824" s="72"/>
      <c r="J824" s="72"/>
      <c r="K824" s="34"/>
      <c r="L824" s="79">
        <v>824</v>
      </c>
      <c r="M824" s="79"/>
      <c r="N824" s="74"/>
      <c r="O824" s="81" t="s">
        <v>944</v>
      </c>
      <c r="P824">
        <v>1</v>
      </c>
      <c r="Q824" s="80" t="str">
        <f>REPLACE(INDEX(GroupVertices[Group],MATCH(Edges[[#This Row],[Vertex 1]],GroupVertices[Vertex],0)),1,1,"")</f>
        <v>1</v>
      </c>
      <c r="R824" s="80" t="e">
        <f>REPLACE(INDEX(GroupVertices[Group],MATCH(Edges[[#This Row],[Vertex 2]],GroupVertices[Vertex],0)),1,1,"")</f>
        <v>#N/A</v>
      </c>
      <c r="S824" s="34"/>
      <c r="T824" s="34"/>
      <c r="U824" s="34"/>
      <c r="V824" s="34"/>
      <c r="W824" s="34"/>
      <c r="X824" s="34"/>
      <c r="Y824" s="34"/>
      <c r="Z824" s="34"/>
      <c r="AA824" s="34"/>
    </row>
    <row r="825" spans="1:27" ht="15">
      <c r="A825" s="66" t="s">
        <v>232</v>
      </c>
      <c r="B825" s="66" t="s">
        <v>753</v>
      </c>
      <c r="C825" s="67" t="s">
        <v>4454</v>
      </c>
      <c r="D825" s="68">
        <v>5</v>
      </c>
      <c r="E825" s="69"/>
      <c r="F825" s="70">
        <v>20</v>
      </c>
      <c r="G825" s="67"/>
      <c r="H825" s="71"/>
      <c r="I825" s="72"/>
      <c r="J825" s="72"/>
      <c r="K825" s="34" t="s">
        <v>65</v>
      </c>
      <c r="L825" s="79">
        <v>825</v>
      </c>
      <c r="M825" s="79"/>
      <c r="N825" s="74"/>
      <c r="O825" s="81" t="s">
        <v>944</v>
      </c>
      <c r="P825">
        <v>1</v>
      </c>
      <c r="Q825" s="80" t="str">
        <f>REPLACE(INDEX(GroupVertices[Group],MATCH(Edges[[#This Row],[Vertex 1]],GroupVertices[Vertex],0)),1,1,"")</f>
        <v>1</v>
      </c>
      <c r="R825" s="80" t="str">
        <f>REPLACE(INDEX(GroupVertices[Group],MATCH(Edges[[#This Row],[Vertex 2]],GroupVertices[Vertex],0)),1,1,"")</f>
        <v>1</v>
      </c>
      <c r="S825" s="34"/>
      <c r="T825" s="34"/>
      <c r="U825" s="34"/>
      <c r="V825" s="34"/>
      <c r="W825" s="34"/>
      <c r="X825" s="34"/>
      <c r="Y825" s="34"/>
      <c r="Z825" s="34"/>
      <c r="AA825" s="34"/>
    </row>
    <row r="826" spans="1:27" ht="15">
      <c r="A826" s="66" t="s">
        <v>248</v>
      </c>
      <c r="B826" s="66" t="s">
        <v>753</v>
      </c>
      <c r="C826" s="67" t="s">
        <v>4454</v>
      </c>
      <c r="D826" s="68">
        <v>5</v>
      </c>
      <c r="E826" s="69"/>
      <c r="F826" s="70">
        <v>20</v>
      </c>
      <c r="G826" s="67"/>
      <c r="H826" s="71"/>
      <c r="I826" s="72"/>
      <c r="J826" s="72"/>
      <c r="K826" s="34" t="s">
        <v>65</v>
      </c>
      <c r="L826" s="79">
        <v>826</v>
      </c>
      <c r="M826" s="79"/>
      <c r="N826" s="74"/>
      <c r="O826" s="81" t="s">
        <v>944</v>
      </c>
      <c r="P826">
        <v>1</v>
      </c>
      <c r="Q826" s="80" t="str">
        <f>REPLACE(INDEX(GroupVertices[Group],MATCH(Edges[[#This Row],[Vertex 1]],GroupVertices[Vertex],0)),1,1,"")</f>
        <v>1</v>
      </c>
      <c r="R826" s="80" t="str">
        <f>REPLACE(INDEX(GroupVertices[Group],MATCH(Edges[[#This Row],[Vertex 2]],GroupVertices[Vertex],0)),1,1,"")</f>
        <v>1</v>
      </c>
      <c r="S826" s="34"/>
      <c r="T826" s="34"/>
      <c r="U826" s="34"/>
      <c r="V826" s="34"/>
      <c r="W826" s="34"/>
      <c r="X826" s="34"/>
      <c r="Y826" s="34"/>
      <c r="Z826" s="34"/>
      <c r="AA826" s="34"/>
    </row>
    <row r="827" spans="1:27" ht="15">
      <c r="A827" s="66" t="s">
        <v>248</v>
      </c>
      <c r="B827" s="66" t="s">
        <v>754</v>
      </c>
      <c r="C827" s="67" t="s">
        <v>4454</v>
      </c>
      <c r="D827" s="68">
        <v>5</v>
      </c>
      <c r="E827" s="69"/>
      <c r="F827" s="70">
        <v>20</v>
      </c>
      <c r="G827" s="67"/>
      <c r="H827" s="71"/>
      <c r="I827" s="72"/>
      <c r="J827" s="72"/>
      <c r="K827" s="34"/>
      <c r="L827" s="79">
        <v>827</v>
      </c>
      <c r="M827" s="79"/>
      <c r="N827" s="74"/>
      <c r="O827" s="81" t="s">
        <v>944</v>
      </c>
      <c r="P827">
        <v>1</v>
      </c>
      <c r="Q827" s="80" t="str">
        <f>REPLACE(INDEX(GroupVertices[Group],MATCH(Edges[[#This Row],[Vertex 1]],GroupVertices[Vertex],0)),1,1,"")</f>
        <v>1</v>
      </c>
      <c r="R827" s="80" t="e">
        <f>REPLACE(INDEX(GroupVertices[Group],MATCH(Edges[[#This Row],[Vertex 2]],GroupVertices[Vertex],0)),1,1,"")</f>
        <v>#N/A</v>
      </c>
      <c r="S827" s="34"/>
      <c r="T827" s="34"/>
      <c r="U827" s="34"/>
      <c r="V827" s="34"/>
      <c r="W827" s="34"/>
      <c r="X827" s="34"/>
      <c r="Y827" s="34"/>
      <c r="Z827" s="34"/>
      <c r="AA827" s="34"/>
    </row>
    <row r="828" spans="1:27" ht="15">
      <c r="A828" s="66" t="s">
        <v>248</v>
      </c>
      <c r="B828" s="66" t="s">
        <v>755</v>
      </c>
      <c r="C828" s="67" t="s">
        <v>4454</v>
      </c>
      <c r="D828" s="68">
        <v>5</v>
      </c>
      <c r="E828" s="69"/>
      <c r="F828" s="70">
        <v>20</v>
      </c>
      <c r="G828" s="67"/>
      <c r="H828" s="71"/>
      <c r="I828" s="72"/>
      <c r="J828" s="72"/>
      <c r="K828" s="34"/>
      <c r="L828" s="79">
        <v>828</v>
      </c>
      <c r="M828" s="79"/>
      <c r="N828" s="74"/>
      <c r="O828" s="81" t="s">
        <v>944</v>
      </c>
      <c r="P828">
        <v>1</v>
      </c>
      <c r="Q828" s="80" t="str">
        <f>REPLACE(INDEX(GroupVertices[Group],MATCH(Edges[[#This Row],[Vertex 1]],GroupVertices[Vertex],0)),1,1,"")</f>
        <v>1</v>
      </c>
      <c r="R828" s="80" t="e">
        <f>REPLACE(INDEX(GroupVertices[Group],MATCH(Edges[[#This Row],[Vertex 2]],GroupVertices[Vertex],0)),1,1,"")</f>
        <v>#N/A</v>
      </c>
      <c r="S828" s="34"/>
      <c r="T828" s="34"/>
      <c r="U828" s="34"/>
      <c r="V828" s="34"/>
      <c r="W828" s="34"/>
      <c r="X828" s="34"/>
      <c r="Y828" s="34"/>
      <c r="Z828" s="34"/>
      <c r="AA828" s="34"/>
    </row>
    <row r="829" spans="1:27" ht="15">
      <c r="A829" s="66" t="s">
        <v>226</v>
      </c>
      <c r="B829" s="66" t="s">
        <v>756</v>
      </c>
      <c r="C829" s="67" t="s">
        <v>4454</v>
      </c>
      <c r="D829" s="68">
        <v>5</v>
      </c>
      <c r="E829" s="69"/>
      <c r="F829" s="70">
        <v>20</v>
      </c>
      <c r="G829" s="67"/>
      <c r="H829" s="71"/>
      <c r="I829" s="72"/>
      <c r="J829" s="72"/>
      <c r="K829" s="34" t="s">
        <v>65</v>
      </c>
      <c r="L829" s="79">
        <v>829</v>
      </c>
      <c r="M829" s="79"/>
      <c r="N829" s="74"/>
      <c r="O829" s="81" t="s">
        <v>944</v>
      </c>
      <c r="P829">
        <v>1</v>
      </c>
      <c r="Q829" s="80" t="str">
        <f>REPLACE(INDEX(GroupVertices[Group],MATCH(Edges[[#This Row],[Vertex 1]],GroupVertices[Vertex],0)),1,1,"")</f>
        <v>4</v>
      </c>
      <c r="R829" s="80" t="str">
        <f>REPLACE(INDEX(GroupVertices[Group],MATCH(Edges[[#This Row],[Vertex 2]],GroupVertices[Vertex],0)),1,1,"")</f>
        <v>4</v>
      </c>
      <c r="S829" s="34"/>
      <c r="T829" s="34"/>
      <c r="U829" s="34"/>
      <c r="V829" s="34"/>
      <c r="W829" s="34"/>
      <c r="X829" s="34"/>
      <c r="Y829" s="34"/>
      <c r="Z829" s="34"/>
      <c r="AA829" s="34"/>
    </row>
    <row r="830" spans="1:27" ht="15">
      <c r="A830" s="66" t="s">
        <v>248</v>
      </c>
      <c r="B830" s="66" t="s">
        <v>756</v>
      </c>
      <c r="C830" s="67" t="s">
        <v>4454</v>
      </c>
      <c r="D830" s="68">
        <v>5</v>
      </c>
      <c r="E830" s="69"/>
      <c r="F830" s="70">
        <v>20</v>
      </c>
      <c r="G830" s="67"/>
      <c r="H830" s="71"/>
      <c r="I830" s="72"/>
      <c r="J830" s="72"/>
      <c r="K830" s="34" t="s">
        <v>65</v>
      </c>
      <c r="L830" s="79">
        <v>830</v>
      </c>
      <c r="M830" s="79"/>
      <c r="N830" s="74"/>
      <c r="O830" s="81" t="s">
        <v>944</v>
      </c>
      <c r="P830">
        <v>1</v>
      </c>
      <c r="Q830" s="80" t="str">
        <f>REPLACE(INDEX(GroupVertices[Group],MATCH(Edges[[#This Row],[Vertex 1]],GroupVertices[Vertex],0)),1,1,"")</f>
        <v>1</v>
      </c>
      <c r="R830" s="80" t="str">
        <f>REPLACE(INDEX(GroupVertices[Group],MATCH(Edges[[#This Row],[Vertex 2]],GroupVertices[Vertex],0)),1,1,"")</f>
        <v>4</v>
      </c>
      <c r="S830" s="34"/>
      <c r="T830" s="34"/>
      <c r="U830" s="34"/>
      <c r="V830" s="34"/>
      <c r="W830" s="34"/>
      <c r="X830" s="34"/>
      <c r="Y830" s="34"/>
      <c r="Z830" s="34"/>
      <c r="AA830" s="34"/>
    </row>
    <row r="831" spans="1:27" ht="15">
      <c r="A831" s="66" t="s">
        <v>248</v>
      </c>
      <c r="B831" s="66" t="s">
        <v>757</v>
      </c>
      <c r="C831" s="67" t="s">
        <v>4454</v>
      </c>
      <c r="D831" s="68">
        <v>5</v>
      </c>
      <c r="E831" s="69"/>
      <c r="F831" s="70">
        <v>20</v>
      </c>
      <c r="G831" s="67"/>
      <c r="H831" s="71"/>
      <c r="I831" s="72"/>
      <c r="J831" s="72"/>
      <c r="K831" s="34"/>
      <c r="L831" s="79">
        <v>831</v>
      </c>
      <c r="M831" s="79"/>
      <c r="N831" s="74"/>
      <c r="O831" s="81" t="s">
        <v>944</v>
      </c>
      <c r="P831">
        <v>1</v>
      </c>
      <c r="Q831" s="80" t="str">
        <f>REPLACE(INDEX(GroupVertices[Group],MATCH(Edges[[#This Row],[Vertex 1]],GroupVertices[Vertex],0)),1,1,"")</f>
        <v>1</v>
      </c>
      <c r="R831" s="80" t="e">
        <f>REPLACE(INDEX(GroupVertices[Group],MATCH(Edges[[#This Row],[Vertex 2]],GroupVertices[Vertex],0)),1,1,"")</f>
        <v>#N/A</v>
      </c>
      <c r="S831" s="34"/>
      <c r="T831" s="34"/>
      <c r="U831" s="34"/>
      <c r="V831" s="34"/>
      <c r="W831" s="34"/>
      <c r="X831" s="34"/>
      <c r="Y831" s="34"/>
      <c r="Z831" s="34"/>
      <c r="AA831" s="34"/>
    </row>
    <row r="832" spans="1:27" ht="15">
      <c r="A832" s="66" t="s">
        <v>248</v>
      </c>
      <c r="B832" s="66" t="s">
        <v>758</v>
      </c>
      <c r="C832" s="67" t="s">
        <v>4454</v>
      </c>
      <c r="D832" s="68">
        <v>5</v>
      </c>
      <c r="E832" s="69"/>
      <c r="F832" s="70">
        <v>20</v>
      </c>
      <c r="G832" s="67"/>
      <c r="H832" s="71"/>
      <c r="I832" s="72"/>
      <c r="J832" s="72"/>
      <c r="K832" s="34"/>
      <c r="L832" s="79">
        <v>832</v>
      </c>
      <c r="M832" s="79"/>
      <c r="N832" s="74"/>
      <c r="O832" s="81" t="s">
        <v>944</v>
      </c>
      <c r="P832">
        <v>1</v>
      </c>
      <c r="Q832" s="80" t="str">
        <f>REPLACE(INDEX(GroupVertices[Group],MATCH(Edges[[#This Row],[Vertex 1]],GroupVertices[Vertex],0)),1,1,"")</f>
        <v>1</v>
      </c>
      <c r="R832" s="80" t="e">
        <f>REPLACE(INDEX(GroupVertices[Group],MATCH(Edges[[#This Row],[Vertex 2]],GroupVertices[Vertex],0)),1,1,"")</f>
        <v>#N/A</v>
      </c>
      <c r="S832" s="34"/>
      <c r="T832" s="34"/>
      <c r="U832" s="34"/>
      <c r="V832" s="34"/>
      <c r="W832" s="34"/>
      <c r="X832" s="34"/>
      <c r="Y832" s="34"/>
      <c r="Z832" s="34"/>
      <c r="AA832" s="34"/>
    </row>
    <row r="833" spans="1:27" ht="15">
      <c r="A833" s="66" t="s">
        <v>248</v>
      </c>
      <c r="B833" s="66" t="s">
        <v>759</v>
      </c>
      <c r="C833" s="67" t="s">
        <v>4454</v>
      </c>
      <c r="D833" s="68">
        <v>5</v>
      </c>
      <c r="E833" s="69"/>
      <c r="F833" s="70">
        <v>20</v>
      </c>
      <c r="G833" s="67"/>
      <c r="H833" s="71"/>
      <c r="I833" s="72"/>
      <c r="J833" s="72"/>
      <c r="K833" s="34"/>
      <c r="L833" s="79">
        <v>833</v>
      </c>
      <c r="M833" s="79"/>
      <c r="N833" s="74"/>
      <c r="O833" s="81" t="s">
        <v>944</v>
      </c>
      <c r="P833">
        <v>1</v>
      </c>
      <c r="Q833" s="80" t="str">
        <f>REPLACE(INDEX(GroupVertices[Group],MATCH(Edges[[#This Row],[Vertex 1]],GroupVertices[Vertex],0)),1,1,"")</f>
        <v>1</v>
      </c>
      <c r="R833" s="80" t="e">
        <f>REPLACE(INDEX(GroupVertices[Group],MATCH(Edges[[#This Row],[Vertex 2]],GroupVertices[Vertex],0)),1,1,"")</f>
        <v>#N/A</v>
      </c>
      <c r="S833" s="34"/>
      <c r="T833" s="34"/>
      <c r="U833" s="34"/>
      <c r="V833" s="34"/>
      <c r="W833" s="34"/>
      <c r="X833" s="34"/>
      <c r="Y833" s="34"/>
      <c r="Z833" s="34"/>
      <c r="AA833" s="34"/>
    </row>
    <row r="834" spans="1:27" ht="15">
      <c r="A834" s="66" t="s">
        <v>248</v>
      </c>
      <c r="B834" s="66" t="s">
        <v>760</v>
      </c>
      <c r="C834" s="67" t="s">
        <v>4454</v>
      </c>
      <c r="D834" s="68">
        <v>5</v>
      </c>
      <c r="E834" s="69"/>
      <c r="F834" s="70">
        <v>20</v>
      </c>
      <c r="G834" s="67"/>
      <c r="H834" s="71"/>
      <c r="I834" s="72"/>
      <c r="J834" s="72"/>
      <c r="K834" s="34"/>
      <c r="L834" s="79">
        <v>834</v>
      </c>
      <c r="M834" s="79"/>
      <c r="N834" s="74"/>
      <c r="O834" s="81" t="s">
        <v>944</v>
      </c>
      <c r="P834">
        <v>1</v>
      </c>
      <c r="Q834" s="80" t="str">
        <f>REPLACE(INDEX(GroupVertices[Group],MATCH(Edges[[#This Row],[Vertex 1]],GroupVertices[Vertex],0)),1,1,"")</f>
        <v>1</v>
      </c>
      <c r="R834" s="80" t="e">
        <f>REPLACE(INDEX(GroupVertices[Group],MATCH(Edges[[#This Row],[Vertex 2]],GroupVertices[Vertex],0)),1,1,"")</f>
        <v>#N/A</v>
      </c>
      <c r="S834" s="34"/>
      <c r="T834" s="34"/>
      <c r="U834" s="34"/>
      <c r="V834" s="34"/>
      <c r="W834" s="34"/>
      <c r="X834" s="34"/>
      <c r="Y834" s="34"/>
      <c r="Z834" s="34"/>
      <c r="AA834" s="34"/>
    </row>
    <row r="835" spans="1:27" ht="15">
      <c r="A835" s="66" t="s">
        <v>248</v>
      </c>
      <c r="B835" s="66" t="s">
        <v>761</v>
      </c>
      <c r="C835" s="67" t="s">
        <v>4454</v>
      </c>
      <c r="D835" s="68">
        <v>5</v>
      </c>
      <c r="E835" s="69"/>
      <c r="F835" s="70">
        <v>20</v>
      </c>
      <c r="G835" s="67"/>
      <c r="H835" s="71"/>
      <c r="I835" s="72"/>
      <c r="J835" s="72"/>
      <c r="K835" s="34"/>
      <c r="L835" s="79">
        <v>835</v>
      </c>
      <c r="M835" s="79"/>
      <c r="N835" s="74"/>
      <c r="O835" s="81" t="s">
        <v>944</v>
      </c>
      <c r="P835">
        <v>1</v>
      </c>
      <c r="Q835" s="80" t="str">
        <f>REPLACE(INDEX(GroupVertices[Group],MATCH(Edges[[#This Row],[Vertex 1]],GroupVertices[Vertex],0)),1,1,"")</f>
        <v>1</v>
      </c>
      <c r="R835" s="80" t="e">
        <f>REPLACE(INDEX(GroupVertices[Group],MATCH(Edges[[#This Row],[Vertex 2]],GroupVertices[Vertex],0)),1,1,"")</f>
        <v>#N/A</v>
      </c>
      <c r="S835" s="34"/>
      <c r="T835" s="34"/>
      <c r="U835" s="34"/>
      <c r="V835" s="34"/>
      <c r="W835" s="34"/>
      <c r="X835" s="34"/>
      <c r="Y835" s="34"/>
      <c r="Z835" s="34"/>
      <c r="AA835" s="34"/>
    </row>
    <row r="836" spans="1:27" ht="15">
      <c r="A836" s="66" t="s">
        <v>248</v>
      </c>
      <c r="B836" s="66" t="s">
        <v>762</v>
      </c>
      <c r="C836" s="67" t="s">
        <v>4454</v>
      </c>
      <c r="D836" s="68">
        <v>5</v>
      </c>
      <c r="E836" s="69"/>
      <c r="F836" s="70">
        <v>20</v>
      </c>
      <c r="G836" s="67"/>
      <c r="H836" s="71"/>
      <c r="I836" s="72"/>
      <c r="J836" s="72"/>
      <c r="K836" s="34"/>
      <c r="L836" s="79">
        <v>836</v>
      </c>
      <c r="M836" s="79"/>
      <c r="N836" s="74"/>
      <c r="O836" s="81" t="s">
        <v>944</v>
      </c>
      <c r="P836">
        <v>1</v>
      </c>
      <c r="Q836" s="80" t="str">
        <f>REPLACE(INDEX(GroupVertices[Group],MATCH(Edges[[#This Row],[Vertex 1]],GroupVertices[Vertex],0)),1,1,"")</f>
        <v>1</v>
      </c>
      <c r="R836" s="80" t="e">
        <f>REPLACE(INDEX(GroupVertices[Group],MATCH(Edges[[#This Row],[Vertex 2]],GroupVertices[Vertex],0)),1,1,"")</f>
        <v>#N/A</v>
      </c>
      <c r="S836" s="34"/>
      <c r="T836" s="34"/>
      <c r="U836" s="34"/>
      <c r="V836" s="34"/>
      <c r="W836" s="34"/>
      <c r="X836" s="34"/>
      <c r="Y836" s="34"/>
      <c r="Z836" s="34"/>
      <c r="AA836" s="34"/>
    </row>
    <row r="837" spans="1:27" ht="15">
      <c r="A837" s="66" t="s">
        <v>248</v>
      </c>
      <c r="B837" s="66" t="s">
        <v>763</v>
      </c>
      <c r="C837" s="67" t="s">
        <v>4454</v>
      </c>
      <c r="D837" s="68">
        <v>5</v>
      </c>
      <c r="E837" s="69"/>
      <c r="F837" s="70">
        <v>20</v>
      </c>
      <c r="G837" s="67"/>
      <c r="H837" s="71"/>
      <c r="I837" s="72"/>
      <c r="J837" s="72"/>
      <c r="K837" s="34"/>
      <c r="L837" s="79">
        <v>837</v>
      </c>
      <c r="M837" s="79"/>
      <c r="N837" s="74"/>
      <c r="O837" s="81" t="s">
        <v>944</v>
      </c>
      <c r="P837">
        <v>1</v>
      </c>
      <c r="Q837" s="80" t="str">
        <f>REPLACE(INDEX(GroupVertices[Group],MATCH(Edges[[#This Row],[Vertex 1]],GroupVertices[Vertex],0)),1,1,"")</f>
        <v>1</v>
      </c>
      <c r="R837" s="80" t="e">
        <f>REPLACE(INDEX(GroupVertices[Group],MATCH(Edges[[#This Row],[Vertex 2]],GroupVertices[Vertex],0)),1,1,"")</f>
        <v>#N/A</v>
      </c>
      <c r="S837" s="34"/>
      <c r="T837" s="34"/>
      <c r="U837" s="34"/>
      <c r="V837" s="34"/>
      <c r="W837" s="34"/>
      <c r="X837" s="34"/>
      <c r="Y837" s="34"/>
      <c r="Z837" s="34"/>
      <c r="AA837" s="34"/>
    </row>
    <row r="838" spans="1:27" ht="15">
      <c r="A838" s="66" t="s">
        <v>248</v>
      </c>
      <c r="B838" s="66" t="s">
        <v>764</v>
      </c>
      <c r="C838" s="67" t="s">
        <v>4454</v>
      </c>
      <c r="D838" s="68">
        <v>5</v>
      </c>
      <c r="E838" s="69"/>
      <c r="F838" s="70">
        <v>20</v>
      </c>
      <c r="G838" s="67"/>
      <c r="H838" s="71"/>
      <c r="I838" s="72"/>
      <c r="J838" s="72"/>
      <c r="K838" s="34"/>
      <c r="L838" s="79">
        <v>838</v>
      </c>
      <c r="M838" s="79"/>
      <c r="N838" s="74"/>
      <c r="O838" s="81" t="s">
        <v>944</v>
      </c>
      <c r="P838">
        <v>1</v>
      </c>
      <c r="Q838" s="80" t="str">
        <f>REPLACE(INDEX(GroupVertices[Group],MATCH(Edges[[#This Row],[Vertex 1]],GroupVertices[Vertex],0)),1,1,"")</f>
        <v>1</v>
      </c>
      <c r="R838" s="80" t="e">
        <f>REPLACE(INDEX(GroupVertices[Group],MATCH(Edges[[#This Row],[Vertex 2]],GroupVertices[Vertex],0)),1,1,"")</f>
        <v>#N/A</v>
      </c>
      <c r="S838" s="34"/>
      <c r="T838" s="34"/>
      <c r="U838" s="34"/>
      <c r="V838" s="34"/>
      <c r="W838" s="34"/>
      <c r="X838" s="34"/>
      <c r="Y838" s="34"/>
      <c r="Z838" s="34"/>
      <c r="AA838" s="34"/>
    </row>
    <row r="839" spans="1:27" ht="15">
      <c r="A839" s="66" t="s">
        <v>248</v>
      </c>
      <c r="B839" s="66" t="s">
        <v>765</v>
      </c>
      <c r="C839" s="67" t="s">
        <v>4454</v>
      </c>
      <c r="D839" s="68">
        <v>5</v>
      </c>
      <c r="E839" s="69"/>
      <c r="F839" s="70">
        <v>20</v>
      </c>
      <c r="G839" s="67"/>
      <c r="H839" s="71"/>
      <c r="I839" s="72"/>
      <c r="J839" s="72"/>
      <c r="K839" s="34"/>
      <c r="L839" s="79">
        <v>839</v>
      </c>
      <c r="M839" s="79"/>
      <c r="N839" s="74"/>
      <c r="O839" s="81" t="s">
        <v>944</v>
      </c>
      <c r="P839">
        <v>1</v>
      </c>
      <c r="Q839" s="80" t="str">
        <f>REPLACE(INDEX(GroupVertices[Group],MATCH(Edges[[#This Row],[Vertex 1]],GroupVertices[Vertex],0)),1,1,"")</f>
        <v>1</v>
      </c>
      <c r="R839" s="80" t="e">
        <f>REPLACE(INDEX(GroupVertices[Group],MATCH(Edges[[#This Row],[Vertex 2]],GroupVertices[Vertex],0)),1,1,"")</f>
        <v>#N/A</v>
      </c>
      <c r="S839" s="34"/>
      <c r="T839" s="34"/>
      <c r="U839" s="34"/>
      <c r="V839" s="34"/>
      <c r="W839" s="34"/>
      <c r="X839" s="34"/>
      <c r="Y839" s="34"/>
      <c r="Z839" s="34"/>
      <c r="AA839" s="34"/>
    </row>
    <row r="840" spans="1:27" ht="15">
      <c r="A840" s="66" t="s">
        <v>248</v>
      </c>
      <c r="B840" s="66" t="s">
        <v>766</v>
      </c>
      <c r="C840" s="67" t="s">
        <v>4454</v>
      </c>
      <c r="D840" s="68">
        <v>5</v>
      </c>
      <c r="E840" s="69"/>
      <c r="F840" s="70">
        <v>20</v>
      </c>
      <c r="G840" s="67"/>
      <c r="H840" s="71"/>
      <c r="I840" s="72"/>
      <c r="J840" s="72"/>
      <c r="K840" s="34"/>
      <c r="L840" s="79">
        <v>840</v>
      </c>
      <c r="M840" s="79"/>
      <c r="N840" s="74"/>
      <c r="O840" s="81" t="s">
        <v>944</v>
      </c>
      <c r="P840">
        <v>1</v>
      </c>
      <c r="Q840" s="80" t="str">
        <f>REPLACE(INDEX(GroupVertices[Group],MATCH(Edges[[#This Row],[Vertex 1]],GroupVertices[Vertex],0)),1,1,"")</f>
        <v>1</v>
      </c>
      <c r="R840" s="80" t="e">
        <f>REPLACE(INDEX(GroupVertices[Group],MATCH(Edges[[#This Row],[Vertex 2]],GroupVertices[Vertex],0)),1,1,"")</f>
        <v>#N/A</v>
      </c>
      <c r="S840" s="34"/>
      <c r="T840" s="34"/>
      <c r="U840" s="34"/>
      <c r="V840" s="34"/>
      <c r="W840" s="34"/>
      <c r="X840" s="34"/>
      <c r="Y840" s="34"/>
      <c r="Z840" s="34"/>
      <c r="AA840" s="34"/>
    </row>
    <row r="841" spans="1:27" ht="15">
      <c r="A841" s="66" t="s">
        <v>248</v>
      </c>
      <c r="B841" s="66" t="s">
        <v>767</v>
      </c>
      <c r="C841" s="67" t="s">
        <v>4454</v>
      </c>
      <c r="D841" s="68">
        <v>5</v>
      </c>
      <c r="E841" s="69"/>
      <c r="F841" s="70">
        <v>20</v>
      </c>
      <c r="G841" s="67"/>
      <c r="H841" s="71"/>
      <c r="I841" s="72"/>
      <c r="J841" s="72"/>
      <c r="K841" s="34"/>
      <c r="L841" s="79">
        <v>841</v>
      </c>
      <c r="M841" s="79"/>
      <c r="N841" s="74"/>
      <c r="O841" s="81" t="s">
        <v>944</v>
      </c>
      <c r="P841">
        <v>1</v>
      </c>
      <c r="Q841" s="80" t="str">
        <f>REPLACE(INDEX(GroupVertices[Group],MATCH(Edges[[#This Row],[Vertex 1]],GroupVertices[Vertex],0)),1,1,"")</f>
        <v>1</v>
      </c>
      <c r="R841" s="80" t="e">
        <f>REPLACE(INDEX(GroupVertices[Group],MATCH(Edges[[#This Row],[Vertex 2]],GroupVertices[Vertex],0)),1,1,"")</f>
        <v>#N/A</v>
      </c>
      <c r="S841" s="34"/>
      <c r="T841" s="34"/>
      <c r="U841" s="34"/>
      <c r="V841" s="34"/>
      <c r="W841" s="34"/>
      <c r="X841" s="34"/>
      <c r="Y841" s="34"/>
      <c r="Z841" s="34"/>
      <c r="AA841" s="34"/>
    </row>
    <row r="842" spans="1:27" ht="15">
      <c r="A842" s="66" t="s">
        <v>248</v>
      </c>
      <c r="B842" s="66" t="s">
        <v>768</v>
      </c>
      <c r="C842" s="67" t="s">
        <v>4454</v>
      </c>
      <c r="D842" s="68">
        <v>5</v>
      </c>
      <c r="E842" s="69"/>
      <c r="F842" s="70">
        <v>20</v>
      </c>
      <c r="G842" s="67"/>
      <c r="H842" s="71"/>
      <c r="I842" s="72"/>
      <c r="J842" s="72"/>
      <c r="K842" s="34"/>
      <c r="L842" s="79">
        <v>842</v>
      </c>
      <c r="M842" s="79"/>
      <c r="N842" s="74"/>
      <c r="O842" s="81" t="s">
        <v>944</v>
      </c>
      <c r="P842">
        <v>1</v>
      </c>
      <c r="Q842" s="80" t="str">
        <f>REPLACE(INDEX(GroupVertices[Group],MATCH(Edges[[#This Row],[Vertex 1]],GroupVertices[Vertex],0)),1,1,"")</f>
        <v>1</v>
      </c>
      <c r="R842" s="80" t="e">
        <f>REPLACE(INDEX(GroupVertices[Group],MATCH(Edges[[#This Row],[Vertex 2]],GroupVertices[Vertex],0)),1,1,"")</f>
        <v>#N/A</v>
      </c>
      <c r="S842" s="34"/>
      <c r="T842" s="34"/>
      <c r="U842" s="34"/>
      <c r="V842" s="34"/>
      <c r="W842" s="34"/>
      <c r="X842" s="34"/>
      <c r="Y842" s="34"/>
      <c r="Z842" s="34"/>
      <c r="AA842" s="34"/>
    </row>
    <row r="843" spans="1:27" ht="15">
      <c r="A843" s="66" t="s">
        <v>248</v>
      </c>
      <c r="B843" s="66" t="s">
        <v>769</v>
      </c>
      <c r="C843" s="67" t="s">
        <v>4454</v>
      </c>
      <c r="D843" s="68">
        <v>5</v>
      </c>
      <c r="E843" s="69"/>
      <c r="F843" s="70">
        <v>20</v>
      </c>
      <c r="G843" s="67"/>
      <c r="H843" s="71"/>
      <c r="I843" s="72"/>
      <c r="J843" s="72"/>
      <c r="K843" s="34"/>
      <c r="L843" s="79">
        <v>843</v>
      </c>
      <c r="M843" s="79"/>
      <c r="N843" s="74"/>
      <c r="O843" s="81" t="s">
        <v>944</v>
      </c>
      <c r="P843">
        <v>1</v>
      </c>
      <c r="Q843" s="80" t="str">
        <f>REPLACE(INDEX(GroupVertices[Group],MATCH(Edges[[#This Row],[Vertex 1]],GroupVertices[Vertex],0)),1,1,"")</f>
        <v>1</v>
      </c>
      <c r="R843" s="80" t="e">
        <f>REPLACE(INDEX(GroupVertices[Group],MATCH(Edges[[#This Row],[Vertex 2]],GroupVertices[Vertex],0)),1,1,"")</f>
        <v>#N/A</v>
      </c>
      <c r="S843" s="34"/>
      <c r="T843" s="34"/>
      <c r="U843" s="34"/>
      <c r="V843" s="34"/>
      <c r="W843" s="34"/>
      <c r="X843" s="34"/>
      <c r="Y843" s="34"/>
      <c r="Z843" s="34"/>
      <c r="AA843" s="34"/>
    </row>
    <row r="844" spans="1:27" ht="15">
      <c r="A844" s="66" t="s">
        <v>248</v>
      </c>
      <c r="B844" s="66" t="s">
        <v>770</v>
      </c>
      <c r="C844" s="67" t="s">
        <v>4454</v>
      </c>
      <c r="D844" s="68">
        <v>5</v>
      </c>
      <c r="E844" s="69"/>
      <c r="F844" s="70">
        <v>20</v>
      </c>
      <c r="G844" s="67"/>
      <c r="H844" s="71"/>
      <c r="I844" s="72"/>
      <c r="J844" s="72"/>
      <c r="K844" s="34"/>
      <c r="L844" s="79">
        <v>844</v>
      </c>
      <c r="M844" s="79"/>
      <c r="N844" s="74"/>
      <c r="O844" s="81" t="s">
        <v>944</v>
      </c>
      <c r="P844">
        <v>1</v>
      </c>
      <c r="Q844" s="80" t="str">
        <f>REPLACE(INDEX(GroupVertices[Group],MATCH(Edges[[#This Row],[Vertex 1]],GroupVertices[Vertex],0)),1,1,"")</f>
        <v>1</v>
      </c>
      <c r="R844" s="80" t="e">
        <f>REPLACE(INDEX(GroupVertices[Group],MATCH(Edges[[#This Row],[Vertex 2]],GroupVertices[Vertex],0)),1,1,"")</f>
        <v>#N/A</v>
      </c>
      <c r="S844" s="34"/>
      <c r="T844" s="34"/>
      <c r="U844" s="34"/>
      <c r="V844" s="34"/>
      <c r="W844" s="34"/>
      <c r="X844" s="34"/>
      <c r="Y844" s="34"/>
      <c r="Z844" s="34"/>
      <c r="AA844" s="34"/>
    </row>
    <row r="845" spans="1:27" ht="15">
      <c r="A845" s="66" t="s">
        <v>248</v>
      </c>
      <c r="B845" s="66" t="s">
        <v>771</v>
      </c>
      <c r="C845" s="67" t="s">
        <v>4454</v>
      </c>
      <c r="D845" s="68">
        <v>5</v>
      </c>
      <c r="E845" s="69"/>
      <c r="F845" s="70">
        <v>20</v>
      </c>
      <c r="G845" s="67"/>
      <c r="H845" s="71"/>
      <c r="I845" s="72"/>
      <c r="J845" s="72"/>
      <c r="K845" s="34"/>
      <c r="L845" s="79">
        <v>845</v>
      </c>
      <c r="M845" s="79"/>
      <c r="N845" s="74"/>
      <c r="O845" s="81" t="s">
        <v>944</v>
      </c>
      <c r="P845">
        <v>1</v>
      </c>
      <c r="Q845" s="80" t="str">
        <f>REPLACE(INDEX(GroupVertices[Group],MATCH(Edges[[#This Row],[Vertex 1]],GroupVertices[Vertex],0)),1,1,"")</f>
        <v>1</v>
      </c>
      <c r="R845" s="80" t="e">
        <f>REPLACE(INDEX(GroupVertices[Group],MATCH(Edges[[#This Row],[Vertex 2]],GroupVertices[Vertex],0)),1,1,"")</f>
        <v>#N/A</v>
      </c>
      <c r="S845" s="34"/>
      <c r="T845" s="34"/>
      <c r="U845" s="34"/>
      <c r="V845" s="34"/>
      <c r="W845" s="34"/>
      <c r="X845" s="34"/>
      <c r="Y845" s="34"/>
      <c r="Z845" s="34"/>
      <c r="AA845" s="34"/>
    </row>
    <row r="846" spans="1:27" ht="15">
      <c r="A846" s="66" t="s">
        <v>249</v>
      </c>
      <c r="B846" s="66" t="s">
        <v>772</v>
      </c>
      <c r="C846" s="67" t="s">
        <v>4454</v>
      </c>
      <c r="D846" s="68">
        <v>5</v>
      </c>
      <c r="E846" s="69"/>
      <c r="F846" s="70">
        <v>20</v>
      </c>
      <c r="G846" s="67"/>
      <c r="H846" s="71"/>
      <c r="I846" s="72"/>
      <c r="J846" s="72"/>
      <c r="K846" s="34"/>
      <c r="L846" s="79">
        <v>846</v>
      </c>
      <c r="M846" s="79"/>
      <c r="N846" s="74"/>
      <c r="O846" s="81" t="s">
        <v>944</v>
      </c>
      <c r="P846">
        <v>1</v>
      </c>
      <c r="Q846" s="80" t="str">
        <f>REPLACE(INDEX(GroupVertices[Group],MATCH(Edges[[#This Row],[Vertex 1]],GroupVertices[Vertex],0)),1,1,"")</f>
        <v>2</v>
      </c>
      <c r="R846" s="80" t="e">
        <f>REPLACE(INDEX(GroupVertices[Group],MATCH(Edges[[#This Row],[Vertex 2]],GroupVertices[Vertex],0)),1,1,"")</f>
        <v>#N/A</v>
      </c>
      <c r="S846" s="34"/>
      <c r="T846" s="34"/>
      <c r="U846" s="34"/>
      <c r="V846" s="34"/>
      <c r="W846" s="34"/>
      <c r="X846" s="34"/>
      <c r="Y846" s="34"/>
      <c r="Z846" s="34"/>
      <c r="AA846" s="34"/>
    </row>
    <row r="847" spans="1:27" ht="15">
      <c r="A847" s="66" t="s">
        <v>215</v>
      </c>
      <c r="B847" s="66" t="s">
        <v>773</v>
      </c>
      <c r="C847" s="67" t="s">
        <v>4454</v>
      </c>
      <c r="D847" s="68">
        <v>5</v>
      </c>
      <c r="E847" s="69"/>
      <c r="F847" s="70">
        <v>20</v>
      </c>
      <c r="G847" s="67"/>
      <c r="H847" s="71"/>
      <c r="I847" s="72"/>
      <c r="J847" s="72"/>
      <c r="K847" s="34" t="s">
        <v>65</v>
      </c>
      <c r="L847" s="79">
        <v>847</v>
      </c>
      <c r="M847" s="79"/>
      <c r="N847" s="74"/>
      <c r="O847" s="81" t="s">
        <v>944</v>
      </c>
      <c r="P847">
        <v>1</v>
      </c>
      <c r="Q847" s="80" t="str">
        <f>REPLACE(INDEX(GroupVertices[Group],MATCH(Edges[[#This Row],[Vertex 1]],GroupVertices[Vertex],0)),1,1,"")</f>
        <v>3</v>
      </c>
      <c r="R847" s="80" t="str">
        <f>REPLACE(INDEX(GroupVertices[Group],MATCH(Edges[[#This Row],[Vertex 2]],GroupVertices[Vertex],0)),1,1,"")</f>
        <v>3</v>
      </c>
      <c r="S847" s="34"/>
      <c r="T847" s="34"/>
      <c r="U847" s="34"/>
      <c r="V847" s="34"/>
      <c r="W847" s="34"/>
      <c r="X847" s="34"/>
      <c r="Y847" s="34"/>
      <c r="Z847" s="34"/>
      <c r="AA847" s="34"/>
    </row>
    <row r="848" spans="1:27" ht="15">
      <c r="A848" s="66" t="s">
        <v>222</v>
      </c>
      <c r="B848" s="66" t="s">
        <v>773</v>
      </c>
      <c r="C848" s="67" t="s">
        <v>4454</v>
      </c>
      <c r="D848" s="68">
        <v>5</v>
      </c>
      <c r="E848" s="69"/>
      <c r="F848" s="70">
        <v>20</v>
      </c>
      <c r="G848" s="67"/>
      <c r="H848" s="71"/>
      <c r="I848" s="72"/>
      <c r="J848" s="72"/>
      <c r="K848" s="34" t="s">
        <v>65</v>
      </c>
      <c r="L848" s="79">
        <v>848</v>
      </c>
      <c r="M848" s="79"/>
      <c r="N848" s="74"/>
      <c r="O848" s="81" t="s">
        <v>944</v>
      </c>
      <c r="P848">
        <v>1</v>
      </c>
      <c r="Q848" s="80" t="str">
        <f>REPLACE(INDEX(GroupVertices[Group],MATCH(Edges[[#This Row],[Vertex 1]],GroupVertices[Vertex],0)),1,1,"")</f>
        <v>2</v>
      </c>
      <c r="R848" s="80" t="str">
        <f>REPLACE(INDEX(GroupVertices[Group],MATCH(Edges[[#This Row],[Vertex 2]],GroupVertices[Vertex],0)),1,1,"")</f>
        <v>3</v>
      </c>
      <c r="S848" s="34"/>
      <c r="T848" s="34"/>
      <c r="U848" s="34"/>
      <c r="V848" s="34"/>
      <c r="W848" s="34"/>
      <c r="X848" s="34"/>
      <c r="Y848" s="34"/>
      <c r="Z848" s="34"/>
      <c r="AA848" s="34"/>
    </row>
    <row r="849" spans="1:27" ht="15">
      <c r="A849" s="66" t="s">
        <v>223</v>
      </c>
      <c r="B849" s="66" t="s">
        <v>773</v>
      </c>
      <c r="C849" s="67" t="s">
        <v>4454</v>
      </c>
      <c r="D849" s="68">
        <v>5</v>
      </c>
      <c r="E849" s="69"/>
      <c r="F849" s="70">
        <v>20</v>
      </c>
      <c r="G849" s="67"/>
      <c r="H849" s="71"/>
      <c r="I849" s="72"/>
      <c r="J849" s="72"/>
      <c r="K849" s="34" t="s">
        <v>65</v>
      </c>
      <c r="L849" s="79">
        <v>849</v>
      </c>
      <c r="M849" s="79"/>
      <c r="N849" s="74"/>
      <c r="O849" s="81" t="s">
        <v>944</v>
      </c>
      <c r="P849">
        <v>1</v>
      </c>
      <c r="Q849" s="80" t="str">
        <f>REPLACE(INDEX(GroupVertices[Group],MATCH(Edges[[#This Row],[Vertex 1]],GroupVertices[Vertex],0)),1,1,"")</f>
        <v>3</v>
      </c>
      <c r="R849" s="80" t="str">
        <f>REPLACE(INDEX(GroupVertices[Group],MATCH(Edges[[#This Row],[Vertex 2]],GroupVertices[Vertex],0)),1,1,"")</f>
        <v>3</v>
      </c>
      <c r="S849" s="34"/>
      <c r="T849" s="34"/>
      <c r="U849" s="34"/>
      <c r="V849" s="34"/>
      <c r="W849" s="34"/>
      <c r="X849" s="34"/>
      <c r="Y849" s="34"/>
      <c r="Z849" s="34"/>
      <c r="AA849" s="34"/>
    </row>
    <row r="850" spans="1:27" ht="15">
      <c r="A850" s="66" t="s">
        <v>227</v>
      </c>
      <c r="B850" s="66" t="s">
        <v>773</v>
      </c>
      <c r="C850" s="67" t="s">
        <v>4454</v>
      </c>
      <c r="D850" s="68">
        <v>5</v>
      </c>
      <c r="E850" s="69"/>
      <c r="F850" s="70">
        <v>20</v>
      </c>
      <c r="G850" s="67"/>
      <c r="H850" s="71"/>
      <c r="I850" s="72"/>
      <c r="J850" s="72"/>
      <c r="K850" s="34" t="s">
        <v>65</v>
      </c>
      <c r="L850" s="79">
        <v>850</v>
      </c>
      <c r="M850" s="79"/>
      <c r="N850" s="74"/>
      <c r="O850" s="81" t="s">
        <v>944</v>
      </c>
      <c r="P850">
        <v>1</v>
      </c>
      <c r="Q850" s="80" t="str">
        <f>REPLACE(INDEX(GroupVertices[Group],MATCH(Edges[[#This Row],[Vertex 1]],GroupVertices[Vertex],0)),1,1,"")</f>
        <v>3</v>
      </c>
      <c r="R850" s="80" t="str">
        <f>REPLACE(INDEX(GroupVertices[Group],MATCH(Edges[[#This Row],[Vertex 2]],GroupVertices[Vertex],0)),1,1,"")</f>
        <v>3</v>
      </c>
      <c r="S850" s="34"/>
      <c r="T850" s="34"/>
      <c r="U850" s="34"/>
      <c r="V850" s="34"/>
      <c r="W850" s="34"/>
      <c r="X850" s="34"/>
      <c r="Y850" s="34"/>
      <c r="Z850" s="34"/>
      <c r="AA850" s="34"/>
    </row>
    <row r="851" spans="1:27" ht="15">
      <c r="A851" s="66" t="s">
        <v>228</v>
      </c>
      <c r="B851" s="66" t="s">
        <v>773</v>
      </c>
      <c r="C851" s="67" t="s">
        <v>4454</v>
      </c>
      <c r="D851" s="68">
        <v>5</v>
      </c>
      <c r="E851" s="69"/>
      <c r="F851" s="70">
        <v>20</v>
      </c>
      <c r="G851" s="67"/>
      <c r="H851" s="71"/>
      <c r="I851" s="72"/>
      <c r="J851" s="72"/>
      <c r="K851" s="34" t="s">
        <v>65</v>
      </c>
      <c r="L851" s="79">
        <v>851</v>
      </c>
      <c r="M851" s="79"/>
      <c r="N851" s="74"/>
      <c r="O851" s="81" t="s">
        <v>944</v>
      </c>
      <c r="P851">
        <v>1</v>
      </c>
      <c r="Q851" s="80" t="str">
        <f>REPLACE(INDEX(GroupVertices[Group],MATCH(Edges[[#This Row],[Vertex 1]],GroupVertices[Vertex],0)),1,1,"")</f>
        <v>3</v>
      </c>
      <c r="R851" s="80" t="str">
        <f>REPLACE(INDEX(GroupVertices[Group],MATCH(Edges[[#This Row],[Vertex 2]],GroupVertices[Vertex],0)),1,1,"")</f>
        <v>3</v>
      </c>
      <c r="S851" s="34"/>
      <c r="T851" s="34"/>
      <c r="U851" s="34"/>
      <c r="V851" s="34"/>
      <c r="W851" s="34"/>
      <c r="X851" s="34"/>
      <c r="Y851" s="34"/>
      <c r="Z851" s="34"/>
      <c r="AA851" s="34"/>
    </row>
    <row r="852" spans="1:27" ht="15">
      <c r="A852" s="66" t="s">
        <v>233</v>
      </c>
      <c r="B852" s="66" t="s">
        <v>773</v>
      </c>
      <c r="C852" s="67" t="s">
        <v>4454</v>
      </c>
      <c r="D852" s="68">
        <v>5</v>
      </c>
      <c r="E852" s="69"/>
      <c r="F852" s="70">
        <v>20</v>
      </c>
      <c r="G852" s="67"/>
      <c r="H852" s="71"/>
      <c r="I852" s="72"/>
      <c r="J852" s="72"/>
      <c r="K852" s="34" t="s">
        <v>65</v>
      </c>
      <c r="L852" s="79">
        <v>852</v>
      </c>
      <c r="M852" s="79"/>
      <c r="N852" s="74"/>
      <c r="O852" s="81" t="s">
        <v>944</v>
      </c>
      <c r="P852">
        <v>1</v>
      </c>
      <c r="Q852" s="80" t="str">
        <f>REPLACE(INDEX(GroupVertices[Group],MATCH(Edges[[#This Row],[Vertex 1]],GroupVertices[Vertex],0)),1,1,"")</f>
        <v>2</v>
      </c>
      <c r="R852" s="80" t="str">
        <f>REPLACE(INDEX(GroupVertices[Group],MATCH(Edges[[#This Row],[Vertex 2]],GroupVertices[Vertex],0)),1,1,"")</f>
        <v>3</v>
      </c>
      <c r="S852" s="34"/>
      <c r="T852" s="34"/>
      <c r="U852" s="34"/>
      <c r="V852" s="34"/>
      <c r="W852" s="34"/>
      <c r="X852" s="34"/>
      <c r="Y852" s="34"/>
      <c r="Z852" s="34"/>
      <c r="AA852" s="34"/>
    </row>
    <row r="853" spans="1:27" ht="15">
      <c r="A853" s="66" t="s">
        <v>239</v>
      </c>
      <c r="B853" s="66" t="s">
        <v>773</v>
      </c>
      <c r="C853" s="67" t="s">
        <v>4454</v>
      </c>
      <c r="D853" s="68">
        <v>5</v>
      </c>
      <c r="E853" s="69"/>
      <c r="F853" s="70">
        <v>20</v>
      </c>
      <c r="G853" s="67"/>
      <c r="H853" s="71"/>
      <c r="I853" s="72"/>
      <c r="J853" s="72"/>
      <c r="K853" s="34" t="s">
        <v>65</v>
      </c>
      <c r="L853" s="79">
        <v>853</v>
      </c>
      <c r="M853" s="79"/>
      <c r="N853" s="74"/>
      <c r="O853" s="81" t="s">
        <v>944</v>
      </c>
      <c r="P853">
        <v>1</v>
      </c>
      <c r="Q853" s="80" t="str">
        <f>REPLACE(INDEX(GroupVertices[Group],MATCH(Edges[[#This Row],[Vertex 1]],GroupVertices[Vertex],0)),1,1,"")</f>
        <v>3</v>
      </c>
      <c r="R853" s="80" t="str">
        <f>REPLACE(INDEX(GroupVertices[Group],MATCH(Edges[[#This Row],[Vertex 2]],GroupVertices[Vertex],0)),1,1,"")</f>
        <v>3</v>
      </c>
      <c r="S853" s="34"/>
      <c r="T853" s="34"/>
      <c r="U853" s="34"/>
      <c r="V853" s="34"/>
      <c r="W853" s="34"/>
      <c r="X853" s="34"/>
      <c r="Y853" s="34"/>
      <c r="Z853" s="34"/>
      <c r="AA853" s="34"/>
    </row>
    <row r="854" spans="1:27" ht="15">
      <c r="A854" s="66" t="s">
        <v>246</v>
      </c>
      <c r="B854" s="66" t="s">
        <v>773</v>
      </c>
      <c r="C854" s="67" t="s">
        <v>4454</v>
      </c>
      <c r="D854" s="68">
        <v>5</v>
      </c>
      <c r="E854" s="69"/>
      <c r="F854" s="70">
        <v>20</v>
      </c>
      <c r="G854" s="67"/>
      <c r="H854" s="71"/>
      <c r="I854" s="72"/>
      <c r="J854" s="72"/>
      <c r="K854" s="34" t="s">
        <v>65</v>
      </c>
      <c r="L854" s="79">
        <v>854</v>
      </c>
      <c r="M854" s="79"/>
      <c r="N854" s="74"/>
      <c r="O854" s="81" t="s">
        <v>944</v>
      </c>
      <c r="P854">
        <v>1</v>
      </c>
      <c r="Q854" s="80" t="str">
        <f>REPLACE(INDEX(GroupVertices[Group],MATCH(Edges[[#This Row],[Vertex 1]],GroupVertices[Vertex],0)),1,1,"")</f>
        <v>2</v>
      </c>
      <c r="R854" s="80" t="str">
        <f>REPLACE(INDEX(GroupVertices[Group],MATCH(Edges[[#This Row],[Vertex 2]],GroupVertices[Vertex],0)),1,1,"")</f>
        <v>3</v>
      </c>
      <c r="S854" s="34"/>
      <c r="T854" s="34"/>
      <c r="U854" s="34"/>
      <c r="V854" s="34"/>
      <c r="W854" s="34"/>
      <c r="X854" s="34"/>
      <c r="Y854" s="34"/>
      <c r="Z854" s="34"/>
      <c r="AA854" s="34"/>
    </row>
    <row r="855" spans="1:27" ht="15">
      <c r="A855" s="66" t="s">
        <v>249</v>
      </c>
      <c r="B855" s="66" t="s">
        <v>773</v>
      </c>
      <c r="C855" s="67" t="s">
        <v>4454</v>
      </c>
      <c r="D855" s="68">
        <v>5</v>
      </c>
      <c r="E855" s="69"/>
      <c r="F855" s="70">
        <v>20</v>
      </c>
      <c r="G855" s="67"/>
      <c r="H855" s="71"/>
      <c r="I855" s="72"/>
      <c r="J855" s="72"/>
      <c r="K855" s="34" t="s">
        <v>65</v>
      </c>
      <c r="L855" s="79">
        <v>855</v>
      </c>
      <c r="M855" s="79"/>
      <c r="N855" s="74"/>
      <c r="O855" s="81" t="s">
        <v>944</v>
      </c>
      <c r="P855">
        <v>1</v>
      </c>
      <c r="Q855" s="80" t="str">
        <f>REPLACE(INDEX(GroupVertices[Group],MATCH(Edges[[#This Row],[Vertex 1]],GroupVertices[Vertex],0)),1,1,"")</f>
        <v>2</v>
      </c>
      <c r="R855" s="80" t="str">
        <f>REPLACE(INDEX(GroupVertices[Group],MATCH(Edges[[#This Row],[Vertex 2]],GroupVertices[Vertex],0)),1,1,"")</f>
        <v>3</v>
      </c>
      <c r="S855" s="34"/>
      <c r="T855" s="34"/>
      <c r="U855" s="34"/>
      <c r="V855" s="34"/>
      <c r="W855" s="34"/>
      <c r="X855" s="34"/>
      <c r="Y855" s="34"/>
      <c r="Z855" s="34"/>
      <c r="AA855" s="34"/>
    </row>
    <row r="856" spans="1:27" ht="15">
      <c r="A856" s="66" t="s">
        <v>220</v>
      </c>
      <c r="B856" s="66" t="s">
        <v>774</v>
      </c>
      <c r="C856" s="67" t="s">
        <v>4454</v>
      </c>
      <c r="D856" s="68">
        <v>5</v>
      </c>
      <c r="E856" s="69"/>
      <c r="F856" s="70">
        <v>20</v>
      </c>
      <c r="G856" s="67"/>
      <c r="H856" s="71"/>
      <c r="I856" s="72"/>
      <c r="J856" s="72"/>
      <c r="K856" s="34" t="s">
        <v>65</v>
      </c>
      <c r="L856" s="79">
        <v>856</v>
      </c>
      <c r="M856" s="79"/>
      <c r="N856" s="74"/>
      <c r="O856" s="81" t="s">
        <v>944</v>
      </c>
      <c r="P856">
        <v>1</v>
      </c>
      <c r="Q856" s="80" t="str">
        <f>REPLACE(INDEX(GroupVertices[Group],MATCH(Edges[[#This Row],[Vertex 1]],GroupVertices[Vertex],0)),1,1,"")</f>
        <v>2</v>
      </c>
      <c r="R856" s="80" t="str">
        <f>REPLACE(INDEX(GroupVertices[Group],MATCH(Edges[[#This Row],[Vertex 2]],GroupVertices[Vertex],0)),1,1,"")</f>
        <v>2</v>
      </c>
      <c r="S856" s="34"/>
      <c r="T856" s="34"/>
      <c r="U856" s="34"/>
      <c r="V856" s="34"/>
      <c r="W856" s="34"/>
      <c r="X856" s="34"/>
      <c r="Y856" s="34"/>
      <c r="Z856" s="34"/>
      <c r="AA856" s="34"/>
    </row>
    <row r="857" spans="1:27" ht="15">
      <c r="A857" s="66" t="s">
        <v>238</v>
      </c>
      <c r="B857" s="66" t="s">
        <v>774</v>
      </c>
      <c r="C857" s="67" t="s">
        <v>4454</v>
      </c>
      <c r="D857" s="68">
        <v>5</v>
      </c>
      <c r="E857" s="69"/>
      <c r="F857" s="70">
        <v>20</v>
      </c>
      <c r="G857" s="67"/>
      <c r="H857" s="71"/>
      <c r="I857" s="72"/>
      <c r="J857" s="72"/>
      <c r="K857" s="34" t="s">
        <v>65</v>
      </c>
      <c r="L857" s="79">
        <v>857</v>
      </c>
      <c r="M857" s="79"/>
      <c r="N857" s="74"/>
      <c r="O857" s="81" t="s">
        <v>944</v>
      </c>
      <c r="P857">
        <v>1</v>
      </c>
      <c r="Q857" s="80" t="str">
        <f>REPLACE(INDEX(GroupVertices[Group],MATCH(Edges[[#This Row],[Vertex 1]],GroupVertices[Vertex],0)),1,1,"")</f>
        <v>2</v>
      </c>
      <c r="R857" s="80" t="str">
        <f>REPLACE(INDEX(GroupVertices[Group],MATCH(Edges[[#This Row],[Vertex 2]],GroupVertices[Vertex],0)),1,1,"")</f>
        <v>2</v>
      </c>
      <c r="S857" s="34"/>
      <c r="T857" s="34"/>
      <c r="U857" s="34"/>
      <c r="V857" s="34"/>
      <c r="W857" s="34"/>
      <c r="X857" s="34"/>
      <c r="Y857" s="34"/>
      <c r="Z857" s="34"/>
      <c r="AA857" s="34"/>
    </row>
    <row r="858" spans="1:27" ht="15">
      <c r="A858" s="66" t="s">
        <v>241</v>
      </c>
      <c r="B858" s="66" t="s">
        <v>774</v>
      </c>
      <c r="C858" s="67" t="s">
        <v>4454</v>
      </c>
      <c r="D858" s="68">
        <v>5</v>
      </c>
      <c r="E858" s="69"/>
      <c r="F858" s="70">
        <v>20</v>
      </c>
      <c r="G858" s="67"/>
      <c r="H858" s="71"/>
      <c r="I858" s="72"/>
      <c r="J858" s="72"/>
      <c r="K858" s="34" t="s">
        <v>65</v>
      </c>
      <c r="L858" s="79">
        <v>858</v>
      </c>
      <c r="M858" s="79"/>
      <c r="N858" s="74"/>
      <c r="O858" s="81" t="s">
        <v>944</v>
      </c>
      <c r="P858">
        <v>1</v>
      </c>
      <c r="Q858" s="80" t="str">
        <f>REPLACE(INDEX(GroupVertices[Group],MATCH(Edges[[#This Row],[Vertex 1]],GroupVertices[Vertex],0)),1,1,"")</f>
        <v>2</v>
      </c>
      <c r="R858" s="80" t="str">
        <f>REPLACE(INDEX(GroupVertices[Group],MATCH(Edges[[#This Row],[Vertex 2]],GroupVertices[Vertex],0)),1,1,"")</f>
        <v>2</v>
      </c>
      <c r="S858" s="34"/>
      <c r="T858" s="34"/>
      <c r="U858" s="34"/>
      <c r="V858" s="34"/>
      <c r="W858" s="34"/>
      <c r="X858" s="34"/>
      <c r="Y858" s="34"/>
      <c r="Z858" s="34"/>
      <c r="AA858" s="34"/>
    </row>
    <row r="859" spans="1:27" ht="15">
      <c r="A859" s="66" t="s">
        <v>244</v>
      </c>
      <c r="B859" s="66" t="s">
        <v>774</v>
      </c>
      <c r="C859" s="67" t="s">
        <v>4454</v>
      </c>
      <c r="D859" s="68">
        <v>5</v>
      </c>
      <c r="E859" s="69"/>
      <c r="F859" s="70">
        <v>20</v>
      </c>
      <c r="G859" s="67"/>
      <c r="H859" s="71"/>
      <c r="I859" s="72"/>
      <c r="J859" s="72"/>
      <c r="K859" s="34" t="s">
        <v>65</v>
      </c>
      <c r="L859" s="79">
        <v>859</v>
      </c>
      <c r="M859" s="79"/>
      <c r="N859" s="74"/>
      <c r="O859" s="81" t="s">
        <v>944</v>
      </c>
      <c r="P859">
        <v>1</v>
      </c>
      <c r="Q859" s="80" t="str">
        <f>REPLACE(INDEX(GroupVertices[Group],MATCH(Edges[[#This Row],[Vertex 1]],GroupVertices[Vertex],0)),1,1,"")</f>
        <v>2</v>
      </c>
      <c r="R859" s="80" t="str">
        <f>REPLACE(INDEX(GroupVertices[Group],MATCH(Edges[[#This Row],[Vertex 2]],GroupVertices[Vertex],0)),1,1,"")</f>
        <v>2</v>
      </c>
      <c r="S859" s="34"/>
      <c r="T859" s="34"/>
      <c r="U859" s="34"/>
      <c r="V859" s="34"/>
      <c r="W859" s="34"/>
      <c r="X859" s="34"/>
      <c r="Y859" s="34"/>
      <c r="Z859" s="34"/>
      <c r="AA859" s="34"/>
    </row>
    <row r="860" spans="1:27" ht="15">
      <c r="A860" s="66" t="s">
        <v>246</v>
      </c>
      <c r="B860" s="66" t="s">
        <v>774</v>
      </c>
      <c r="C860" s="67" t="s">
        <v>4454</v>
      </c>
      <c r="D860" s="68">
        <v>5</v>
      </c>
      <c r="E860" s="69"/>
      <c r="F860" s="70">
        <v>20</v>
      </c>
      <c r="G860" s="67"/>
      <c r="H860" s="71"/>
      <c r="I860" s="72"/>
      <c r="J860" s="72"/>
      <c r="K860" s="34" t="s">
        <v>65</v>
      </c>
      <c r="L860" s="79">
        <v>860</v>
      </c>
      <c r="M860" s="79"/>
      <c r="N860" s="74"/>
      <c r="O860" s="81" t="s">
        <v>944</v>
      </c>
      <c r="P860">
        <v>1</v>
      </c>
      <c r="Q860" s="80" t="str">
        <f>REPLACE(INDEX(GroupVertices[Group],MATCH(Edges[[#This Row],[Vertex 1]],GroupVertices[Vertex],0)),1,1,"")</f>
        <v>2</v>
      </c>
      <c r="R860" s="80" t="str">
        <f>REPLACE(INDEX(GroupVertices[Group],MATCH(Edges[[#This Row],[Vertex 2]],GroupVertices[Vertex],0)),1,1,"")</f>
        <v>2</v>
      </c>
      <c r="S860" s="34"/>
      <c r="T860" s="34"/>
      <c r="U860" s="34"/>
      <c r="V860" s="34"/>
      <c r="W860" s="34"/>
      <c r="X860" s="34"/>
      <c r="Y860" s="34"/>
      <c r="Z860" s="34"/>
      <c r="AA860" s="34"/>
    </row>
    <row r="861" spans="1:27" ht="15">
      <c r="A861" s="66" t="s">
        <v>249</v>
      </c>
      <c r="B861" s="66" t="s">
        <v>774</v>
      </c>
      <c r="C861" s="67" t="s">
        <v>4454</v>
      </c>
      <c r="D861" s="68">
        <v>5</v>
      </c>
      <c r="E861" s="69"/>
      <c r="F861" s="70">
        <v>20</v>
      </c>
      <c r="G861" s="67"/>
      <c r="H861" s="71"/>
      <c r="I861" s="72"/>
      <c r="J861" s="72"/>
      <c r="K861" s="34" t="s">
        <v>65</v>
      </c>
      <c r="L861" s="79">
        <v>861</v>
      </c>
      <c r="M861" s="79"/>
      <c r="N861" s="74"/>
      <c r="O861" s="81" t="s">
        <v>944</v>
      </c>
      <c r="P861">
        <v>1</v>
      </c>
      <c r="Q861" s="80" t="str">
        <f>REPLACE(INDEX(GroupVertices[Group],MATCH(Edges[[#This Row],[Vertex 1]],GroupVertices[Vertex],0)),1,1,"")</f>
        <v>2</v>
      </c>
      <c r="R861" s="80" t="str">
        <f>REPLACE(INDEX(GroupVertices[Group],MATCH(Edges[[#This Row],[Vertex 2]],GroupVertices[Vertex],0)),1,1,"")</f>
        <v>2</v>
      </c>
      <c r="S861" s="34"/>
      <c r="T861" s="34"/>
      <c r="U861" s="34"/>
      <c r="V861" s="34"/>
      <c r="W861" s="34"/>
      <c r="X861" s="34"/>
      <c r="Y861" s="34"/>
      <c r="Z861" s="34"/>
      <c r="AA861" s="34"/>
    </row>
    <row r="862" spans="1:27" ht="15">
      <c r="A862" s="66" t="s">
        <v>250</v>
      </c>
      <c r="B862" s="66" t="s">
        <v>775</v>
      </c>
      <c r="C862" s="67" t="s">
        <v>4454</v>
      </c>
      <c r="D862" s="68">
        <v>5</v>
      </c>
      <c r="E862" s="69"/>
      <c r="F862" s="70">
        <v>20</v>
      </c>
      <c r="G862" s="67"/>
      <c r="H862" s="71"/>
      <c r="I862" s="72"/>
      <c r="J862" s="72"/>
      <c r="K862" s="34"/>
      <c r="L862" s="79">
        <v>862</v>
      </c>
      <c r="M862" s="79"/>
      <c r="N862" s="74"/>
      <c r="O862" s="81" t="s">
        <v>944</v>
      </c>
      <c r="P862">
        <v>1</v>
      </c>
      <c r="Q862" s="80" t="str">
        <f>REPLACE(INDEX(GroupVertices[Group],MATCH(Edges[[#This Row],[Vertex 1]],GroupVertices[Vertex],0)),1,1,"")</f>
        <v>2</v>
      </c>
      <c r="R862" s="80" t="e">
        <f>REPLACE(INDEX(GroupVertices[Group],MATCH(Edges[[#This Row],[Vertex 2]],GroupVertices[Vertex],0)),1,1,"")</f>
        <v>#N/A</v>
      </c>
      <c r="S862" s="34"/>
      <c r="T862" s="34"/>
      <c r="U862" s="34"/>
      <c r="V862" s="34"/>
      <c r="W862" s="34"/>
      <c r="X862" s="34"/>
      <c r="Y862" s="34"/>
      <c r="Z862" s="34"/>
      <c r="AA862" s="34"/>
    </row>
    <row r="863" spans="1:27" ht="15">
      <c r="A863" s="66" t="s">
        <v>250</v>
      </c>
      <c r="B863" s="66" t="s">
        <v>776</v>
      </c>
      <c r="C863" s="67" t="s">
        <v>4454</v>
      </c>
      <c r="D863" s="68">
        <v>5</v>
      </c>
      <c r="E863" s="69"/>
      <c r="F863" s="70">
        <v>20</v>
      </c>
      <c r="G863" s="67"/>
      <c r="H863" s="71"/>
      <c r="I863" s="72"/>
      <c r="J863" s="72"/>
      <c r="K863" s="34"/>
      <c r="L863" s="79">
        <v>863</v>
      </c>
      <c r="M863" s="79"/>
      <c r="N863" s="74"/>
      <c r="O863" s="81" t="s">
        <v>944</v>
      </c>
      <c r="P863">
        <v>1</v>
      </c>
      <c r="Q863" s="80" t="str">
        <f>REPLACE(INDEX(GroupVertices[Group],MATCH(Edges[[#This Row],[Vertex 1]],GroupVertices[Vertex],0)),1,1,"")</f>
        <v>2</v>
      </c>
      <c r="R863" s="80" t="e">
        <f>REPLACE(INDEX(GroupVertices[Group],MATCH(Edges[[#This Row],[Vertex 2]],GroupVertices[Vertex],0)),1,1,"")</f>
        <v>#N/A</v>
      </c>
      <c r="S863" s="34"/>
      <c r="T863" s="34"/>
      <c r="U863" s="34"/>
      <c r="V863" s="34"/>
      <c r="W863" s="34"/>
      <c r="X863" s="34"/>
      <c r="Y863" s="34"/>
      <c r="Z863" s="34"/>
      <c r="AA863" s="34"/>
    </row>
    <row r="864" spans="1:27" ht="15">
      <c r="A864" s="66" t="s">
        <v>224</v>
      </c>
      <c r="B864" s="66" t="s">
        <v>672</v>
      </c>
      <c r="C864" s="67" t="s">
        <v>4454</v>
      </c>
      <c r="D864" s="68">
        <v>5</v>
      </c>
      <c r="E864" s="69"/>
      <c r="F864" s="70">
        <v>20</v>
      </c>
      <c r="G864" s="67"/>
      <c r="H864" s="71"/>
      <c r="I864" s="72"/>
      <c r="J864" s="72"/>
      <c r="K864" s="34" t="s">
        <v>65</v>
      </c>
      <c r="L864" s="79">
        <v>864</v>
      </c>
      <c r="M864" s="79"/>
      <c r="N864" s="74"/>
      <c r="O864" s="81" t="s">
        <v>944</v>
      </c>
      <c r="P864">
        <v>1</v>
      </c>
      <c r="Q864" s="80" t="str">
        <f>REPLACE(INDEX(GroupVertices[Group],MATCH(Edges[[#This Row],[Vertex 1]],GroupVertices[Vertex],0)),1,1,"")</f>
        <v>2</v>
      </c>
      <c r="R864" s="80" t="str">
        <f>REPLACE(INDEX(GroupVertices[Group],MATCH(Edges[[#This Row],[Vertex 2]],GroupVertices[Vertex],0)),1,1,"")</f>
        <v>2</v>
      </c>
      <c r="S864" s="34"/>
      <c r="T864" s="34"/>
      <c r="U864" s="34"/>
      <c r="V864" s="34"/>
      <c r="W864" s="34"/>
      <c r="X864" s="34"/>
      <c r="Y864" s="34"/>
      <c r="Z864" s="34"/>
      <c r="AA864" s="34"/>
    </row>
    <row r="865" spans="1:27" ht="15">
      <c r="A865" s="66" t="s">
        <v>250</v>
      </c>
      <c r="B865" s="66" t="s">
        <v>672</v>
      </c>
      <c r="C865" s="67" t="s">
        <v>4454</v>
      </c>
      <c r="D865" s="68">
        <v>5</v>
      </c>
      <c r="E865" s="69"/>
      <c r="F865" s="70">
        <v>20</v>
      </c>
      <c r="G865" s="67"/>
      <c r="H865" s="71"/>
      <c r="I865" s="72"/>
      <c r="J865" s="72"/>
      <c r="K865" s="34" t="s">
        <v>65</v>
      </c>
      <c r="L865" s="79">
        <v>865</v>
      </c>
      <c r="M865" s="79"/>
      <c r="N865" s="74"/>
      <c r="O865" s="81" t="s">
        <v>944</v>
      </c>
      <c r="P865">
        <v>1</v>
      </c>
      <c r="Q865" s="80" t="str">
        <f>REPLACE(INDEX(GroupVertices[Group],MATCH(Edges[[#This Row],[Vertex 1]],GroupVertices[Vertex],0)),1,1,"")</f>
        <v>2</v>
      </c>
      <c r="R865" s="80" t="str">
        <f>REPLACE(INDEX(GroupVertices[Group],MATCH(Edges[[#This Row],[Vertex 2]],GroupVertices[Vertex],0)),1,1,"")</f>
        <v>2</v>
      </c>
      <c r="S865" s="34"/>
      <c r="T865" s="34"/>
      <c r="U865" s="34"/>
      <c r="V865" s="34"/>
      <c r="W865" s="34"/>
      <c r="X865" s="34"/>
      <c r="Y865" s="34"/>
      <c r="Z865" s="34"/>
      <c r="AA865" s="34"/>
    </row>
    <row r="866" spans="1:27" ht="15">
      <c r="A866" s="66" t="s">
        <v>213</v>
      </c>
      <c r="B866" s="66" t="s">
        <v>777</v>
      </c>
      <c r="C866" s="67" t="s">
        <v>4454</v>
      </c>
      <c r="D866" s="68">
        <v>5</v>
      </c>
      <c r="E866" s="69"/>
      <c r="F866" s="70">
        <v>20</v>
      </c>
      <c r="G866" s="67"/>
      <c r="H866" s="71"/>
      <c r="I866" s="72"/>
      <c r="J866" s="72"/>
      <c r="K866" s="34" t="s">
        <v>65</v>
      </c>
      <c r="L866" s="79">
        <v>866</v>
      </c>
      <c r="M866" s="79"/>
      <c r="N866" s="74"/>
      <c r="O866" s="81" t="s">
        <v>944</v>
      </c>
      <c r="P866">
        <v>1</v>
      </c>
      <c r="Q866" s="80" t="str">
        <f>REPLACE(INDEX(GroupVertices[Group],MATCH(Edges[[#This Row],[Vertex 1]],GroupVertices[Vertex],0)),1,1,"")</f>
        <v>2</v>
      </c>
      <c r="R866" s="80" t="str">
        <f>REPLACE(INDEX(GroupVertices[Group],MATCH(Edges[[#This Row],[Vertex 2]],GroupVertices[Vertex],0)),1,1,"")</f>
        <v>2</v>
      </c>
      <c r="S866" s="34"/>
      <c r="T866" s="34"/>
      <c r="U866" s="34"/>
      <c r="V866" s="34"/>
      <c r="W866" s="34"/>
      <c r="X866" s="34"/>
      <c r="Y866" s="34"/>
      <c r="Z866" s="34"/>
      <c r="AA866" s="34"/>
    </row>
    <row r="867" spans="1:27" ht="15">
      <c r="A867" s="66" t="s">
        <v>241</v>
      </c>
      <c r="B867" s="66" t="s">
        <v>777</v>
      </c>
      <c r="C867" s="67" t="s">
        <v>4454</v>
      </c>
      <c r="D867" s="68">
        <v>5</v>
      </c>
      <c r="E867" s="69"/>
      <c r="F867" s="70">
        <v>20</v>
      </c>
      <c r="G867" s="67"/>
      <c r="H867" s="71"/>
      <c r="I867" s="72"/>
      <c r="J867" s="72"/>
      <c r="K867" s="34" t="s">
        <v>65</v>
      </c>
      <c r="L867" s="79">
        <v>867</v>
      </c>
      <c r="M867" s="79"/>
      <c r="N867" s="74"/>
      <c r="O867" s="81" t="s">
        <v>944</v>
      </c>
      <c r="P867">
        <v>1</v>
      </c>
      <c r="Q867" s="80" t="str">
        <f>REPLACE(INDEX(GroupVertices[Group],MATCH(Edges[[#This Row],[Vertex 1]],GroupVertices[Vertex],0)),1,1,"")</f>
        <v>2</v>
      </c>
      <c r="R867" s="80" t="str">
        <f>REPLACE(INDEX(GroupVertices[Group],MATCH(Edges[[#This Row],[Vertex 2]],GroupVertices[Vertex],0)),1,1,"")</f>
        <v>2</v>
      </c>
      <c r="S867" s="34"/>
      <c r="T867" s="34"/>
      <c r="U867" s="34"/>
      <c r="V867" s="34"/>
      <c r="W867" s="34"/>
      <c r="X867" s="34"/>
      <c r="Y867" s="34"/>
      <c r="Z867" s="34"/>
      <c r="AA867" s="34"/>
    </row>
    <row r="868" spans="1:27" ht="15">
      <c r="A868" s="66" t="s">
        <v>250</v>
      </c>
      <c r="B868" s="66" t="s">
        <v>777</v>
      </c>
      <c r="C868" s="67" t="s">
        <v>4454</v>
      </c>
      <c r="D868" s="68">
        <v>5</v>
      </c>
      <c r="E868" s="69"/>
      <c r="F868" s="70">
        <v>20</v>
      </c>
      <c r="G868" s="67"/>
      <c r="H868" s="71"/>
      <c r="I868" s="72"/>
      <c r="J868" s="72"/>
      <c r="K868" s="34" t="s">
        <v>65</v>
      </c>
      <c r="L868" s="79">
        <v>868</v>
      </c>
      <c r="M868" s="79"/>
      <c r="N868" s="74"/>
      <c r="O868" s="81" t="s">
        <v>944</v>
      </c>
      <c r="P868">
        <v>1</v>
      </c>
      <c r="Q868" s="80" t="str">
        <f>REPLACE(INDEX(GroupVertices[Group],MATCH(Edges[[#This Row],[Vertex 1]],GroupVertices[Vertex],0)),1,1,"")</f>
        <v>2</v>
      </c>
      <c r="R868" s="80" t="str">
        <f>REPLACE(INDEX(GroupVertices[Group],MATCH(Edges[[#This Row],[Vertex 2]],GroupVertices[Vertex],0)),1,1,"")</f>
        <v>2</v>
      </c>
      <c r="S868" s="34"/>
      <c r="T868" s="34"/>
      <c r="U868" s="34"/>
      <c r="V868" s="34"/>
      <c r="W868" s="34"/>
      <c r="X868" s="34"/>
      <c r="Y868" s="34"/>
      <c r="Z868" s="34"/>
      <c r="AA868" s="34"/>
    </row>
    <row r="869" spans="1:27" ht="15">
      <c r="A869" s="66" t="s">
        <v>250</v>
      </c>
      <c r="B869" s="66" t="s">
        <v>778</v>
      </c>
      <c r="C869" s="67" t="s">
        <v>4454</v>
      </c>
      <c r="D869" s="68">
        <v>5</v>
      </c>
      <c r="E869" s="69"/>
      <c r="F869" s="70">
        <v>20</v>
      </c>
      <c r="G869" s="67"/>
      <c r="H869" s="71"/>
      <c r="I869" s="72"/>
      <c r="J869" s="72"/>
      <c r="K869" s="34"/>
      <c r="L869" s="79">
        <v>869</v>
      </c>
      <c r="M869" s="79"/>
      <c r="N869" s="74"/>
      <c r="O869" s="81" t="s">
        <v>944</v>
      </c>
      <c r="P869">
        <v>1</v>
      </c>
      <c r="Q869" s="80" t="str">
        <f>REPLACE(INDEX(GroupVertices[Group],MATCH(Edges[[#This Row],[Vertex 1]],GroupVertices[Vertex],0)),1,1,"")</f>
        <v>2</v>
      </c>
      <c r="R869" s="80" t="e">
        <f>REPLACE(INDEX(GroupVertices[Group],MATCH(Edges[[#This Row],[Vertex 2]],GroupVertices[Vertex],0)),1,1,"")</f>
        <v>#N/A</v>
      </c>
      <c r="S869" s="34"/>
      <c r="T869" s="34"/>
      <c r="U869" s="34"/>
      <c r="V869" s="34"/>
      <c r="W869" s="34"/>
      <c r="X869" s="34"/>
      <c r="Y869" s="34"/>
      <c r="Z869" s="34"/>
      <c r="AA869" s="34"/>
    </row>
    <row r="870" spans="1:27" ht="15">
      <c r="A870" s="66" t="s">
        <v>215</v>
      </c>
      <c r="B870" s="66" t="s">
        <v>779</v>
      </c>
      <c r="C870" s="67" t="s">
        <v>4454</v>
      </c>
      <c r="D870" s="68">
        <v>5</v>
      </c>
      <c r="E870" s="69"/>
      <c r="F870" s="70">
        <v>20</v>
      </c>
      <c r="G870" s="67"/>
      <c r="H870" s="71"/>
      <c r="I870" s="72"/>
      <c r="J870" s="72"/>
      <c r="K870" s="34" t="s">
        <v>65</v>
      </c>
      <c r="L870" s="79">
        <v>870</v>
      </c>
      <c r="M870" s="79"/>
      <c r="N870" s="74"/>
      <c r="O870" s="81" t="s">
        <v>944</v>
      </c>
      <c r="P870">
        <v>1</v>
      </c>
      <c r="Q870" s="80" t="str">
        <f>REPLACE(INDEX(GroupVertices[Group],MATCH(Edges[[#This Row],[Vertex 1]],GroupVertices[Vertex],0)),1,1,"")</f>
        <v>3</v>
      </c>
      <c r="R870" s="80" t="str">
        <f>REPLACE(INDEX(GroupVertices[Group],MATCH(Edges[[#This Row],[Vertex 2]],GroupVertices[Vertex],0)),1,1,"")</f>
        <v>3</v>
      </c>
      <c r="S870" s="34"/>
      <c r="T870" s="34"/>
      <c r="U870" s="34"/>
      <c r="V870" s="34"/>
      <c r="W870" s="34"/>
      <c r="X870" s="34"/>
      <c r="Y870" s="34"/>
      <c r="Z870" s="34"/>
      <c r="AA870" s="34"/>
    </row>
    <row r="871" spans="1:27" ht="15">
      <c r="A871" s="66" t="s">
        <v>222</v>
      </c>
      <c r="B871" s="66" t="s">
        <v>779</v>
      </c>
      <c r="C871" s="67" t="s">
        <v>4454</v>
      </c>
      <c r="D871" s="68">
        <v>5</v>
      </c>
      <c r="E871" s="69"/>
      <c r="F871" s="70">
        <v>20</v>
      </c>
      <c r="G871" s="67"/>
      <c r="H871" s="71"/>
      <c r="I871" s="72"/>
      <c r="J871" s="72"/>
      <c r="K871" s="34" t="s">
        <v>65</v>
      </c>
      <c r="L871" s="79">
        <v>871</v>
      </c>
      <c r="M871" s="79"/>
      <c r="N871" s="74"/>
      <c r="O871" s="81" t="s">
        <v>944</v>
      </c>
      <c r="P871">
        <v>1</v>
      </c>
      <c r="Q871" s="80" t="str">
        <f>REPLACE(INDEX(GroupVertices[Group],MATCH(Edges[[#This Row],[Vertex 1]],GroupVertices[Vertex],0)),1,1,"")</f>
        <v>2</v>
      </c>
      <c r="R871" s="80" t="str">
        <f>REPLACE(INDEX(GroupVertices[Group],MATCH(Edges[[#This Row],[Vertex 2]],GroupVertices[Vertex],0)),1,1,"")</f>
        <v>3</v>
      </c>
      <c r="S871" s="34"/>
      <c r="T871" s="34"/>
      <c r="U871" s="34"/>
      <c r="V871" s="34"/>
      <c r="W871" s="34"/>
      <c r="X871" s="34"/>
      <c r="Y871" s="34"/>
      <c r="Z871" s="34"/>
      <c r="AA871" s="34"/>
    </row>
    <row r="872" spans="1:27" ht="15">
      <c r="A872" s="66" t="s">
        <v>223</v>
      </c>
      <c r="B872" s="66" t="s">
        <v>779</v>
      </c>
      <c r="C872" s="67" t="s">
        <v>4454</v>
      </c>
      <c r="D872" s="68">
        <v>5</v>
      </c>
      <c r="E872" s="69"/>
      <c r="F872" s="70">
        <v>20</v>
      </c>
      <c r="G872" s="67"/>
      <c r="H872" s="71"/>
      <c r="I872" s="72"/>
      <c r="J872" s="72"/>
      <c r="K872" s="34" t="s">
        <v>65</v>
      </c>
      <c r="L872" s="79">
        <v>872</v>
      </c>
      <c r="M872" s="79"/>
      <c r="N872" s="74"/>
      <c r="O872" s="81" t="s">
        <v>944</v>
      </c>
      <c r="P872">
        <v>1</v>
      </c>
      <c r="Q872" s="80" t="str">
        <f>REPLACE(INDEX(GroupVertices[Group],MATCH(Edges[[#This Row],[Vertex 1]],GroupVertices[Vertex],0)),1,1,"")</f>
        <v>3</v>
      </c>
      <c r="R872" s="80" t="str">
        <f>REPLACE(INDEX(GroupVertices[Group],MATCH(Edges[[#This Row],[Vertex 2]],GroupVertices[Vertex],0)),1,1,"")</f>
        <v>3</v>
      </c>
      <c r="S872" s="34"/>
      <c r="T872" s="34"/>
      <c r="U872" s="34"/>
      <c r="V872" s="34"/>
      <c r="W872" s="34"/>
      <c r="X872" s="34"/>
      <c r="Y872" s="34"/>
      <c r="Z872" s="34"/>
      <c r="AA872" s="34"/>
    </row>
    <row r="873" spans="1:27" ht="15">
      <c r="A873" s="66" t="s">
        <v>227</v>
      </c>
      <c r="B873" s="66" t="s">
        <v>779</v>
      </c>
      <c r="C873" s="67" t="s">
        <v>4454</v>
      </c>
      <c r="D873" s="68">
        <v>5</v>
      </c>
      <c r="E873" s="69"/>
      <c r="F873" s="70">
        <v>20</v>
      </c>
      <c r="G873" s="67"/>
      <c r="H873" s="71"/>
      <c r="I873" s="72"/>
      <c r="J873" s="72"/>
      <c r="K873" s="34" t="s">
        <v>65</v>
      </c>
      <c r="L873" s="79">
        <v>873</v>
      </c>
      <c r="M873" s="79"/>
      <c r="N873" s="74"/>
      <c r="O873" s="81" t="s">
        <v>944</v>
      </c>
      <c r="P873">
        <v>1</v>
      </c>
      <c r="Q873" s="80" t="str">
        <f>REPLACE(INDEX(GroupVertices[Group],MATCH(Edges[[#This Row],[Vertex 1]],GroupVertices[Vertex],0)),1,1,"")</f>
        <v>3</v>
      </c>
      <c r="R873" s="80" t="str">
        <f>REPLACE(INDEX(GroupVertices[Group],MATCH(Edges[[#This Row],[Vertex 2]],GroupVertices[Vertex],0)),1,1,"")</f>
        <v>3</v>
      </c>
      <c r="S873" s="34"/>
      <c r="T873" s="34"/>
      <c r="U873" s="34"/>
      <c r="V873" s="34"/>
      <c r="W873" s="34"/>
      <c r="X873" s="34"/>
      <c r="Y873" s="34"/>
      <c r="Z873" s="34"/>
      <c r="AA873" s="34"/>
    </row>
    <row r="874" spans="1:27" ht="15">
      <c r="A874" s="66" t="s">
        <v>228</v>
      </c>
      <c r="B874" s="66" t="s">
        <v>779</v>
      </c>
      <c r="C874" s="67" t="s">
        <v>4454</v>
      </c>
      <c r="D874" s="68">
        <v>5</v>
      </c>
      <c r="E874" s="69"/>
      <c r="F874" s="70">
        <v>20</v>
      </c>
      <c r="G874" s="67"/>
      <c r="H874" s="71"/>
      <c r="I874" s="72"/>
      <c r="J874" s="72"/>
      <c r="K874" s="34" t="s">
        <v>65</v>
      </c>
      <c r="L874" s="79">
        <v>874</v>
      </c>
      <c r="M874" s="79"/>
      <c r="N874" s="74"/>
      <c r="O874" s="81" t="s">
        <v>944</v>
      </c>
      <c r="P874">
        <v>1</v>
      </c>
      <c r="Q874" s="80" t="str">
        <f>REPLACE(INDEX(GroupVertices[Group],MATCH(Edges[[#This Row],[Vertex 1]],GroupVertices[Vertex],0)),1,1,"")</f>
        <v>3</v>
      </c>
      <c r="R874" s="80" t="str">
        <f>REPLACE(INDEX(GroupVertices[Group],MATCH(Edges[[#This Row],[Vertex 2]],GroupVertices[Vertex],0)),1,1,"")</f>
        <v>3</v>
      </c>
      <c r="S874" s="34"/>
      <c r="T874" s="34"/>
      <c r="U874" s="34"/>
      <c r="V874" s="34"/>
      <c r="W874" s="34"/>
      <c r="X874" s="34"/>
      <c r="Y874" s="34"/>
      <c r="Z874" s="34"/>
      <c r="AA874" s="34"/>
    </row>
    <row r="875" spans="1:27" ht="15">
      <c r="A875" s="66" t="s">
        <v>233</v>
      </c>
      <c r="B875" s="66" t="s">
        <v>779</v>
      </c>
      <c r="C875" s="67" t="s">
        <v>4454</v>
      </c>
      <c r="D875" s="68">
        <v>5</v>
      </c>
      <c r="E875" s="69"/>
      <c r="F875" s="70">
        <v>20</v>
      </c>
      <c r="G875" s="67"/>
      <c r="H875" s="71"/>
      <c r="I875" s="72"/>
      <c r="J875" s="72"/>
      <c r="K875" s="34" t="s">
        <v>65</v>
      </c>
      <c r="L875" s="79">
        <v>875</v>
      </c>
      <c r="M875" s="79"/>
      <c r="N875" s="74"/>
      <c r="O875" s="81" t="s">
        <v>944</v>
      </c>
      <c r="P875">
        <v>1</v>
      </c>
      <c r="Q875" s="80" t="str">
        <f>REPLACE(INDEX(GroupVertices[Group],MATCH(Edges[[#This Row],[Vertex 1]],GroupVertices[Vertex],0)),1,1,"")</f>
        <v>2</v>
      </c>
      <c r="R875" s="80" t="str">
        <f>REPLACE(INDEX(GroupVertices[Group],MATCH(Edges[[#This Row],[Vertex 2]],GroupVertices[Vertex],0)),1,1,"")</f>
        <v>3</v>
      </c>
      <c r="S875" s="34"/>
      <c r="T875" s="34"/>
      <c r="U875" s="34"/>
      <c r="V875" s="34"/>
      <c r="W875" s="34"/>
      <c r="X875" s="34"/>
      <c r="Y875" s="34"/>
      <c r="Z875" s="34"/>
      <c r="AA875" s="34"/>
    </row>
    <row r="876" spans="1:27" ht="15">
      <c r="A876" s="66" t="s">
        <v>239</v>
      </c>
      <c r="B876" s="66" t="s">
        <v>779</v>
      </c>
      <c r="C876" s="67" t="s">
        <v>4454</v>
      </c>
      <c r="D876" s="68">
        <v>5</v>
      </c>
      <c r="E876" s="69"/>
      <c r="F876" s="70">
        <v>20</v>
      </c>
      <c r="G876" s="67"/>
      <c r="H876" s="71"/>
      <c r="I876" s="72"/>
      <c r="J876" s="72"/>
      <c r="K876" s="34" t="s">
        <v>65</v>
      </c>
      <c r="L876" s="79">
        <v>876</v>
      </c>
      <c r="M876" s="79"/>
      <c r="N876" s="74"/>
      <c r="O876" s="81" t="s">
        <v>944</v>
      </c>
      <c r="P876">
        <v>1</v>
      </c>
      <c r="Q876" s="80" t="str">
        <f>REPLACE(INDEX(GroupVertices[Group],MATCH(Edges[[#This Row],[Vertex 1]],GroupVertices[Vertex],0)),1,1,"")</f>
        <v>3</v>
      </c>
      <c r="R876" s="80" t="str">
        <f>REPLACE(INDEX(GroupVertices[Group],MATCH(Edges[[#This Row],[Vertex 2]],GroupVertices[Vertex],0)),1,1,"")</f>
        <v>3</v>
      </c>
      <c r="S876" s="34"/>
      <c r="T876" s="34"/>
      <c r="U876" s="34"/>
      <c r="V876" s="34"/>
      <c r="W876" s="34"/>
      <c r="X876" s="34"/>
      <c r="Y876" s="34"/>
      <c r="Z876" s="34"/>
      <c r="AA876" s="34"/>
    </row>
    <row r="877" spans="1:27" ht="15">
      <c r="A877" s="66" t="s">
        <v>246</v>
      </c>
      <c r="B877" s="66" t="s">
        <v>779</v>
      </c>
      <c r="C877" s="67" t="s">
        <v>4454</v>
      </c>
      <c r="D877" s="68">
        <v>5</v>
      </c>
      <c r="E877" s="69"/>
      <c r="F877" s="70">
        <v>20</v>
      </c>
      <c r="G877" s="67"/>
      <c r="H877" s="71"/>
      <c r="I877" s="72"/>
      <c r="J877" s="72"/>
      <c r="K877" s="34" t="s">
        <v>65</v>
      </c>
      <c r="L877" s="79">
        <v>877</v>
      </c>
      <c r="M877" s="79"/>
      <c r="N877" s="74"/>
      <c r="O877" s="81" t="s">
        <v>944</v>
      </c>
      <c r="P877">
        <v>1</v>
      </c>
      <c r="Q877" s="80" t="str">
        <f>REPLACE(INDEX(GroupVertices[Group],MATCH(Edges[[#This Row],[Vertex 1]],GroupVertices[Vertex],0)),1,1,"")</f>
        <v>2</v>
      </c>
      <c r="R877" s="80" t="str">
        <f>REPLACE(INDEX(GroupVertices[Group],MATCH(Edges[[#This Row],[Vertex 2]],GroupVertices[Vertex],0)),1,1,"")</f>
        <v>3</v>
      </c>
      <c r="S877" s="34"/>
      <c r="T877" s="34"/>
      <c r="U877" s="34"/>
      <c r="V877" s="34"/>
      <c r="W877" s="34"/>
      <c r="X877" s="34"/>
      <c r="Y877" s="34"/>
      <c r="Z877" s="34"/>
      <c r="AA877" s="34"/>
    </row>
    <row r="878" spans="1:27" ht="15">
      <c r="A878" s="66" t="s">
        <v>250</v>
      </c>
      <c r="B878" s="66" t="s">
        <v>779</v>
      </c>
      <c r="C878" s="67" t="s">
        <v>4454</v>
      </c>
      <c r="D878" s="68">
        <v>5</v>
      </c>
      <c r="E878" s="69"/>
      <c r="F878" s="70">
        <v>20</v>
      </c>
      <c r="G878" s="67"/>
      <c r="H878" s="71"/>
      <c r="I878" s="72"/>
      <c r="J878" s="72"/>
      <c r="K878" s="34" t="s">
        <v>65</v>
      </c>
      <c r="L878" s="79">
        <v>878</v>
      </c>
      <c r="M878" s="79"/>
      <c r="N878" s="74"/>
      <c r="O878" s="81" t="s">
        <v>944</v>
      </c>
      <c r="P878">
        <v>1</v>
      </c>
      <c r="Q878" s="80" t="str">
        <f>REPLACE(INDEX(GroupVertices[Group],MATCH(Edges[[#This Row],[Vertex 1]],GroupVertices[Vertex],0)),1,1,"")</f>
        <v>2</v>
      </c>
      <c r="R878" s="80" t="str">
        <f>REPLACE(INDEX(GroupVertices[Group],MATCH(Edges[[#This Row],[Vertex 2]],GroupVertices[Vertex],0)),1,1,"")</f>
        <v>3</v>
      </c>
      <c r="S878" s="34"/>
      <c r="T878" s="34"/>
      <c r="U878" s="34"/>
      <c r="V878" s="34"/>
      <c r="W878" s="34"/>
      <c r="X878" s="34"/>
      <c r="Y878" s="34"/>
      <c r="Z878" s="34"/>
      <c r="AA878" s="34"/>
    </row>
    <row r="879" spans="1:27" ht="15">
      <c r="A879" s="66" t="s">
        <v>215</v>
      </c>
      <c r="B879" s="66" t="s">
        <v>780</v>
      </c>
      <c r="C879" s="67" t="s">
        <v>4454</v>
      </c>
      <c r="D879" s="68">
        <v>5</v>
      </c>
      <c r="E879" s="69"/>
      <c r="F879" s="70">
        <v>20</v>
      </c>
      <c r="G879" s="67"/>
      <c r="H879" s="71"/>
      <c r="I879" s="72"/>
      <c r="J879" s="72"/>
      <c r="K879" s="34" t="s">
        <v>65</v>
      </c>
      <c r="L879" s="79">
        <v>879</v>
      </c>
      <c r="M879" s="79"/>
      <c r="N879" s="74"/>
      <c r="O879" s="81" t="s">
        <v>944</v>
      </c>
      <c r="P879">
        <v>1</v>
      </c>
      <c r="Q879" s="80" t="str">
        <f>REPLACE(INDEX(GroupVertices[Group],MATCH(Edges[[#This Row],[Vertex 1]],GroupVertices[Vertex],0)),1,1,"")</f>
        <v>3</v>
      </c>
      <c r="R879" s="80" t="str">
        <f>REPLACE(INDEX(GroupVertices[Group],MATCH(Edges[[#This Row],[Vertex 2]],GroupVertices[Vertex],0)),1,1,"")</f>
        <v>2</v>
      </c>
      <c r="S879" s="34"/>
      <c r="T879" s="34"/>
      <c r="U879" s="34"/>
      <c r="V879" s="34"/>
      <c r="W879" s="34"/>
      <c r="X879" s="34"/>
      <c r="Y879" s="34"/>
      <c r="Z879" s="34"/>
      <c r="AA879" s="34"/>
    </row>
    <row r="880" spans="1:27" ht="15">
      <c r="A880" s="66" t="s">
        <v>222</v>
      </c>
      <c r="B880" s="66" t="s">
        <v>780</v>
      </c>
      <c r="C880" s="67" t="s">
        <v>4454</v>
      </c>
      <c r="D880" s="68">
        <v>5</v>
      </c>
      <c r="E880" s="69"/>
      <c r="F880" s="70">
        <v>20</v>
      </c>
      <c r="G880" s="67"/>
      <c r="H880" s="71"/>
      <c r="I880" s="72"/>
      <c r="J880" s="72"/>
      <c r="K880" s="34" t="s">
        <v>65</v>
      </c>
      <c r="L880" s="79">
        <v>880</v>
      </c>
      <c r="M880" s="79"/>
      <c r="N880" s="74"/>
      <c r="O880" s="81" t="s">
        <v>944</v>
      </c>
      <c r="P880">
        <v>1</v>
      </c>
      <c r="Q880" s="80" t="str">
        <f>REPLACE(INDEX(GroupVertices[Group],MATCH(Edges[[#This Row],[Vertex 1]],GroupVertices[Vertex],0)),1,1,"")</f>
        <v>2</v>
      </c>
      <c r="R880" s="80" t="str">
        <f>REPLACE(INDEX(GroupVertices[Group],MATCH(Edges[[#This Row],[Vertex 2]],GroupVertices[Vertex],0)),1,1,"")</f>
        <v>2</v>
      </c>
      <c r="S880" s="34"/>
      <c r="T880" s="34"/>
      <c r="U880" s="34"/>
      <c r="V880" s="34"/>
      <c r="W880" s="34"/>
      <c r="X880" s="34"/>
      <c r="Y880" s="34"/>
      <c r="Z880" s="34"/>
      <c r="AA880" s="34"/>
    </row>
    <row r="881" spans="1:27" ht="15">
      <c r="A881" s="66" t="s">
        <v>223</v>
      </c>
      <c r="B881" s="66" t="s">
        <v>780</v>
      </c>
      <c r="C881" s="67" t="s">
        <v>4454</v>
      </c>
      <c r="D881" s="68">
        <v>5</v>
      </c>
      <c r="E881" s="69"/>
      <c r="F881" s="70">
        <v>20</v>
      </c>
      <c r="G881" s="67"/>
      <c r="H881" s="71"/>
      <c r="I881" s="72"/>
      <c r="J881" s="72"/>
      <c r="K881" s="34" t="s">
        <v>65</v>
      </c>
      <c r="L881" s="79">
        <v>881</v>
      </c>
      <c r="M881" s="79"/>
      <c r="N881" s="74"/>
      <c r="O881" s="81" t="s">
        <v>944</v>
      </c>
      <c r="P881">
        <v>1</v>
      </c>
      <c r="Q881" s="80" t="str">
        <f>REPLACE(INDEX(GroupVertices[Group],MATCH(Edges[[#This Row],[Vertex 1]],GroupVertices[Vertex],0)),1,1,"")</f>
        <v>3</v>
      </c>
      <c r="R881" s="80" t="str">
        <f>REPLACE(INDEX(GroupVertices[Group],MATCH(Edges[[#This Row],[Vertex 2]],GroupVertices[Vertex],0)),1,1,"")</f>
        <v>2</v>
      </c>
      <c r="S881" s="34"/>
      <c r="T881" s="34"/>
      <c r="U881" s="34"/>
      <c r="V881" s="34"/>
      <c r="W881" s="34"/>
      <c r="X881" s="34"/>
      <c r="Y881" s="34"/>
      <c r="Z881" s="34"/>
      <c r="AA881" s="34"/>
    </row>
    <row r="882" spans="1:27" ht="15">
      <c r="A882" s="66" t="s">
        <v>227</v>
      </c>
      <c r="B882" s="66" t="s">
        <v>780</v>
      </c>
      <c r="C882" s="67" t="s">
        <v>4454</v>
      </c>
      <c r="D882" s="68">
        <v>5</v>
      </c>
      <c r="E882" s="69"/>
      <c r="F882" s="70">
        <v>20</v>
      </c>
      <c r="G882" s="67"/>
      <c r="H882" s="71"/>
      <c r="I882" s="72"/>
      <c r="J882" s="72"/>
      <c r="K882" s="34" t="s">
        <v>65</v>
      </c>
      <c r="L882" s="79">
        <v>882</v>
      </c>
      <c r="M882" s="79"/>
      <c r="N882" s="74"/>
      <c r="O882" s="81" t="s">
        <v>944</v>
      </c>
      <c r="P882">
        <v>1</v>
      </c>
      <c r="Q882" s="80" t="str">
        <f>REPLACE(INDEX(GroupVertices[Group],MATCH(Edges[[#This Row],[Vertex 1]],GroupVertices[Vertex],0)),1,1,"")</f>
        <v>3</v>
      </c>
      <c r="R882" s="80" t="str">
        <f>REPLACE(INDEX(GroupVertices[Group],MATCH(Edges[[#This Row],[Vertex 2]],GroupVertices[Vertex],0)),1,1,"")</f>
        <v>2</v>
      </c>
      <c r="S882" s="34"/>
      <c r="T882" s="34"/>
      <c r="U882" s="34"/>
      <c r="V882" s="34"/>
      <c r="W882" s="34"/>
      <c r="X882" s="34"/>
      <c r="Y882" s="34"/>
      <c r="Z882" s="34"/>
      <c r="AA882" s="34"/>
    </row>
    <row r="883" spans="1:27" ht="15">
      <c r="A883" s="66" t="s">
        <v>228</v>
      </c>
      <c r="B883" s="66" t="s">
        <v>780</v>
      </c>
      <c r="C883" s="67" t="s">
        <v>4454</v>
      </c>
      <c r="D883" s="68">
        <v>5</v>
      </c>
      <c r="E883" s="69"/>
      <c r="F883" s="70">
        <v>20</v>
      </c>
      <c r="G883" s="67"/>
      <c r="H883" s="71"/>
      <c r="I883" s="72"/>
      <c r="J883" s="72"/>
      <c r="K883" s="34" t="s">
        <v>65</v>
      </c>
      <c r="L883" s="79">
        <v>883</v>
      </c>
      <c r="M883" s="79"/>
      <c r="N883" s="74"/>
      <c r="O883" s="81" t="s">
        <v>944</v>
      </c>
      <c r="P883">
        <v>1</v>
      </c>
      <c r="Q883" s="80" t="str">
        <f>REPLACE(INDEX(GroupVertices[Group],MATCH(Edges[[#This Row],[Vertex 1]],GroupVertices[Vertex],0)),1,1,"")</f>
        <v>3</v>
      </c>
      <c r="R883" s="80" t="str">
        <f>REPLACE(INDEX(GroupVertices[Group],MATCH(Edges[[#This Row],[Vertex 2]],GroupVertices[Vertex],0)),1,1,"")</f>
        <v>2</v>
      </c>
      <c r="S883" s="34"/>
      <c r="T883" s="34"/>
      <c r="U883" s="34"/>
      <c r="V883" s="34"/>
      <c r="W883" s="34"/>
      <c r="X883" s="34"/>
      <c r="Y883" s="34"/>
      <c r="Z883" s="34"/>
      <c r="AA883" s="34"/>
    </row>
    <row r="884" spans="1:27" ht="15">
      <c r="A884" s="66" t="s">
        <v>233</v>
      </c>
      <c r="B884" s="66" t="s">
        <v>780</v>
      </c>
      <c r="C884" s="67" t="s">
        <v>4454</v>
      </c>
      <c r="D884" s="68">
        <v>5</v>
      </c>
      <c r="E884" s="69"/>
      <c r="F884" s="70">
        <v>20</v>
      </c>
      <c r="G884" s="67"/>
      <c r="H884" s="71"/>
      <c r="I884" s="72"/>
      <c r="J884" s="72"/>
      <c r="K884" s="34" t="s">
        <v>65</v>
      </c>
      <c r="L884" s="79">
        <v>884</v>
      </c>
      <c r="M884" s="79"/>
      <c r="N884" s="74"/>
      <c r="O884" s="81" t="s">
        <v>944</v>
      </c>
      <c r="P884">
        <v>1</v>
      </c>
      <c r="Q884" s="80" t="str">
        <f>REPLACE(INDEX(GroupVertices[Group],MATCH(Edges[[#This Row],[Vertex 1]],GroupVertices[Vertex],0)),1,1,"")</f>
        <v>2</v>
      </c>
      <c r="R884" s="80" t="str">
        <f>REPLACE(INDEX(GroupVertices[Group],MATCH(Edges[[#This Row],[Vertex 2]],GroupVertices[Vertex],0)),1,1,"")</f>
        <v>2</v>
      </c>
      <c r="S884" s="34"/>
      <c r="T884" s="34"/>
      <c r="U884" s="34"/>
      <c r="V884" s="34"/>
      <c r="W884" s="34"/>
      <c r="X884" s="34"/>
      <c r="Y884" s="34"/>
      <c r="Z884" s="34"/>
      <c r="AA884" s="34"/>
    </row>
    <row r="885" spans="1:27" ht="15">
      <c r="A885" s="66" t="s">
        <v>239</v>
      </c>
      <c r="B885" s="66" t="s">
        <v>780</v>
      </c>
      <c r="C885" s="67" t="s">
        <v>4454</v>
      </c>
      <c r="D885" s="68">
        <v>5</v>
      </c>
      <c r="E885" s="69"/>
      <c r="F885" s="70">
        <v>20</v>
      </c>
      <c r="G885" s="67"/>
      <c r="H885" s="71"/>
      <c r="I885" s="72"/>
      <c r="J885" s="72"/>
      <c r="K885" s="34" t="s">
        <v>65</v>
      </c>
      <c r="L885" s="79">
        <v>885</v>
      </c>
      <c r="M885" s="79"/>
      <c r="N885" s="74"/>
      <c r="O885" s="81" t="s">
        <v>944</v>
      </c>
      <c r="P885">
        <v>1</v>
      </c>
      <c r="Q885" s="80" t="str">
        <f>REPLACE(INDEX(GroupVertices[Group],MATCH(Edges[[#This Row],[Vertex 1]],GroupVertices[Vertex],0)),1,1,"")</f>
        <v>3</v>
      </c>
      <c r="R885" s="80" t="str">
        <f>REPLACE(INDEX(GroupVertices[Group],MATCH(Edges[[#This Row],[Vertex 2]],GroupVertices[Vertex],0)),1,1,"")</f>
        <v>2</v>
      </c>
      <c r="S885" s="34"/>
      <c r="T885" s="34"/>
      <c r="U885" s="34"/>
      <c r="V885" s="34"/>
      <c r="W885" s="34"/>
      <c r="X885" s="34"/>
      <c r="Y885" s="34"/>
      <c r="Z885" s="34"/>
      <c r="AA885" s="34"/>
    </row>
    <row r="886" spans="1:27" ht="15">
      <c r="A886" s="66" t="s">
        <v>246</v>
      </c>
      <c r="B886" s="66" t="s">
        <v>780</v>
      </c>
      <c r="C886" s="67" t="s">
        <v>4454</v>
      </c>
      <c r="D886" s="68">
        <v>5</v>
      </c>
      <c r="E886" s="69"/>
      <c r="F886" s="70">
        <v>20</v>
      </c>
      <c r="G886" s="67"/>
      <c r="H886" s="71"/>
      <c r="I886" s="72"/>
      <c r="J886" s="72"/>
      <c r="K886" s="34" t="s">
        <v>65</v>
      </c>
      <c r="L886" s="79">
        <v>886</v>
      </c>
      <c r="M886" s="79"/>
      <c r="N886" s="74"/>
      <c r="O886" s="81" t="s">
        <v>944</v>
      </c>
      <c r="P886">
        <v>1</v>
      </c>
      <c r="Q886" s="80" t="str">
        <f>REPLACE(INDEX(GroupVertices[Group],MATCH(Edges[[#This Row],[Vertex 1]],GroupVertices[Vertex],0)),1,1,"")</f>
        <v>2</v>
      </c>
      <c r="R886" s="80" t="str">
        <f>REPLACE(INDEX(GroupVertices[Group],MATCH(Edges[[#This Row],[Vertex 2]],GroupVertices[Vertex],0)),1,1,"")</f>
        <v>2</v>
      </c>
      <c r="S886" s="34"/>
      <c r="T886" s="34"/>
      <c r="U886" s="34"/>
      <c r="V886" s="34"/>
      <c r="W886" s="34"/>
      <c r="X886" s="34"/>
      <c r="Y886" s="34"/>
      <c r="Z886" s="34"/>
      <c r="AA886" s="34"/>
    </row>
    <row r="887" spans="1:27" ht="15">
      <c r="A887" s="66" t="s">
        <v>249</v>
      </c>
      <c r="B887" s="66" t="s">
        <v>780</v>
      </c>
      <c r="C887" s="67" t="s">
        <v>4454</v>
      </c>
      <c r="D887" s="68">
        <v>5</v>
      </c>
      <c r="E887" s="69"/>
      <c r="F887" s="70">
        <v>20</v>
      </c>
      <c r="G887" s="67"/>
      <c r="H887" s="71"/>
      <c r="I887" s="72"/>
      <c r="J887" s="72"/>
      <c r="K887" s="34" t="s">
        <v>65</v>
      </c>
      <c r="L887" s="79">
        <v>887</v>
      </c>
      <c r="M887" s="79"/>
      <c r="N887" s="74"/>
      <c r="O887" s="81" t="s">
        <v>944</v>
      </c>
      <c r="P887">
        <v>1</v>
      </c>
      <c r="Q887" s="80" t="str">
        <f>REPLACE(INDEX(GroupVertices[Group],MATCH(Edges[[#This Row],[Vertex 1]],GroupVertices[Vertex],0)),1,1,"")</f>
        <v>2</v>
      </c>
      <c r="R887" s="80" t="str">
        <f>REPLACE(INDEX(GroupVertices[Group],MATCH(Edges[[#This Row],[Vertex 2]],GroupVertices[Vertex],0)),1,1,"")</f>
        <v>2</v>
      </c>
      <c r="S887" s="34"/>
      <c r="T887" s="34"/>
      <c r="U887" s="34"/>
      <c r="V887" s="34"/>
      <c r="W887" s="34"/>
      <c r="X887" s="34"/>
      <c r="Y887" s="34"/>
      <c r="Z887" s="34"/>
      <c r="AA887" s="34"/>
    </row>
    <row r="888" spans="1:27" ht="15">
      <c r="A888" s="66" t="s">
        <v>250</v>
      </c>
      <c r="B888" s="66" t="s">
        <v>780</v>
      </c>
      <c r="C888" s="67" t="s">
        <v>4454</v>
      </c>
      <c r="D888" s="68">
        <v>5</v>
      </c>
      <c r="E888" s="69"/>
      <c r="F888" s="70">
        <v>20</v>
      </c>
      <c r="G888" s="67"/>
      <c r="H888" s="71"/>
      <c r="I888" s="72"/>
      <c r="J888" s="72"/>
      <c r="K888" s="34" t="s">
        <v>65</v>
      </c>
      <c r="L888" s="79">
        <v>888</v>
      </c>
      <c r="M888" s="79"/>
      <c r="N888" s="74"/>
      <c r="O888" s="81" t="s">
        <v>944</v>
      </c>
      <c r="P888">
        <v>1</v>
      </c>
      <c r="Q888" s="80" t="str">
        <f>REPLACE(INDEX(GroupVertices[Group],MATCH(Edges[[#This Row],[Vertex 1]],GroupVertices[Vertex],0)),1,1,"")</f>
        <v>2</v>
      </c>
      <c r="R888" s="80" t="str">
        <f>REPLACE(INDEX(GroupVertices[Group],MATCH(Edges[[#This Row],[Vertex 2]],GroupVertices[Vertex],0)),1,1,"")</f>
        <v>2</v>
      </c>
      <c r="S888" s="34"/>
      <c r="T888" s="34"/>
      <c r="U888" s="34"/>
      <c r="V888" s="34"/>
      <c r="W888" s="34"/>
      <c r="X888" s="34"/>
      <c r="Y888" s="34"/>
      <c r="Z888" s="34"/>
      <c r="AA888" s="34"/>
    </row>
    <row r="889" spans="1:27" ht="15">
      <c r="A889" s="66" t="s">
        <v>250</v>
      </c>
      <c r="B889" s="66" t="s">
        <v>781</v>
      </c>
      <c r="C889" s="67" t="s">
        <v>4454</v>
      </c>
      <c r="D889" s="68">
        <v>5</v>
      </c>
      <c r="E889" s="69"/>
      <c r="F889" s="70">
        <v>20</v>
      </c>
      <c r="G889" s="67"/>
      <c r="H889" s="71"/>
      <c r="I889" s="72"/>
      <c r="J889" s="72"/>
      <c r="K889" s="34"/>
      <c r="L889" s="79">
        <v>889</v>
      </c>
      <c r="M889" s="79"/>
      <c r="N889" s="74"/>
      <c r="O889" s="81" t="s">
        <v>944</v>
      </c>
      <c r="P889">
        <v>1</v>
      </c>
      <c r="Q889" s="80" t="str">
        <f>REPLACE(INDEX(GroupVertices[Group],MATCH(Edges[[#This Row],[Vertex 1]],GroupVertices[Vertex],0)),1,1,"")</f>
        <v>2</v>
      </c>
      <c r="R889" s="80" t="e">
        <f>REPLACE(INDEX(GroupVertices[Group],MATCH(Edges[[#This Row],[Vertex 2]],GroupVertices[Vertex],0)),1,1,"")</f>
        <v>#N/A</v>
      </c>
      <c r="S889" s="34"/>
      <c r="T889" s="34"/>
      <c r="U889" s="34"/>
      <c r="V889" s="34"/>
      <c r="W889" s="34"/>
      <c r="X889" s="34"/>
      <c r="Y889" s="34"/>
      <c r="Z889" s="34"/>
      <c r="AA889" s="34"/>
    </row>
    <row r="890" spans="1:27" ht="15">
      <c r="A890" s="66" t="s">
        <v>213</v>
      </c>
      <c r="B890" s="66" t="s">
        <v>252</v>
      </c>
      <c r="C890" s="67" t="s">
        <v>4454</v>
      </c>
      <c r="D890" s="68">
        <v>5</v>
      </c>
      <c r="E890" s="69"/>
      <c r="F890" s="70">
        <v>20</v>
      </c>
      <c r="G890" s="67"/>
      <c r="H890" s="71"/>
      <c r="I890" s="72"/>
      <c r="J890" s="72"/>
      <c r="K890" s="34" t="s">
        <v>65</v>
      </c>
      <c r="L890" s="79">
        <v>890</v>
      </c>
      <c r="M890" s="79"/>
      <c r="N890" s="74"/>
      <c r="O890" s="81" t="s">
        <v>944</v>
      </c>
      <c r="P890">
        <v>1</v>
      </c>
      <c r="Q890" s="80" t="str">
        <f>REPLACE(INDEX(GroupVertices[Group],MATCH(Edges[[#This Row],[Vertex 1]],GroupVertices[Vertex],0)),1,1,"")</f>
        <v>2</v>
      </c>
      <c r="R890" s="80" t="str">
        <f>REPLACE(INDEX(GroupVertices[Group],MATCH(Edges[[#This Row],[Vertex 2]],GroupVertices[Vertex],0)),1,1,"")</f>
        <v>1</v>
      </c>
      <c r="S890" s="34"/>
      <c r="T890" s="34"/>
      <c r="U890" s="34"/>
      <c r="V890" s="34"/>
      <c r="W890" s="34"/>
      <c r="X890" s="34"/>
      <c r="Y890" s="34"/>
      <c r="Z890" s="34"/>
      <c r="AA890" s="34"/>
    </row>
    <row r="891" spans="1:27" ht="15">
      <c r="A891" s="66" t="s">
        <v>213</v>
      </c>
      <c r="B891" s="66" t="s">
        <v>261</v>
      </c>
      <c r="C891" s="67" t="s">
        <v>4454</v>
      </c>
      <c r="D891" s="68">
        <v>5</v>
      </c>
      <c r="E891" s="69"/>
      <c r="F891" s="70">
        <v>20</v>
      </c>
      <c r="G891" s="67"/>
      <c r="H891" s="71"/>
      <c r="I891" s="72"/>
      <c r="J891" s="72"/>
      <c r="K891" s="34" t="s">
        <v>65</v>
      </c>
      <c r="L891" s="79">
        <v>891</v>
      </c>
      <c r="M891" s="79"/>
      <c r="N891" s="74"/>
      <c r="O891" s="81" t="s">
        <v>944</v>
      </c>
      <c r="P891">
        <v>1</v>
      </c>
      <c r="Q891" s="80" t="str">
        <f>REPLACE(INDEX(GroupVertices[Group],MATCH(Edges[[#This Row],[Vertex 1]],GroupVertices[Vertex],0)),1,1,"")</f>
        <v>2</v>
      </c>
      <c r="R891" s="80" t="str">
        <f>REPLACE(INDEX(GroupVertices[Group],MATCH(Edges[[#This Row],[Vertex 2]],GroupVertices[Vertex],0)),1,1,"")</f>
        <v>1</v>
      </c>
      <c r="S891" s="34"/>
      <c r="T891" s="34"/>
      <c r="U891" s="34"/>
      <c r="V891" s="34"/>
      <c r="W891" s="34"/>
      <c r="X891" s="34"/>
      <c r="Y891" s="34"/>
      <c r="Z891" s="34"/>
      <c r="AA891" s="34"/>
    </row>
    <row r="892" spans="1:27" ht="15">
      <c r="A892" s="66" t="s">
        <v>213</v>
      </c>
      <c r="B892" s="66" t="s">
        <v>258</v>
      </c>
      <c r="C892" s="67" t="s">
        <v>4454</v>
      </c>
      <c r="D892" s="68">
        <v>5</v>
      </c>
      <c r="E892" s="69"/>
      <c r="F892" s="70">
        <v>20</v>
      </c>
      <c r="G892" s="67"/>
      <c r="H892" s="71"/>
      <c r="I892" s="72"/>
      <c r="J892" s="72"/>
      <c r="K892" s="34" t="s">
        <v>65</v>
      </c>
      <c r="L892" s="79">
        <v>892</v>
      </c>
      <c r="M892" s="79"/>
      <c r="N892" s="74"/>
      <c r="O892" s="81" t="s">
        <v>944</v>
      </c>
      <c r="P892">
        <v>1</v>
      </c>
      <c r="Q892" s="80" t="str">
        <f>REPLACE(INDEX(GroupVertices[Group],MATCH(Edges[[#This Row],[Vertex 1]],GroupVertices[Vertex],0)),1,1,"")</f>
        <v>2</v>
      </c>
      <c r="R892" s="80" t="str">
        <f>REPLACE(INDEX(GroupVertices[Group],MATCH(Edges[[#This Row],[Vertex 2]],GroupVertices[Vertex],0)),1,1,"")</f>
        <v>1</v>
      </c>
      <c r="S892" s="34"/>
      <c r="T892" s="34"/>
      <c r="U892" s="34"/>
      <c r="V892" s="34"/>
      <c r="W892" s="34"/>
      <c r="X892" s="34"/>
      <c r="Y892" s="34"/>
      <c r="Z892" s="34"/>
      <c r="AA892" s="34"/>
    </row>
    <row r="893" spans="1:27" ht="15">
      <c r="A893" s="66" t="s">
        <v>213</v>
      </c>
      <c r="B893" s="66" t="s">
        <v>256</v>
      </c>
      <c r="C893" s="67" t="s">
        <v>4454</v>
      </c>
      <c r="D893" s="68">
        <v>5</v>
      </c>
      <c r="E893" s="69"/>
      <c r="F893" s="70">
        <v>20</v>
      </c>
      <c r="G893" s="67"/>
      <c r="H893" s="71"/>
      <c r="I893" s="72"/>
      <c r="J893" s="72"/>
      <c r="K893" s="34" t="s">
        <v>65</v>
      </c>
      <c r="L893" s="79">
        <v>893</v>
      </c>
      <c r="M893" s="79"/>
      <c r="N893" s="74"/>
      <c r="O893" s="81" t="s">
        <v>944</v>
      </c>
      <c r="P893">
        <v>1</v>
      </c>
      <c r="Q893" s="80" t="str">
        <f>REPLACE(INDEX(GroupVertices[Group],MATCH(Edges[[#This Row],[Vertex 1]],GroupVertices[Vertex],0)),1,1,"")</f>
        <v>2</v>
      </c>
      <c r="R893" s="80" t="str">
        <f>REPLACE(INDEX(GroupVertices[Group],MATCH(Edges[[#This Row],[Vertex 2]],GroupVertices[Vertex],0)),1,1,"")</f>
        <v>1</v>
      </c>
      <c r="S893" s="34"/>
      <c r="T893" s="34"/>
      <c r="U893" s="34"/>
      <c r="V893" s="34"/>
      <c r="W893" s="34"/>
      <c r="X893" s="34"/>
      <c r="Y893" s="34"/>
      <c r="Z893" s="34"/>
      <c r="AA893" s="34"/>
    </row>
    <row r="894" spans="1:27" ht="15">
      <c r="A894" s="66" t="s">
        <v>213</v>
      </c>
      <c r="B894" s="66" t="s">
        <v>257</v>
      </c>
      <c r="C894" s="67" t="s">
        <v>4454</v>
      </c>
      <c r="D894" s="68">
        <v>5</v>
      </c>
      <c r="E894" s="69"/>
      <c r="F894" s="70">
        <v>20</v>
      </c>
      <c r="G894" s="67"/>
      <c r="H894" s="71"/>
      <c r="I894" s="72"/>
      <c r="J894" s="72"/>
      <c r="K894" s="34" t="s">
        <v>65</v>
      </c>
      <c r="L894" s="79">
        <v>894</v>
      </c>
      <c r="M894" s="79"/>
      <c r="N894" s="74"/>
      <c r="O894" s="81" t="s">
        <v>944</v>
      </c>
      <c r="P894">
        <v>1</v>
      </c>
      <c r="Q894" s="80" t="str">
        <f>REPLACE(INDEX(GroupVertices[Group],MATCH(Edges[[#This Row],[Vertex 1]],GroupVertices[Vertex],0)),1,1,"")</f>
        <v>2</v>
      </c>
      <c r="R894" s="80" t="str">
        <f>REPLACE(INDEX(GroupVertices[Group],MATCH(Edges[[#This Row],[Vertex 2]],GroupVertices[Vertex],0)),1,1,"")</f>
        <v>2</v>
      </c>
      <c r="S894" s="34"/>
      <c r="T894" s="34"/>
      <c r="U894" s="34"/>
      <c r="V894" s="34"/>
      <c r="W894" s="34"/>
      <c r="X894" s="34"/>
      <c r="Y894" s="34"/>
      <c r="Z894" s="34"/>
      <c r="AA894" s="34"/>
    </row>
    <row r="895" spans="1:27" ht="15">
      <c r="A895" s="66" t="s">
        <v>213</v>
      </c>
      <c r="B895" s="66" t="s">
        <v>236</v>
      </c>
      <c r="C895" s="67" t="s">
        <v>4454</v>
      </c>
      <c r="D895" s="68">
        <v>5</v>
      </c>
      <c r="E895" s="69"/>
      <c r="F895" s="70">
        <v>20</v>
      </c>
      <c r="G895" s="67"/>
      <c r="H895" s="71"/>
      <c r="I895" s="72"/>
      <c r="J895" s="72"/>
      <c r="K895" s="34" t="s">
        <v>65</v>
      </c>
      <c r="L895" s="79">
        <v>895</v>
      </c>
      <c r="M895" s="79"/>
      <c r="N895" s="74"/>
      <c r="O895" s="81" t="s">
        <v>944</v>
      </c>
      <c r="P895">
        <v>1</v>
      </c>
      <c r="Q895" s="80" t="str">
        <f>REPLACE(INDEX(GroupVertices[Group],MATCH(Edges[[#This Row],[Vertex 1]],GroupVertices[Vertex],0)),1,1,"")</f>
        <v>2</v>
      </c>
      <c r="R895" s="80" t="str">
        <f>REPLACE(INDEX(GroupVertices[Group],MATCH(Edges[[#This Row],[Vertex 2]],GroupVertices[Vertex],0)),1,1,"")</f>
        <v>1</v>
      </c>
      <c r="S895" s="34"/>
      <c r="T895" s="34"/>
      <c r="U895" s="34"/>
      <c r="V895" s="34"/>
      <c r="W895" s="34"/>
      <c r="X895" s="34"/>
      <c r="Y895" s="34"/>
      <c r="Z895" s="34"/>
      <c r="AA895" s="34"/>
    </row>
    <row r="896" spans="1:27" ht="15">
      <c r="A896" s="66" t="s">
        <v>213</v>
      </c>
      <c r="B896" s="66" t="s">
        <v>242</v>
      </c>
      <c r="C896" s="67" t="s">
        <v>4454</v>
      </c>
      <c r="D896" s="68">
        <v>5</v>
      </c>
      <c r="E896" s="69"/>
      <c r="F896" s="70">
        <v>20</v>
      </c>
      <c r="G896" s="67"/>
      <c r="H896" s="71"/>
      <c r="I896" s="72"/>
      <c r="J896" s="72"/>
      <c r="K896" s="34" t="s">
        <v>66</v>
      </c>
      <c r="L896" s="79">
        <v>896</v>
      </c>
      <c r="M896" s="79"/>
      <c r="N896" s="74"/>
      <c r="O896" s="81" t="s">
        <v>944</v>
      </c>
      <c r="P896">
        <v>1</v>
      </c>
      <c r="Q896" s="80" t="str">
        <f>REPLACE(INDEX(GroupVertices[Group],MATCH(Edges[[#This Row],[Vertex 1]],GroupVertices[Vertex],0)),1,1,"")</f>
        <v>2</v>
      </c>
      <c r="R896" s="80" t="str">
        <f>REPLACE(INDEX(GroupVertices[Group],MATCH(Edges[[#This Row],[Vertex 2]],GroupVertices[Vertex],0)),1,1,"")</f>
        <v>1</v>
      </c>
      <c r="S896" s="34"/>
      <c r="T896" s="34"/>
      <c r="U896" s="34"/>
      <c r="V896" s="34"/>
      <c r="W896" s="34"/>
      <c r="X896" s="34"/>
      <c r="Y896" s="34"/>
      <c r="Z896" s="34"/>
      <c r="AA896" s="34"/>
    </row>
    <row r="897" spans="1:27" ht="15">
      <c r="A897" s="66" t="s">
        <v>213</v>
      </c>
      <c r="B897" s="66" t="s">
        <v>260</v>
      </c>
      <c r="C897" s="67" t="s">
        <v>4454</v>
      </c>
      <c r="D897" s="68">
        <v>5</v>
      </c>
      <c r="E897" s="69"/>
      <c r="F897" s="70">
        <v>20</v>
      </c>
      <c r="G897" s="67"/>
      <c r="H897" s="71"/>
      <c r="I897" s="72"/>
      <c r="J897" s="72"/>
      <c r="K897" s="34" t="s">
        <v>65</v>
      </c>
      <c r="L897" s="79">
        <v>897</v>
      </c>
      <c r="M897" s="79"/>
      <c r="N897" s="74"/>
      <c r="O897" s="81" t="s">
        <v>944</v>
      </c>
      <c r="P897">
        <v>1</v>
      </c>
      <c r="Q897" s="80" t="str">
        <f>REPLACE(INDEX(GroupVertices[Group],MATCH(Edges[[#This Row],[Vertex 1]],GroupVertices[Vertex],0)),1,1,"")</f>
        <v>2</v>
      </c>
      <c r="R897" s="80" t="str">
        <f>REPLACE(INDEX(GroupVertices[Group],MATCH(Edges[[#This Row],[Vertex 2]],GroupVertices[Vertex],0)),1,1,"")</f>
        <v>2</v>
      </c>
      <c r="S897" s="34"/>
      <c r="T897" s="34"/>
      <c r="U897" s="34"/>
      <c r="V897" s="34"/>
      <c r="W897" s="34"/>
      <c r="X897" s="34"/>
      <c r="Y897" s="34"/>
      <c r="Z897" s="34"/>
      <c r="AA897" s="34"/>
    </row>
    <row r="898" spans="1:27" ht="15">
      <c r="A898" s="66" t="s">
        <v>213</v>
      </c>
      <c r="B898" s="66" t="s">
        <v>247</v>
      </c>
      <c r="C898" s="67" t="s">
        <v>4454</v>
      </c>
      <c r="D898" s="68">
        <v>5</v>
      </c>
      <c r="E898" s="69"/>
      <c r="F898" s="70">
        <v>20</v>
      </c>
      <c r="G898" s="67"/>
      <c r="H898" s="71"/>
      <c r="I898" s="72"/>
      <c r="J898" s="72"/>
      <c r="K898" s="34" t="s">
        <v>65</v>
      </c>
      <c r="L898" s="79">
        <v>898</v>
      </c>
      <c r="M898" s="79"/>
      <c r="N898" s="74"/>
      <c r="O898" s="81" t="s">
        <v>944</v>
      </c>
      <c r="P898">
        <v>1</v>
      </c>
      <c r="Q898" s="80" t="str">
        <f>REPLACE(INDEX(GroupVertices[Group],MATCH(Edges[[#This Row],[Vertex 1]],GroupVertices[Vertex],0)),1,1,"")</f>
        <v>2</v>
      </c>
      <c r="R898" s="80" t="str">
        <f>REPLACE(INDEX(GroupVertices[Group],MATCH(Edges[[#This Row],[Vertex 2]],GroupVertices[Vertex],0)),1,1,"")</f>
        <v>2</v>
      </c>
      <c r="S898" s="34"/>
      <c r="T898" s="34"/>
      <c r="U898" s="34"/>
      <c r="V898" s="34"/>
      <c r="W898" s="34"/>
      <c r="X898" s="34"/>
      <c r="Y898" s="34"/>
      <c r="Z898" s="34"/>
      <c r="AA898" s="34"/>
    </row>
    <row r="899" spans="1:27" ht="15">
      <c r="A899" s="66" t="s">
        <v>213</v>
      </c>
      <c r="B899" s="66" t="s">
        <v>234</v>
      </c>
      <c r="C899" s="67" t="s">
        <v>4454</v>
      </c>
      <c r="D899" s="68">
        <v>5</v>
      </c>
      <c r="E899" s="69"/>
      <c r="F899" s="70">
        <v>20</v>
      </c>
      <c r="G899" s="67"/>
      <c r="H899" s="71"/>
      <c r="I899" s="72"/>
      <c r="J899" s="72"/>
      <c r="K899" s="34" t="s">
        <v>66</v>
      </c>
      <c r="L899" s="79">
        <v>899</v>
      </c>
      <c r="M899" s="79"/>
      <c r="N899" s="74"/>
      <c r="O899" s="81" t="s">
        <v>944</v>
      </c>
      <c r="P899">
        <v>1</v>
      </c>
      <c r="Q899" s="80" t="str">
        <f>REPLACE(INDEX(GroupVertices[Group],MATCH(Edges[[#This Row],[Vertex 1]],GroupVertices[Vertex],0)),1,1,"")</f>
        <v>2</v>
      </c>
      <c r="R899" s="80" t="str">
        <f>REPLACE(INDEX(GroupVertices[Group],MATCH(Edges[[#This Row],[Vertex 2]],GroupVertices[Vertex],0)),1,1,"")</f>
        <v>4</v>
      </c>
      <c r="S899" s="34"/>
      <c r="T899" s="34"/>
      <c r="U899" s="34"/>
      <c r="V899" s="34"/>
      <c r="W899" s="34"/>
      <c r="X899" s="34"/>
      <c r="Y899" s="34"/>
      <c r="Z899" s="34"/>
      <c r="AA899" s="34"/>
    </row>
    <row r="900" spans="1:27" ht="15">
      <c r="A900" s="66" t="s">
        <v>213</v>
      </c>
      <c r="B900" s="66" t="s">
        <v>235</v>
      </c>
      <c r="C900" s="67" t="s">
        <v>4454</v>
      </c>
      <c r="D900" s="68">
        <v>5</v>
      </c>
      <c r="E900" s="69"/>
      <c r="F900" s="70">
        <v>20</v>
      </c>
      <c r="G900" s="67"/>
      <c r="H900" s="71"/>
      <c r="I900" s="72"/>
      <c r="J900" s="72"/>
      <c r="K900" s="34" t="s">
        <v>66</v>
      </c>
      <c r="L900" s="79">
        <v>900</v>
      </c>
      <c r="M900" s="79"/>
      <c r="N900" s="74"/>
      <c r="O900" s="81" t="s">
        <v>944</v>
      </c>
      <c r="P900">
        <v>1</v>
      </c>
      <c r="Q900" s="80" t="str">
        <f>REPLACE(INDEX(GroupVertices[Group],MATCH(Edges[[#This Row],[Vertex 1]],GroupVertices[Vertex],0)),1,1,"")</f>
        <v>2</v>
      </c>
      <c r="R900" s="80" t="str">
        <f>REPLACE(INDEX(GroupVertices[Group],MATCH(Edges[[#This Row],[Vertex 2]],GroupVertices[Vertex],0)),1,1,"")</f>
        <v>2</v>
      </c>
      <c r="S900" s="34"/>
      <c r="T900" s="34"/>
      <c r="U900" s="34"/>
      <c r="V900" s="34"/>
      <c r="W900" s="34"/>
      <c r="X900" s="34"/>
      <c r="Y900" s="34"/>
      <c r="Z900" s="34"/>
      <c r="AA900" s="34"/>
    </row>
    <row r="901" spans="1:27" ht="15">
      <c r="A901" s="66" t="s">
        <v>213</v>
      </c>
      <c r="B901" s="66" t="s">
        <v>510</v>
      </c>
      <c r="C901" s="67" t="s">
        <v>4454</v>
      </c>
      <c r="D901" s="68">
        <v>5</v>
      </c>
      <c r="E901" s="69"/>
      <c r="F901" s="70">
        <v>20</v>
      </c>
      <c r="G901" s="67"/>
      <c r="H901" s="71"/>
      <c r="I901" s="72"/>
      <c r="J901" s="72"/>
      <c r="K901" s="34" t="s">
        <v>65</v>
      </c>
      <c r="L901" s="79">
        <v>901</v>
      </c>
      <c r="M901" s="79"/>
      <c r="N901" s="74"/>
      <c r="O901" s="81" t="s">
        <v>944</v>
      </c>
      <c r="P901">
        <v>1</v>
      </c>
      <c r="Q901" s="80" t="str">
        <f>REPLACE(INDEX(GroupVertices[Group],MATCH(Edges[[#This Row],[Vertex 1]],GroupVertices[Vertex],0)),1,1,"")</f>
        <v>2</v>
      </c>
      <c r="R901" s="80" t="str">
        <f>REPLACE(INDEX(GroupVertices[Group],MATCH(Edges[[#This Row],[Vertex 2]],GroupVertices[Vertex],0)),1,1,"")</f>
        <v>2</v>
      </c>
      <c r="S901" s="34"/>
      <c r="T901" s="34"/>
      <c r="U901" s="34"/>
      <c r="V901" s="34"/>
      <c r="W901" s="34"/>
      <c r="X901" s="34"/>
      <c r="Y901" s="34"/>
      <c r="Z901" s="34"/>
      <c r="AA901" s="34"/>
    </row>
    <row r="902" spans="1:27" ht="15">
      <c r="A902" s="66" t="s">
        <v>213</v>
      </c>
      <c r="B902" s="66" t="s">
        <v>239</v>
      </c>
      <c r="C902" s="67" t="s">
        <v>4454</v>
      </c>
      <c r="D902" s="68">
        <v>5</v>
      </c>
      <c r="E902" s="69"/>
      <c r="F902" s="70">
        <v>20</v>
      </c>
      <c r="G902" s="67"/>
      <c r="H902" s="71"/>
      <c r="I902" s="72"/>
      <c r="J902" s="72"/>
      <c r="K902" s="34" t="s">
        <v>65</v>
      </c>
      <c r="L902" s="79">
        <v>902</v>
      </c>
      <c r="M902" s="79"/>
      <c r="N902" s="74"/>
      <c r="O902" s="81" t="s">
        <v>944</v>
      </c>
      <c r="P902">
        <v>1</v>
      </c>
      <c r="Q902" s="80" t="str">
        <f>REPLACE(INDEX(GroupVertices[Group],MATCH(Edges[[#This Row],[Vertex 1]],GroupVertices[Vertex],0)),1,1,"")</f>
        <v>2</v>
      </c>
      <c r="R902" s="80" t="str">
        <f>REPLACE(INDEX(GroupVertices[Group],MATCH(Edges[[#This Row],[Vertex 2]],GroupVertices[Vertex],0)),1,1,"")</f>
        <v>3</v>
      </c>
      <c r="S902" s="34"/>
      <c r="T902" s="34"/>
      <c r="U902" s="34"/>
      <c r="V902" s="34"/>
      <c r="W902" s="34"/>
      <c r="X902" s="34"/>
      <c r="Y902" s="34"/>
      <c r="Z902" s="34"/>
      <c r="AA902" s="34"/>
    </row>
    <row r="903" spans="1:27" ht="15">
      <c r="A903" s="66" t="s">
        <v>213</v>
      </c>
      <c r="B903" s="66" t="s">
        <v>614</v>
      </c>
      <c r="C903" s="67" t="s">
        <v>4454</v>
      </c>
      <c r="D903" s="68">
        <v>5</v>
      </c>
      <c r="E903" s="69"/>
      <c r="F903" s="70">
        <v>20</v>
      </c>
      <c r="G903" s="67"/>
      <c r="H903" s="71"/>
      <c r="I903" s="72"/>
      <c r="J903" s="72"/>
      <c r="K903" s="34" t="s">
        <v>65</v>
      </c>
      <c r="L903" s="79">
        <v>903</v>
      </c>
      <c r="M903" s="79"/>
      <c r="N903" s="74"/>
      <c r="O903" s="81" t="s">
        <v>944</v>
      </c>
      <c r="P903">
        <v>1</v>
      </c>
      <c r="Q903" s="80" t="str">
        <f>REPLACE(INDEX(GroupVertices[Group],MATCH(Edges[[#This Row],[Vertex 1]],GroupVertices[Vertex],0)),1,1,"")</f>
        <v>2</v>
      </c>
      <c r="R903" s="80" t="str">
        <f>REPLACE(INDEX(GroupVertices[Group],MATCH(Edges[[#This Row],[Vertex 2]],GroupVertices[Vertex],0)),1,1,"")</f>
        <v>2</v>
      </c>
      <c r="S903" s="34"/>
      <c r="T903" s="34"/>
      <c r="U903" s="34"/>
      <c r="V903" s="34"/>
      <c r="W903" s="34"/>
      <c r="X903" s="34"/>
      <c r="Y903" s="34"/>
      <c r="Z903" s="34"/>
      <c r="AA903" s="34"/>
    </row>
    <row r="904" spans="1:27" ht="15">
      <c r="A904" s="66" t="s">
        <v>213</v>
      </c>
      <c r="B904" s="66" t="s">
        <v>238</v>
      </c>
      <c r="C904" s="67" t="s">
        <v>4454</v>
      </c>
      <c r="D904" s="68">
        <v>5</v>
      </c>
      <c r="E904" s="69"/>
      <c r="F904" s="70">
        <v>20</v>
      </c>
      <c r="G904" s="67"/>
      <c r="H904" s="71"/>
      <c r="I904" s="72"/>
      <c r="J904" s="72"/>
      <c r="K904" s="34" t="s">
        <v>66</v>
      </c>
      <c r="L904" s="79">
        <v>904</v>
      </c>
      <c r="M904" s="79"/>
      <c r="N904" s="74"/>
      <c r="O904" s="81" t="s">
        <v>944</v>
      </c>
      <c r="P904">
        <v>1</v>
      </c>
      <c r="Q904" s="80" t="str">
        <f>REPLACE(INDEX(GroupVertices[Group],MATCH(Edges[[#This Row],[Vertex 1]],GroupVertices[Vertex],0)),1,1,"")</f>
        <v>2</v>
      </c>
      <c r="R904" s="80" t="str">
        <f>REPLACE(INDEX(GroupVertices[Group],MATCH(Edges[[#This Row],[Vertex 2]],GroupVertices[Vertex],0)),1,1,"")</f>
        <v>2</v>
      </c>
      <c r="S904" s="34"/>
      <c r="T904" s="34"/>
      <c r="U904" s="34"/>
      <c r="V904" s="34"/>
      <c r="W904" s="34"/>
      <c r="X904" s="34"/>
      <c r="Y904" s="34"/>
      <c r="Z904" s="34"/>
      <c r="AA904" s="34"/>
    </row>
    <row r="905" spans="1:27" ht="15">
      <c r="A905" s="66" t="s">
        <v>213</v>
      </c>
      <c r="B905" s="66" t="s">
        <v>782</v>
      </c>
      <c r="C905" s="67" t="s">
        <v>4454</v>
      </c>
      <c r="D905" s="68">
        <v>5</v>
      </c>
      <c r="E905" s="69"/>
      <c r="F905" s="70">
        <v>20</v>
      </c>
      <c r="G905" s="67"/>
      <c r="H905" s="71"/>
      <c r="I905" s="72"/>
      <c r="J905" s="72"/>
      <c r="K905" s="34" t="s">
        <v>65</v>
      </c>
      <c r="L905" s="79">
        <v>905</v>
      </c>
      <c r="M905" s="79"/>
      <c r="N905" s="74"/>
      <c r="O905" s="81" t="s">
        <v>944</v>
      </c>
      <c r="P905">
        <v>1</v>
      </c>
      <c r="Q905" s="80" t="str">
        <f>REPLACE(INDEX(GroupVertices[Group],MATCH(Edges[[#This Row],[Vertex 1]],GroupVertices[Vertex],0)),1,1,"")</f>
        <v>2</v>
      </c>
      <c r="R905" s="80" t="str">
        <f>REPLACE(INDEX(GroupVertices[Group],MATCH(Edges[[#This Row],[Vertex 2]],GroupVertices[Vertex],0)),1,1,"")</f>
        <v>4</v>
      </c>
      <c r="S905" s="34"/>
      <c r="T905" s="34"/>
      <c r="U905" s="34"/>
      <c r="V905" s="34"/>
      <c r="W905" s="34"/>
      <c r="X905" s="34"/>
      <c r="Y905" s="34"/>
      <c r="Z905" s="34"/>
      <c r="AA905" s="34"/>
    </row>
    <row r="906" spans="1:27" ht="15">
      <c r="A906" s="66" t="s">
        <v>213</v>
      </c>
      <c r="B906" s="66" t="s">
        <v>240</v>
      </c>
      <c r="C906" s="67" t="s">
        <v>4454</v>
      </c>
      <c r="D906" s="68">
        <v>5</v>
      </c>
      <c r="E906" s="69"/>
      <c r="F906" s="70">
        <v>20</v>
      </c>
      <c r="G906" s="67"/>
      <c r="H906" s="71"/>
      <c r="I906" s="72"/>
      <c r="J906" s="72"/>
      <c r="K906" s="34" t="s">
        <v>66</v>
      </c>
      <c r="L906" s="79">
        <v>906</v>
      </c>
      <c r="M906" s="79"/>
      <c r="N906" s="74"/>
      <c r="O906" s="81" t="s">
        <v>944</v>
      </c>
      <c r="P906">
        <v>1</v>
      </c>
      <c r="Q906" s="80" t="str">
        <f>REPLACE(INDEX(GroupVertices[Group],MATCH(Edges[[#This Row],[Vertex 1]],GroupVertices[Vertex],0)),1,1,"")</f>
        <v>2</v>
      </c>
      <c r="R906" s="80" t="str">
        <f>REPLACE(INDEX(GroupVertices[Group],MATCH(Edges[[#This Row],[Vertex 2]],GroupVertices[Vertex],0)),1,1,"")</f>
        <v>2</v>
      </c>
      <c r="S906" s="34"/>
      <c r="T906" s="34"/>
      <c r="U906" s="34"/>
      <c r="V906" s="34"/>
      <c r="W906" s="34"/>
      <c r="X906" s="34"/>
      <c r="Y906" s="34"/>
      <c r="Z906" s="34"/>
      <c r="AA906" s="34"/>
    </row>
    <row r="907" spans="1:27" ht="15">
      <c r="A907" s="66" t="s">
        <v>213</v>
      </c>
      <c r="B907" s="66" t="s">
        <v>222</v>
      </c>
      <c r="C907" s="67" t="s">
        <v>4454</v>
      </c>
      <c r="D907" s="68">
        <v>5</v>
      </c>
      <c r="E907" s="69"/>
      <c r="F907" s="70">
        <v>20</v>
      </c>
      <c r="G907" s="67"/>
      <c r="H907" s="71"/>
      <c r="I907" s="72"/>
      <c r="J907" s="72"/>
      <c r="K907" s="34" t="s">
        <v>66</v>
      </c>
      <c r="L907" s="79">
        <v>907</v>
      </c>
      <c r="M907" s="79"/>
      <c r="N907" s="74"/>
      <c r="O907" s="81" t="s">
        <v>944</v>
      </c>
      <c r="P907">
        <v>1</v>
      </c>
      <c r="Q907" s="80" t="str">
        <f>REPLACE(INDEX(GroupVertices[Group],MATCH(Edges[[#This Row],[Vertex 1]],GroupVertices[Vertex],0)),1,1,"")</f>
        <v>2</v>
      </c>
      <c r="R907" s="80" t="str">
        <f>REPLACE(INDEX(GroupVertices[Group],MATCH(Edges[[#This Row],[Vertex 2]],GroupVertices[Vertex],0)),1,1,"")</f>
        <v>2</v>
      </c>
      <c r="S907" s="34"/>
      <c r="T907" s="34"/>
      <c r="U907" s="34"/>
      <c r="V907" s="34"/>
      <c r="W907" s="34"/>
      <c r="X907" s="34"/>
      <c r="Y907" s="34"/>
      <c r="Z907" s="34"/>
      <c r="AA907" s="34"/>
    </row>
    <row r="908" spans="1:27" ht="15">
      <c r="A908" s="66" t="s">
        <v>213</v>
      </c>
      <c r="B908" s="66" t="s">
        <v>217</v>
      </c>
      <c r="C908" s="67" t="s">
        <v>4454</v>
      </c>
      <c r="D908" s="68">
        <v>5</v>
      </c>
      <c r="E908" s="69"/>
      <c r="F908" s="70">
        <v>20</v>
      </c>
      <c r="G908" s="67"/>
      <c r="H908" s="71"/>
      <c r="I908" s="72"/>
      <c r="J908" s="72"/>
      <c r="K908" s="34" t="s">
        <v>65</v>
      </c>
      <c r="L908" s="79">
        <v>908</v>
      </c>
      <c r="M908" s="79"/>
      <c r="N908" s="74"/>
      <c r="O908" s="81" t="s">
        <v>944</v>
      </c>
      <c r="P908">
        <v>1</v>
      </c>
      <c r="Q908" s="80" t="str">
        <f>REPLACE(INDEX(GroupVertices[Group],MATCH(Edges[[#This Row],[Vertex 1]],GroupVertices[Vertex],0)),1,1,"")</f>
        <v>2</v>
      </c>
      <c r="R908" s="80" t="str">
        <f>REPLACE(INDEX(GroupVertices[Group],MATCH(Edges[[#This Row],[Vertex 2]],GroupVertices[Vertex],0)),1,1,"")</f>
        <v>4</v>
      </c>
      <c r="S908" s="34"/>
      <c r="T908" s="34"/>
      <c r="U908" s="34"/>
      <c r="V908" s="34"/>
      <c r="W908" s="34"/>
      <c r="X908" s="34"/>
      <c r="Y908" s="34"/>
      <c r="Z908" s="34"/>
      <c r="AA908" s="34"/>
    </row>
    <row r="909" spans="1:27" ht="15">
      <c r="A909" s="66" t="s">
        <v>213</v>
      </c>
      <c r="B909" s="66" t="s">
        <v>254</v>
      </c>
      <c r="C909" s="67" t="s">
        <v>4454</v>
      </c>
      <c r="D909" s="68">
        <v>5</v>
      </c>
      <c r="E909" s="69"/>
      <c r="F909" s="70">
        <v>20</v>
      </c>
      <c r="G909" s="67"/>
      <c r="H909" s="71"/>
      <c r="I909" s="72"/>
      <c r="J909" s="72"/>
      <c r="K909" s="34" t="s">
        <v>65</v>
      </c>
      <c r="L909" s="79">
        <v>909</v>
      </c>
      <c r="M909" s="79"/>
      <c r="N909" s="74"/>
      <c r="O909" s="81" t="s">
        <v>944</v>
      </c>
      <c r="P909">
        <v>1</v>
      </c>
      <c r="Q909" s="80" t="str">
        <f>REPLACE(INDEX(GroupVertices[Group],MATCH(Edges[[#This Row],[Vertex 1]],GroupVertices[Vertex],0)),1,1,"")</f>
        <v>2</v>
      </c>
      <c r="R909" s="80" t="str">
        <f>REPLACE(INDEX(GroupVertices[Group],MATCH(Edges[[#This Row],[Vertex 2]],GroupVertices[Vertex],0)),1,1,"")</f>
        <v>3</v>
      </c>
      <c r="S909" s="34"/>
      <c r="T909" s="34"/>
      <c r="U909" s="34"/>
      <c r="V909" s="34"/>
      <c r="W909" s="34"/>
      <c r="X909" s="34"/>
      <c r="Y909" s="34"/>
      <c r="Z909" s="34"/>
      <c r="AA909" s="34"/>
    </row>
    <row r="910" spans="1:27" ht="15">
      <c r="A910" s="66" t="s">
        <v>213</v>
      </c>
      <c r="B910" s="66" t="s">
        <v>224</v>
      </c>
      <c r="C910" s="67" t="s">
        <v>4454</v>
      </c>
      <c r="D910" s="68">
        <v>5</v>
      </c>
      <c r="E910" s="69"/>
      <c r="F910" s="70">
        <v>20</v>
      </c>
      <c r="G910" s="67"/>
      <c r="H910" s="71"/>
      <c r="I910" s="72"/>
      <c r="J910" s="72"/>
      <c r="K910" s="34" t="s">
        <v>66</v>
      </c>
      <c r="L910" s="79">
        <v>910</v>
      </c>
      <c r="M910" s="79"/>
      <c r="N910" s="74"/>
      <c r="O910" s="81" t="s">
        <v>944</v>
      </c>
      <c r="P910">
        <v>1</v>
      </c>
      <c r="Q910" s="80" t="str">
        <f>REPLACE(INDEX(GroupVertices[Group],MATCH(Edges[[#This Row],[Vertex 1]],GroupVertices[Vertex],0)),1,1,"")</f>
        <v>2</v>
      </c>
      <c r="R910" s="80" t="str">
        <f>REPLACE(INDEX(GroupVertices[Group],MATCH(Edges[[#This Row],[Vertex 2]],GroupVertices[Vertex],0)),1,1,"")</f>
        <v>2</v>
      </c>
      <c r="S910" s="34"/>
      <c r="T910" s="34"/>
      <c r="U910" s="34"/>
      <c r="V910" s="34"/>
      <c r="W910" s="34"/>
      <c r="X910" s="34"/>
      <c r="Y910" s="34"/>
      <c r="Z910" s="34"/>
      <c r="AA910" s="34"/>
    </row>
    <row r="911" spans="1:27" ht="15">
      <c r="A911" s="66" t="s">
        <v>213</v>
      </c>
      <c r="B911" s="66" t="s">
        <v>249</v>
      </c>
      <c r="C911" s="67" t="s">
        <v>4454</v>
      </c>
      <c r="D911" s="68">
        <v>5</v>
      </c>
      <c r="E911" s="69"/>
      <c r="F911" s="70">
        <v>20</v>
      </c>
      <c r="G911" s="67"/>
      <c r="H911" s="71"/>
      <c r="I911" s="72"/>
      <c r="J911" s="72"/>
      <c r="K911" s="34" t="s">
        <v>66</v>
      </c>
      <c r="L911" s="79">
        <v>911</v>
      </c>
      <c r="M911" s="79"/>
      <c r="N911" s="74"/>
      <c r="O911" s="81" t="s">
        <v>944</v>
      </c>
      <c r="P911">
        <v>1</v>
      </c>
      <c r="Q911" s="80" t="str">
        <f>REPLACE(INDEX(GroupVertices[Group],MATCH(Edges[[#This Row],[Vertex 1]],GroupVertices[Vertex],0)),1,1,"")</f>
        <v>2</v>
      </c>
      <c r="R911" s="80" t="str">
        <f>REPLACE(INDEX(GroupVertices[Group],MATCH(Edges[[#This Row],[Vertex 2]],GroupVertices[Vertex],0)),1,1,"")</f>
        <v>2</v>
      </c>
      <c r="S911" s="34"/>
      <c r="T911" s="34"/>
      <c r="U911" s="34"/>
      <c r="V911" s="34"/>
      <c r="W911" s="34"/>
      <c r="X911" s="34"/>
      <c r="Y911" s="34"/>
      <c r="Z911" s="34"/>
      <c r="AA911" s="34"/>
    </row>
    <row r="912" spans="1:27" ht="15">
      <c r="A912" s="66" t="s">
        <v>213</v>
      </c>
      <c r="B912" s="66" t="s">
        <v>221</v>
      </c>
      <c r="C912" s="67" t="s">
        <v>4454</v>
      </c>
      <c r="D912" s="68">
        <v>5</v>
      </c>
      <c r="E912" s="69"/>
      <c r="F912" s="70">
        <v>20</v>
      </c>
      <c r="G912" s="67"/>
      <c r="H912" s="71"/>
      <c r="I912" s="72"/>
      <c r="J912" s="72"/>
      <c r="K912" s="34" t="s">
        <v>66</v>
      </c>
      <c r="L912" s="79">
        <v>912</v>
      </c>
      <c r="M912" s="79"/>
      <c r="N912" s="74"/>
      <c r="O912" s="81" t="s">
        <v>944</v>
      </c>
      <c r="P912">
        <v>1</v>
      </c>
      <c r="Q912" s="80" t="str">
        <f>REPLACE(INDEX(GroupVertices[Group],MATCH(Edges[[#This Row],[Vertex 1]],GroupVertices[Vertex],0)),1,1,"")</f>
        <v>2</v>
      </c>
      <c r="R912" s="80" t="str">
        <f>REPLACE(INDEX(GroupVertices[Group],MATCH(Edges[[#This Row],[Vertex 2]],GroupVertices[Vertex],0)),1,1,"")</f>
        <v>2</v>
      </c>
      <c r="S912" s="34"/>
      <c r="T912" s="34"/>
      <c r="U912" s="34"/>
      <c r="V912" s="34"/>
      <c r="W912" s="34"/>
      <c r="X912" s="34"/>
      <c r="Y912" s="34"/>
      <c r="Z912" s="34"/>
      <c r="AA912" s="34"/>
    </row>
    <row r="913" spans="1:27" ht="15">
      <c r="A913" s="66" t="s">
        <v>213</v>
      </c>
      <c r="B913" s="66" t="s">
        <v>233</v>
      </c>
      <c r="C913" s="67" t="s">
        <v>4454</v>
      </c>
      <c r="D913" s="68">
        <v>5</v>
      </c>
      <c r="E913" s="69"/>
      <c r="F913" s="70">
        <v>20</v>
      </c>
      <c r="G913" s="67"/>
      <c r="H913" s="71"/>
      <c r="I913" s="72"/>
      <c r="J913" s="72"/>
      <c r="K913" s="34" t="s">
        <v>66</v>
      </c>
      <c r="L913" s="79">
        <v>913</v>
      </c>
      <c r="M913" s="79"/>
      <c r="N913" s="74"/>
      <c r="O913" s="81" t="s">
        <v>944</v>
      </c>
      <c r="P913">
        <v>1</v>
      </c>
      <c r="Q913" s="80" t="str">
        <f>REPLACE(INDEX(GroupVertices[Group],MATCH(Edges[[#This Row],[Vertex 1]],GroupVertices[Vertex],0)),1,1,"")</f>
        <v>2</v>
      </c>
      <c r="R913" s="80" t="str">
        <f>REPLACE(INDEX(GroupVertices[Group],MATCH(Edges[[#This Row],[Vertex 2]],GroupVertices[Vertex],0)),1,1,"")</f>
        <v>2</v>
      </c>
      <c r="S913" s="34"/>
      <c r="T913" s="34"/>
      <c r="U913" s="34"/>
      <c r="V913" s="34"/>
      <c r="W913" s="34"/>
      <c r="X913" s="34"/>
      <c r="Y913" s="34"/>
      <c r="Z913" s="34"/>
      <c r="AA913" s="34"/>
    </row>
    <row r="914" spans="1:27" ht="15">
      <c r="A914" s="66" t="s">
        <v>213</v>
      </c>
      <c r="B914" s="66" t="s">
        <v>253</v>
      </c>
      <c r="C914" s="67" t="s">
        <v>4454</v>
      </c>
      <c r="D914" s="68">
        <v>5</v>
      </c>
      <c r="E914" s="69"/>
      <c r="F914" s="70">
        <v>20</v>
      </c>
      <c r="G914" s="67"/>
      <c r="H914" s="71"/>
      <c r="I914" s="72"/>
      <c r="J914" s="72"/>
      <c r="K914" s="34" t="s">
        <v>65</v>
      </c>
      <c r="L914" s="79">
        <v>914</v>
      </c>
      <c r="M914" s="79"/>
      <c r="N914" s="74"/>
      <c r="O914" s="81" t="s">
        <v>944</v>
      </c>
      <c r="P914">
        <v>1</v>
      </c>
      <c r="Q914" s="80" t="str">
        <f>REPLACE(INDEX(GroupVertices[Group],MATCH(Edges[[#This Row],[Vertex 1]],GroupVertices[Vertex],0)),1,1,"")</f>
        <v>2</v>
      </c>
      <c r="R914" s="80" t="str">
        <f>REPLACE(INDEX(GroupVertices[Group],MATCH(Edges[[#This Row],[Vertex 2]],GroupVertices[Vertex],0)),1,1,"")</f>
        <v>1</v>
      </c>
      <c r="S914" s="34"/>
      <c r="T914" s="34"/>
      <c r="U914" s="34"/>
      <c r="V914" s="34"/>
      <c r="W914" s="34"/>
      <c r="X914" s="34"/>
      <c r="Y914" s="34"/>
      <c r="Z914" s="34"/>
      <c r="AA914" s="34"/>
    </row>
    <row r="915" spans="1:27" ht="15">
      <c r="A915" s="66" t="s">
        <v>213</v>
      </c>
      <c r="B915" s="66" t="s">
        <v>232</v>
      </c>
      <c r="C915" s="67" t="s">
        <v>4454</v>
      </c>
      <c r="D915" s="68">
        <v>5</v>
      </c>
      <c r="E915" s="69"/>
      <c r="F915" s="70">
        <v>20</v>
      </c>
      <c r="G915" s="67"/>
      <c r="H915" s="71"/>
      <c r="I915" s="72"/>
      <c r="J915" s="72"/>
      <c r="K915" s="34" t="s">
        <v>65</v>
      </c>
      <c r="L915" s="79">
        <v>915</v>
      </c>
      <c r="M915" s="79"/>
      <c r="N915" s="74"/>
      <c r="O915" s="81" t="s">
        <v>944</v>
      </c>
      <c r="P915">
        <v>1</v>
      </c>
      <c r="Q915" s="80" t="str">
        <f>REPLACE(INDEX(GroupVertices[Group],MATCH(Edges[[#This Row],[Vertex 1]],GroupVertices[Vertex],0)),1,1,"")</f>
        <v>2</v>
      </c>
      <c r="R915" s="80" t="str">
        <f>REPLACE(INDEX(GroupVertices[Group],MATCH(Edges[[#This Row],[Vertex 2]],GroupVertices[Vertex],0)),1,1,"")</f>
        <v>1</v>
      </c>
      <c r="S915" s="34"/>
      <c r="T915" s="34"/>
      <c r="U915" s="34"/>
      <c r="V915" s="34"/>
      <c r="W915" s="34"/>
      <c r="X915" s="34"/>
      <c r="Y915" s="34"/>
      <c r="Z915" s="34"/>
      <c r="AA915" s="34"/>
    </row>
    <row r="916" spans="1:27" ht="15">
      <c r="A916" s="66" t="s">
        <v>213</v>
      </c>
      <c r="B916" s="66" t="s">
        <v>241</v>
      </c>
      <c r="C916" s="67" t="s">
        <v>4454</v>
      </c>
      <c r="D916" s="68">
        <v>5</v>
      </c>
      <c r="E916" s="69"/>
      <c r="F916" s="70">
        <v>20</v>
      </c>
      <c r="G916" s="67"/>
      <c r="H916" s="71"/>
      <c r="I916" s="72"/>
      <c r="J916" s="72"/>
      <c r="K916" s="34" t="s">
        <v>66</v>
      </c>
      <c r="L916" s="79">
        <v>916</v>
      </c>
      <c r="M916" s="79"/>
      <c r="N916" s="74"/>
      <c r="O916" s="81" t="s">
        <v>944</v>
      </c>
      <c r="P916">
        <v>1</v>
      </c>
      <c r="Q916" s="80" t="str">
        <f>REPLACE(INDEX(GroupVertices[Group],MATCH(Edges[[#This Row],[Vertex 1]],GroupVertices[Vertex],0)),1,1,"")</f>
        <v>2</v>
      </c>
      <c r="R916" s="80" t="str">
        <f>REPLACE(INDEX(GroupVertices[Group],MATCH(Edges[[#This Row],[Vertex 2]],GroupVertices[Vertex],0)),1,1,"")</f>
        <v>2</v>
      </c>
      <c r="S916" s="34"/>
      <c r="T916" s="34"/>
      <c r="U916" s="34"/>
      <c r="V916" s="34"/>
      <c r="W916" s="34"/>
      <c r="X916" s="34"/>
      <c r="Y916" s="34"/>
      <c r="Z916" s="34"/>
      <c r="AA916" s="34"/>
    </row>
    <row r="917" spans="1:27" ht="15">
      <c r="A917" s="66" t="s">
        <v>213</v>
      </c>
      <c r="B917" s="66" t="s">
        <v>243</v>
      </c>
      <c r="C917" s="67" t="s">
        <v>4454</v>
      </c>
      <c r="D917" s="68">
        <v>5</v>
      </c>
      <c r="E917" s="69"/>
      <c r="F917" s="70">
        <v>20</v>
      </c>
      <c r="G917" s="67"/>
      <c r="H917" s="71"/>
      <c r="I917" s="72"/>
      <c r="J917" s="72"/>
      <c r="K917" s="34" t="s">
        <v>65</v>
      </c>
      <c r="L917" s="79">
        <v>917</v>
      </c>
      <c r="M917" s="79"/>
      <c r="N917" s="74"/>
      <c r="O917" s="81" t="s">
        <v>944</v>
      </c>
      <c r="P917">
        <v>1</v>
      </c>
      <c r="Q917" s="80" t="str">
        <f>REPLACE(INDEX(GroupVertices[Group],MATCH(Edges[[#This Row],[Vertex 1]],GroupVertices[Vertex],0)),1,1,"")</f>
        <v>2</v>
      </c>
      <c r="R917" s="80" t="str">
        <f>REPLACE(INDEX(GroupVertices[Group],MATCH(Edges[[#This Row],[Vertex 2]],GroupVertices[Vertex],0)),1,1,"")</f>
        <v>2</v>
      </c>
      <c r="S917" s="34"/>
      <c r="T917" s="34"/>
      <c r="U917" s="34"/>
      <c r="V917" s="34"/>
      <c r="W917" s="34"/>
      <c r="X917" s="34"/>
      <c r="Y917" s="34"/>
      <c r="Z917" s="34"/>
      <c r="AA917" s="34"/>
    </row>
    <row r="918" spans="1:27" ht="15">
      <c r="A918" s="66" t="s">
        <v>213</v>
      </c>
      <c r="B918" s="66" t="s">
        <v>259</v>
      </c>
      <c r="C918" s="67" t="s">
        <v>4454</v>
      </c>
      <c r="D918" s="68">
        <v>5</v>
      </c>
      <c r="E918" s="69"/>
      <c r="F918" s="70">
        <v>20</v>
      </c>
      <c r="G918" s="67"/>
      <c r="H918" s="71"/>
      <c r="I918" s="72"/>
      <c r="J918" s="72"/>
      <c r="K918" s="34" t="s">
        <v>65</v>
      </c>
      <c r="L918" s="79">
        <v>918</v>
      </c>
      <c r="M918" s="79"/>
      <c r="N918" s="74"/>
      <c r="O918" s="81" t="s">
        <v>944</v>
      </c>
      <c r="P918">
        <v>1</v>
      </c>
      <c r="Q918" s="80" t="str">
        <f>REPLACE(INDEX(GroupVertices[Group],MATCH(Edges[[#This Row],[Vertex 1]],GroupVertices[Vertex],0)),1,1,"")</f>
        <v>2</v>
      </c>
      <c r="R918" s="80" t="str">
        <f>REPLACE(INDEX(GroupVertices[Group],MATCH(Edges[[#This Row],[Vertex 2]],GroupVertices[Vertex],0)),1,1,"")</f>
        <v>2</v>
      </c>
      <c r="S918" s="34"/>
      <c r="T918" s="34"/>
      <c r="U918" s="34"/>
      <c r="V918" s="34"/>
      <c r="W918" s="34"/>
      <c r="X918" s="34"/>
      <c r="Y918" s="34"/>
      <c r="Z918" s="34"/>
      <c r="AA918" s="34"/>
    </row>
    <row r="919" spans="1:27" ht="15">
      <c r="A919" s="66" t="s">
        <v>213</v>
      </c>
      <c r="B919" s="66" t="s">
        <v>220</v>
      </c>
      <c r="C919" s="67" t="s">
        <v>4454</v>
      </c>
      <c r="D919" s="68">
        <v>5</v>
      </c>
      <c r="E919" s="69"/>
      <c r="F919" s="70">
        <v>20</v>
      </c>
      <c r="G919" s="67"/>
      <c r="H919" s="71"/>
      <c r="I919" s="72"/>
      <c r="J919" s="72"/>
      <c r="K919" s="34" t="s">
        <v>66</v>
      </c>
      <c r="L919" s="79">
        <v>919</v>
      </c>
      <c r="M919" s="79"/>
      <c r="N919" s="74"/>
      <c r="O919" s="81" t="s">
        <v>944</v>
      </c>
      <c r="P919">
        <v>1</v>
      </c>
      <c r="Q919" s="80" t="str">
        <f>REPLACE(INDEX(GroupVertices[Group],MATCH(Edges[[#This Row],[Vertex 1]],GroupVertices[Vertex],0)),1,1,"")</f>
        <v>2</v>
      </c>
      <c r="R919" s="80" t="str">
        <f>REPLACE(INDEX(GroupVertices[Group],MATCH(Edges[[#This Row],[Vertex 2]],GroupVertices[Vertex],0)),1,1,"")</f>
        <v>2</v>
      </c>
      <c r="S919" s="34"/>
      <c r="T919" s="34"/>
      <c r="U919" s="34"/>
      <c r="V919" s="34"/>
      <c r="W919" s="34"/>
      <c r="X919" s="34"/>
      <c r="Y919" s="34"/>
      <c r="Z919" s="34"/>
      <c r="AA919" s="34"/>
    </row>
    <row r="920" spans="1:27" ht="15">
      <c r="A920" s="66" t="s">
        <v>213</v>
      </c>
      <c r="B920" s="66" t="s">
        <v>250</v>
      </c>
      <c r="C920" s="67" t="s">
        <v>4454</v>
      </c>
      <c r="D920" s="68">
        <v>5</v>
      </c>
      <c r="E920" s="69"/>
      <c r="F920" s="70">
        <v>20</v>
      </c>
      <c r="G920" s="67"/>
      <c r="H920" s="71"/>
      <c r="I920" s="72"/>
      <c r="J920" s="72"/>
      <c r="K920" s="34" t="s">
        <v>66</v>
      </c>
      <c r="L920" s="79">
        <v>920</v>
      </c>
      <c r="M920" s="79"/>
      <c r="N920" s="74"/>
      <c r="O920" s="81" t="s">
        <v>944</v>
      </c>
      <c r="P920">
        <v>1</v>
      </c>
      <c r="Q920" s="80" t="str">
        <f>REPLACE(INDEX(GroupVertices[Group],MATCH(Edges[[#This Row],[Vertex 1]],GroupVertices[Vertex],0)),1,1,"")</f>
        <v>2</v>
      </c>
      <c r="R920" s="80" t="str">
        <f>REPLACE(INDEX(GroupVertices[Group],MATCH(Edges[[#This Row],[Vertex 2]],GroupVertices[Vertex],0)),1,1,"")</f>
        <v>2</v>
      </c>
      <c r="S920" s="34"/>
      <c r="T920" s="34"/>
      <c r="U920" s="34"/>
      <c r="V920" s="34"/>
      <c r="W920" s="34"/>
      <c r="X920" s="34"/>
      <c r="Y920" s="34"/>
      <c r="Z920" s="34"/>
      <c r="AA920" s="34"/>
    </row>
    <row r="921" spans="1:27" ht="15">
      <c r="A921" s="66" t="s">
        <v>220</v>
      </c>
      <c r="B921" s="66" t="s">
        <v>213</v>
      </c>
      <c r="C921" s="67" t="s">
        <v>4454</v>
      </c>
      <c r="D921" s="68">
        <v>5</v>
      </c>
      <c r="E921" s="69"/>
      <c r="F921" s="70">
        <v>20</v>
      </c>
      <c r="G921" s="67"/>
      <c r="H921" s="71"/>
      <c r="I921" s="72"/>
      <c r="J921" s="72"/>
      <c r="K921" s="34" t="s">
        <v>66</v>
      </c>
      <c r="L921" s="79">
        <v>921</v>
      </c>
      <c r="M921" s="79"/>
      <c r="N921" s="74"/>
      <c r="O921" s="81" t="s">
        <v>944</v>
      </c>
      <c r="P921">
        <v>1</v>
      </c>
      <c r="Q921" s="80" t="str">
        <f>REPLACE(INDEX(GroupVertices[Group],MATCH(Edges[[#This Row],[Vertex 1]],GroupVertices[Vertex],0)),1,1,"")</f>
        <v>2</v>
      </c>
      <c r="R921" s="80" t="str">
        <f>REPLACE(INDEX(GroupVertices[Group],MATCH(Edges[[#This Row],[Vertex 2]],GroupVertices[Vertex],0)),1,1,"")</f>
        <v>2</v>
      </c>
      <c r="S921" s="34"/>
      <c r="T921" s="34"/>
      <c r="U921" s="34"/>
      <c r="V921" s="34"/>
      <c r="W921" s="34"/>
      <c r="X921" s="34"/>
      <c r="Y921" s="34"/>
      <c r="Z921" s="34"/>
      <c r="AA921" s="34"/>
    </row>
    <row r="922" spans="1:27" ht="15">
      <c r="A922" s="66" t="s">
        <v>221</v>
      </c>
      <c r="B922" s="66" t="s">
        <v>213</v>
      </c>
      <c r="C922" s="67" t="s">
        <v>4454</v>
      </c>
      <c r="D922" s="68">
        <v>5</v>
      </c>
      <c r="E922" s="69"/>
      <c r="F922" s="70">
        <v>20</v>
      </c>
      <c r="G922" s="67"/>
      <c r="H922" s="71"/>
      <c r="I922" s="72"/>
      <c r="J922" s="72"/>
      <c r="K922" s="34" t="s">
        <v>66</v>
      </c>
      <c r="L922" s="79">
        <v>922</v>
      </c>
      <c r="M922" s="79"/>
      <c r="N922" s="74"/>
      <c r="O922" s="81" t="s">
        <v>944</v>
      </c>
      <c r="P922">
        <v>1</v>
      </c>
      <c r="Q922" s="80" t="str">
        <f>REPLACE(INDEX(GroupVertices[Group],MATCH(Edges[[#This Row],[Vertex 1]],GroupVertices[Vertex],0)),1,1,"")</f>
        <v>2</v>
      </c>
      <c r="R922" s="80" t="str">
        <f>REPLACE(INDEX(GroupVertices[Group],MATCH(Edges[[#This Row],[Vertex 2]],GroupVertices[Vertex],0)),1,1,"")</f>
        <v>2</v>
      </c>
      <c r="S922" s="34"/>
      <c r="T922" s="34"/>
      <c r="U922" s="34"/>
      <c r="V922" s="34"/>
      <c r="W922" s="34"/>
      <c r="X922" s="34"/>
      <c r="Y922" s="34"/>
      <c r="Z922" s="34"/>
      <c r="AA922" s="34"/>
    </row>
    <row r="923" spans="1:27" ht="15">
      <c r="A923" s="66" t="s">
        <v>222</v>
      </c>
      <c r="B923" s="66" t="s">
        <v>213</v>
      </c>
      <c r="C923" s="67" t="s">
        <v>4454</v>
      </c>
      <c r="D923" s="68">
        <v>5</v>
      </c>
      <c r="E923" s="69"/>
      <c r="F923" s="70">
        <v>20</v>
      </c>
      <c r="G923" s="67"/>
      <c r="H923" s="71"/>
      <c r="I923" s="72"/>
      <c r="J923" s="72"/>
      <c r="K923" s="34" t="s">
        <v>66</v>
      </c>
      <c r="L923" s="79">
        <v>923</v>
      </c>
      <c r="M923" s="79"/>
      <c r="N923" s="74"/>
      <c r="O923" s="81" t="s">
        <v>944</v>
      </c>
      <c r="P923">
        <v>1</v>
      </c>
      <c r="Q923" s="80" t="str">
        <f>REPLACE(INDEX(GroupVertices[Group],MATCH(Edges[[#This Row],[Vertex 1]],GroupVertices[Vertex],0)),1,1,"")</f>
        <v>2</v>
      </c>
      <c r="R923" s="80" t="str">
        <f>REPLACE(INDEX(GroupVertices[Group],MATCH(Edges[[#This Row],[Vertex 2]],GroupVertices[Vertex],0)),1,1,"")</f>
        <v>2</v>
      </c>
      <c r="S923" s="34"/>
      <c r="T923" s="34"/>
      <c r="U923" s="34"/>
      <c r="V923" s="34"/>
      <c r="W923" s="34"/>
      <c r="X923" s="34"/>
      <c r="Y923" s="34"/>
      <c r="Z923" s="34"/>
      <c r="AA923" s="34"/>
    </row>
    <row r="924" spans="1:27" ht="15">
      <c r="A924" s="66" t="s">
        <v>224</v>
      </c>
      <c r="B924" s="66" t="s">
        <v>213</v>
      </c>
      <c r="C924" s="67" t="s">
        <v>4454</v>
      </c>
      <c r="D924" s="68">
        <v>5</v>
      </c>
      <c r="E924" s="69"/>
      <c r="F924" s="70">
        <v>20</v>
      </c>
      <c r="G924" s="67"/>
      <c r="H924" s="71"/>
      <c r="I924" s="72"/>
      <c r="J924" s="72"/>
      <c r="K924" s="34" t="s">
        <v>66</v>
      </c>
      <c r="L924" s="79">
        <v>924</v>
      </c>
      <c r="M924" s="79"/>
      <c r="N924" s="74"/>
      <c r="O924" s="81" t="s">
        <v>944</v>
      </c>
      <c r="P924">
        <v>1</v>
      </c>
      <c r="Q924" s="80" t="str">
        <f>REPLACE(INDEX(GroupVertices[Group],MATCH(Edges[[#This Row],[Vertex 1]],GroupVertices[Vertex],0)),1,1,"")</f>
        <v>2</v>
      </c>
      <c r="R924" s="80" t="str">
        <f>REPLACE(INDEX(GroupVertices[Group],MATCH(Edges[[#This Row],[Vertex 2]],GroupVertices[Vertex],0)),1,1,"")</f>
        <v>2</v>
      </c>
      <c r="S924" s="34"/>
      <c r="T924" s="34"/>
      <c r="U924" s="34"/>
      <c r="V924" s="34"/>
      <c r="W924" s="34"/>
      <c r="X924" s="34"/>
      <c r="Y924" s="34"/>
      <c r="Z924" s="34"/>
      <c r="AA924" s="34"/>
    </row>
    <row r="925" spans="1:27" ht="15">
      <c r="A925" s="66" t="s">
        <v>233</v>
      </c>
      <c r="B925" s="66" t="s">
        <v>213</v>
      </c>
      <c r="C925" s="67" t="s">
        <v>4454</v>
      </c>
      <c r="D925" s="68">
        <v>5</v>
      </c>
      <c r="E925" s="69"/>
      <c r="F925" s="70">
        <v>20</v>
      </c>
      <c r="G925" s="67"/>
      <c r="H925" s="71"/>
      <c r="I925" s="72"/>
      <c r="J925" s="72"/>
      <c r="K925" s="34" t="s">
        <v>66</v>
      </c>
      <c r="L925" s="79">
        <v>925</v>
      </c>
      <c r="M925" s="79"/>
      <c r="N925" s="74"/>
      <c r="O925" s="81" t="s">
        <v>944</v>
      </c>
      <c r="P925">
        <v>1</v>
      </c>
      <c r="Q925" s="80" t="str">
        <f>REPLACE(INDEX(GroupVertices[Group],MATCH(Edges[[#This Row],[Vertex 1]],GroupVertices[Vertex],0)),1,1,"")</f>
        <v>2</v>
      </c>
      <c r="R925" s="80" t="str">
        <f>REPLACE(INDEX(GroupVertices[Group],MATCH(Edges[[#This Row],[Vertex 2]],GroupVertices[Vertex],0)),1,1,"")</f>
        <v>2</v>
      </c>
      <c r="S925" s="34"/>
      <c r="T925" s="34"/>
      <c r="U925" s="34"/>
      <c r="V925" s="34"/>
      <c r="W925" s="34"/>
      <c r="X925" s="34"/>
      <c r="Y925" s="34"/>
      <c r="Z925" s="34"/>
      <c r="AA925" s="34"/>
    </row>
    <row r="926" spans="1:27" ht="15">
      <c r="A926" s="66" t="s">
        <v>234</v>
      </c>
      <c r="B926" s="66" t="s">
        <v>213</v>
      </c>
      <c r="C926" s="67" t="s">
        <v>4454</v>
      </c>
      <c r="D926" s="68">
        <v>5</v>
      </c>
      <c r="E926" s="69"/>
      <c r="F926" s="70">
        <v>20</v>
      </c>
      <c r="G926" s="67"/>
      <c r="H926" s="71"/>
      <c r="I926" s="72"/>
      <c r="J926" s="72"/>
      <c r="K926" s="34" t="s">
        <v>66</v>
      </c>
      <c r="L926" s="79">
        <v>926</v>
      </c>
      <c r="M926" s="79"/>
      <c r="N926" s="74"/>
      <c r="O926" s="81" t="s">
        <v>944</v>
      </c>
      <c r="P926">
        <v>1</v>
      </c>
      <c r="Q926" s="80" t="str">
        <f>REPLACE(INDEX(GroupVertices[Group],MATCH(Edges[[#This Row],[Vertex 1]],GroupVertices[Vertex],0)),1,1,"")</f>
        <v>4</v>
      </c>
      <c r="R926" s="80" t="str">
        <f>REPLACE(INDEX(GroupVertices[Group],MATCH(Edges[[#This Row],[Vertex 2]],GroupVertices[Vertex],0)),1,1,"")</f>
        <v>2</v>
      </c>
      <c r="S926" s="34"/>
      <c r="T926" s="34"/>
      <c r="U926" s="34"/>
      <c r="V926" s="34"/>
      <c r="W926" s="34"/>
      <c r="X926" s="34"/>
      <c r="Y926" s="34"/>
      <c r="Z926" s="34"/>
      <c r="AA926" s="34"/>
    </row>
    <row r="927" spans="1:27" ht="15">
      <c r="A927" s="66" t="s">
        <v>235</v>
      </c>
      <c r="B927" s="66" t="s">
        <v>213</v>
      </c>
      <c r="C927" s="67" t="s">
        <v>4454</v>
      </c>
      <c r="D927" s="68">
        <v>5</v>
      </c>
      <c r="E927" s="69"/>
      <c r="F927" s="70">
        <v>20</v>
      </c>
      <c r="G927" s="67"/>
      <c r="H927" s="71"/>
      <c r="I927" s="72"/>
      <c r="J927" s="72"/>
      <c r="K927" s="34" t="s">
        <v>66</v>
      </c>
      <c r="L927" s="79">
        <v>927</v>
      </c>
      <c r="M927" s="79"/>
      <c r="N927" s="74"/>
      <c r="O927" s="81" t="s">
        <v>944</v>
      </c>
      <c r="P927">
        <v>1</v>
      </c>
      <c r="Q927" s="80" t="str">
        <f>REPLACE(INDEX(GroupVertices[Group],MATCH(Edges[[#This Row],[Vertex 1]],GroupVertices[Vertex],0)),1,1,"")</f>
        <v>2</v>
      </c>
      <c r="R927" s="80" t="str">
        <f>REPLACE(INDEX(GroupVertices[Group],MATCH(Edges[[#This Row],[Vertex 2]],GroupVertices[Vertex],0)),1,1,"")</f>
        <v>2</v>
      </c>
      <c r="S927" s="34"/>
      <c r="T927" s="34"/>
      <c r="U927" s="34"/>
      <c r="V927" s="34"/>
      <c r="W927" s="34"/>
      <c r="X927" s="34"/>
      <c r="Y927" s="34"/>
      <c r="Z927" s="34"/>
      <c r="AA927" s="34"/>
    </row>
    <row r="928" spans="1:27" ht="15">
      <c r="A928" s="66" t="s">
        <v>238</v>
      </c>
      <c r="B928" s="66" t="s">
        <v>213</v>
      </c>
      <c r="C928" s="67" t="s">
        <v>4454</v>
      </c>
      <c r="D928" s="68">
        <v>5</v>
      </c>
      <c r="E928" s="69"/>
      <c r="F928" s="70">
        <v>20</v>
      </c>
      <c r="G928" s="67"/>
      <c r="H928" s="71"/>
      <c r="I928" s="72"/>
      <c r="J928" s="72"/>
      <c r="K928" s="34" t="s">
        <v>66</v>
      </c>
      <c r="L928" s="79">
        <v>928</v>
      </c>
      <c r="M928" s="79"/>
      <c r="N928" s="74"/>
      <c r="O928" s="81" t="s">
        <v>944</v>
      </c>
      <c r="P928">
        <v>1</v>
      </c>
      <c r="Q928" s="80" t="str">
        <f>REPLACE(INDEX(GroupVertices[Group],MATCH(Edges[[#This Row],[Vertex 1]],GroupVertices[Vertex],0)),1,1,"")</f>
        <v>2</v>
      </c>
      <c r="R928" s="80" t="str">
        <f>REPLACE(INDEX(GroupVertices[Group],MATCH(Edges[[#This Row],[Vertex 2]],GroupVertices[Vertex],0)),1,1,"")</f>
        <v>2</v>
      </c>
      <c r="S928" s="34"/>
      <c r="T928" s="34"/>
      <c r="U928" s="34"/>
      <c r="V928" s="34"/>
      <c r="W928" s="34"/>
      <c r="X928" s="34"/>
      <c r="Y928" s="34"/>
      <c r="Z928" s="34"/>
      <c r="AA928" s="34"/>
    </row>
    <row r="929" spans="1:27" ht="15">
      <c r="A929" s="66" t="s">
        <v>240</v>
      </c>
      <c r="B929" s="66" t="s">
        <v>213</v>
      </c>
      <c r="C929" s="67" t="s">
        <v>4454</v>
      </c>
      <c r="D929" s="68">
        <v>5</v>
      </c>
      <c r="E929" s="69"/>
      <c r="F929" s="70">
        <v>20</v>
      </c>
      <c r="G929" s="67"/>
      <c r="H929" s="71"/>
      <c r="I929" s="72"/>
      <c r="J929" s="72"/>
      <c r="K929" s="34" t="s">
        <v>66</v>
      </c>
      <c r="L929" s="79">
        <v>929</v>
      </c>
      <c r="M929" s="79"/>
      <c r="N929" s="74"/>
      <c r="O929" s="81" t="s">
        <v>944</v>
      </c>
      <c r="P929">
        <v>1</v>
      </c>
      <c r="Q929" s="80" t="str">
        <f>REPLACE(INDEX(GroupVertices[Group],MATCH(Edges[[#This Row],[Vertex 1]],GroupVertices[Vertex],0)),1,1,"")</f>
        <v>2</v>
      </c>
      <c r="R929" s="80" t="str">
        <f>REPLACE(INDEX(GroupVertices[Group],MATCH(Edges[[#This Row],[Vertex 2]],GroupVertices[Vertex],0)),1,1,"")</f>
        <v>2</v>
      </c>
      <c r="S929" s="34"/>
      <c r="T929" s="34"/>
      <c r="U929" s="34"/>
      <c r="V929" s="34"/>
      <c r="W929" s="34"/>
      <c r="X929" s="34"/>
      <c r="Y929" s="34"/>
      <c r="Z929" s="34"/>
      <c r="AA929" s="34"/>
    </row>
    <row r="930" spans="1:27" ht="15">
      <c r="A930" s="66" t="s">
        <v>241</v>
      </c>
      <c r="B930" s="66" t="s">
        <v>213</v>
      </c>
      <c r="C930" s="67" t="s">
        <v>4454</v>
      </c>
      <c r="D930" s="68">
        <v>5</v>
      </c>
      <c r="E930" s="69"/>
      <c r="F930" s="70">
        <v>20</v>
      </c>
      <c r="G930" s="67"/>
      <c r="H930" s="71"/>
      <c r="I930" s="72"/>
      <c r="J930" s="72"/>
      <c r="K930" s="34" t="s">
        <v>66</v>
      </c>
      <c r="L930" s="79">
        <v>930</v>
      </c>
      <c r="M930" s="79"/>
      <c r="N930" s="74"/>
      <c r="O930" s="81" t="s">
        <v>944</v>
      </c>
      <c r="P930">
        <v>1</v>
      </c>
      <c r="Q930" s="80" t="str">
        <f>REPLACE(INDEX(GroupVertices[Group],MATCH(Edges[[#This Row],[Vertex 1]],GroupVertices[Vertex],0)),1,1,"")</f>
        <v>2</v>
      </c>
      <c r="R930" s="80" t="str">
        <f>REPLACE(INDEX(GroupVertices[Group],MATCH(Edges[[#This Row],[Vertex 2]],GroupVertices[Vertex],0)),1,1,"")</f>
        <v>2</v>
      </c>
      <c r="S930" s="34"/>
      <c r="T930" s="34"/>
      <c r="U930" s="34"/>
      <c r="V930" s="34"/>
      <c r="W930" s="34"/>
      <c r="X930" s="34"/>
      <c r="Y930" s="34"/>
      <c r="Z930" s="34"/>
      <c r="AA930" s="34"/>
    </row>
    <row r="931" spans="1:27" ht="15">
      <c r="A931" s="66" t="s">
        <v>242</v>
      </c>
      <c r="B931" s="66" t="s">
        <v>213</v>
      </c>
      <c r="C931" s="67" t="s">
        <v>4454</v>
      </c>
      <c r="D931" s="68">
        <v>5</v>
      </c>
      <c r="E931" s="69"/>
      <c r="F931" s="70">
        <v>20</v>
      </c>
      <c r="G931" s="67"/>
      <c r="H931" s="71"/>
      <c r="I931" s="72"/>
      <c r="J931" s="72"/>
      <c r="K931" s="34" t="s">
        <v>66</v>
      </c>
      <c r="L931" s="79">
        <v>931</v>
      </c>
      <c r="M931" s="79"/>
      <c r="N931" s="74"/>
      <c r="O931" s="81" t="s">
        <v>944</v>
      </c>
      <c r="P931">
        <v>1</v>
      </c>
      <c r="Q931" s="80" t="str">
        <f>REPLACE(INDEX(GroupVertices[Group],MATCH(Edges[[#This Row],[Vertex 1]],GroupVertices[Vertex],0)),1,1,"")</f>
        <v>1</v>
      </c>
      <c r="R931" s="80" t="str">
        <f>REPLACE(INDEX(GroupVertices[Group],MATCH(Edges[[#This Row],[Vertex 2]],GroupVertices[Vertex],0)),1,1,"")</f>
        <v>2</v>
      </c>
      <c r="S931" s="34"/>
      <c r="T931" s="34"/>
      <c r="U931" s="34"/>
      <c r="V931" s="34"/>
      <c r="W931" s="34"/>
      <c r="X931" s="34"/>
      <c r="Y931" s="34"/>
      <c r="Z931" s="34"/>
      <c r="AA931" s="34"/>
    </row>
    <row r="932" spans="1:27" ht="15">
      <c r="A932" s="66" t="s">
        <v>246</v>
      </c>
      <c r="B932" s="66" t="s">
        <v>213</v>
      </c>
      <c r="C932" s="67" t="s">
        <v>4454</v>
      </c>
      <c r="D932" s="68">
        <v>5</v>
      </c>
      <c r="E932" s="69"/>
      <c r="F932" s="70">
        <v>20</v>
      </c>
      <c r="G932" s="67"/>
      <c r="H932" s="71"/>
      <c r="I932" s="72"/>
      <c r="J932" s="72"/>
      <c r="K932" s="34" t="s">
        <v>65</v>
      </c>
      <c r="L932" s="79">
        <v>932</v>
      </c>
      <c r="M932" s="79"/>
      <c r="N932" s="74"/>
      <c r="O932" s="81" t="s">
        <v>944</v>
      </c>
      <c r="P932">
        <v>1</v>
      </c>
      <c r="Q932" s="80" t="str">
        <f>REPLACE(INDEX(GroupVertices[Group],MATCH(Edges[[#This Row],[Vertex 1]],GroupVertices[Vertex],0)),1,1,"")</f>
        <v>2</v>
      </c>
      <c r="R932" s="80" t="str">
        <f>REPLACE(INDEX(GroupVertices[Group],MATCH(Edges[[#This Row],[Vertex 2]],GroupVertices[Vertex],0)),1,1,"")</f>
        <v>2</v>
      </c>
      <c r="S932" s="34"/>
      <c r="T932" s="34"/>
      <c r="U932" s="34"/>
      <c r="V932" s="34"/>
      <c r="W932" s="34"/>
      <c r="X932" s="34"/>
      <c r="Y932" s="34"/>
      <c r="Z932" s="34"/>
      <c r="AA932" s="34"/>
    </row>
    <row r="933" spans="1:27" ht="15">
      <c r="A933" s="66" t="s">
        <v>249</v>
      </c>
      <c r="B933" s="66" t="s">
        <v>213</v>
      </c>
      <c r="C933" s="67" t="s">
        <v>4454</v>
      </c>
      <c r="D933" s="68">
        <v>5</v>
      </c>
      <c r="E933" s="69"/>
      <c r="F933" s="70">
        <v>20</v>
      </c>
      <c r="G933" s="67"/>
      <c r="H933" s="71"/>
      <c r="I933" s="72"/>
      <c r="J933" s="72"/>
      <c r="K933" s="34" t="s">
        <v>66</v>
      </c>
      <c r="L933" s="79">
        <v>933</v>
      </c>
      <c r="M933" s="79"/>
      <c r="N933" s="74"/>
      <c r="O933" s="81" t="s">
        <v>944</v>
      </c>
      <c r="P933">
        <v>1</v>
      </c>
      <c r="Q933" s="80" t="str">
        <f>REPLACE(INDEX(GroupVertices[Group],MATCH(Edges[[#This Row],[Vertex 1]],GroupVertices[Vertex],0)),1,1,"")</f>
        <v>2</v>
      </c>
      <c r="R933" s="80" t="str">
        <f>REPLACE(INDEX(GroupVertices[Group],MATCH(Edges[[#This Row],[Vertex 2]],GroupVertices[Vertex],0)),1,1,"")</f>
        <v>2</v>
      </c>
      <c r="S933" s="34"/>
      <c r="T933" s="34"/>
      <c r="U933" s="34"/>
      <c r="V933" s="34"/>
      <c r="W933" s="34"/>
      <c r="X933" s="34"/>
      <c r="Y933" s="34"/>
      <c r="Z933" s="34"/>
      <c r="AA933" s="34"/>
    </row>
    <row r="934" spans="1:27" ht="15">
      <c r="A934" s="66" t="s">
        <v>250</v>
      </c>
      <c r="B934" s="66" t="s">
        <v>213</v>
      </c>
      <c r="C934" s="67" t="s">
        <v>4454</v>
      </c>
      <c r="D934" s="68">
        <v>5</v>
      </c>
      <c r="E934" s="69"/>
      <c r="F934" s="70">
        <v>20</v>
      </c>
      <c r="G934" s="67"/>
      <c r="H934" s="71"/>
      <c r="I934" s="72"/>
      <c r="J934" s="72"/>
      <c r="K934" s="34" t="s">
        <v>66</v>
      </c>
      <c r="L934" s="79">
        <v>934</v>
      </c>
      <c r="M934" s="79"/>
      <c r="N934" s="74"/>
      <c r="O934" s="81" t="s">
        <v>944</v>
      </c>
      <c r="P934">
        <v>1</v>
      </c>
      <c r="Q934" s="80" t="str">
        <f>REPLACE(INDEX(GroupVertices[Group],MATCH(Edges[[#This Row],[Vertex 1]],GroupVertices[Vertex],0)),1,1,"")</f>
        <v>2</v>
      </c>
      <c r="R934" s="80" t="str">
        <f>REPLACE(INDEX(GroupVertices[Group],MATCH(Edges[[#This Row],[Vertex 2]],GroupVertices[Vertex],0)),1,1,"")</f>
        <v>2</v>
      </c>
      <c r="S934" s="34"/>
      <c r="T934" s="34"/>
      <c r="U934" s="34"/>
      <c r="V934" s="34"/>
      <c r="W934" s="34"/>
      <c r="X934" s="34"/>
      <c r="Y934" s="34"/>
      <c r="Z934" s="34"/>
      <c r="AA934" s="34"/>
    </row>
    <row r="935" spans="1:27" ht="15">
      <c r="A935" s="66" t="s">
        <v>215</v>
      </c>
      <c r="B935" s="66" t="s">
        <v>514</v>
      </c>
      <c r="C935" s="67" t="s">
        <v>4454</v>
      </c>
      <c r="D935" s="68">
        <v>5</v>
      </c>
      <c r="E935" s="69"/>
      <c r="F935" s="70">
        <v>20</v>
      </c>
      <c r="G935" s="67"/>
      <c r="H935" s="71"/>
      <c r="I935" s="72"/>
      <c r="J935" s="72"/>
      <c r="K935" s="34" t="s">
        <v>65</v>
      </c>
      <c r="L935" s="79">
        <v>935</v>
      </c>
      <c r="M935" s="79"/>
      <c r="N935" s="74"/>
      <c r="O935" s="81" t="s">
        <v>944</v>
      </c>
      <c r="P935">
        <v>1</v>
      </c>
      <c r="Q935" s="80" t="str">
        <f>REPLACE(INDEX(GroupVertices[Group],MATCH(Edges[[#This Row],[Vertex 1]],GroupVertices[Vertex],0)),1,1,"")</f>
        <v>3</v>
      </c>
      <c r="R935" s="80" t="str">
        <f>REPLACE(INDEX(GroupVertices[Group],MATCH(Edges[[#This Row],[Vertex 2]],GroupVertices[Vertex],0)),1,1,"")</f>
        <v>3</v>
      </c>
      <c r="S935" s="34"/>
      <c r="T935" s="34"/>
      <c r="U935" s="34"/>
      <c r="V935" s="34"/>
      <c r="W935" s="34"/>
      <c r="X935" s="34"/>
      <c r="Y935" s="34"/>
      <c r="Z935" s="34"/>
      <c r="AA935" s="34"/>
    </row>
    <row r="936" spans="1:27" ht="15">
      <c r="A936" s="66" t="s">
        <v>216</v>
      </c>
      <c r="B936" s="66" t="s">
        <v>514</v>
      </c>
      <c r="C936" s="67" t="s">
        <v>4454</v>
      </c>
      <c r="D936" s="68">
        <v>5</v>
      </c>
      <c r="E936" s="69"/>
      <c r="F936" s="70">
        <v>20</v>
      </c>
      <c r="G936" s="67"/>
      <c r="H936" s="71"/>
      <c r="I936" s="72"/>
      <c r="J936" s="72"/>
      <c r="K936" s="34" t="s">
        <v>65</v>
      </c>
      <c r="L936" s="79">
        <v>936</v>
      </c>
      <c r="M936" s="79"/>
      <c r="N936" s="74"/>
      <c r="O936" s="81" t="s">
        <v>944</v>
      </c>
      <c r="P936">
        <v>1</v>
      </c>
      <c r="Q936" s="80" t="str">
        <f>REPLACE(INDEX(GroupVertices[Group],MATCH(Edges[[#This Row],[Vertex 1]],GroupVertices[Vertex],0)),1,1,"")</f>
        <v>3</v>
      </c>
      <c r="R936" s="80" t="str">
        <f>REPLACE(INDEX(GroupVertices[Group],MATCH(Edges[[#This Row],[Vertex 2]],GroupVertices[Vertex],0)),1,1,"")</f>
        <v>3</v>
      </c>
      <c r="S936" s="34"/>
      <c r="T936" s="34"/>
      <c r="U936" s="34"/>
      <c r="V936" s="34"/>
      <c r="W936" s="34"/>
      <c r="X936" s="34"/>
      <c r="Y936" s="34"/>
      <c r="Z936" s="34"/>
      <c r="AA936" s="34"/>
    </row>
    <row r="937" spans="1:27" ht="15">
      <c r="A937" s="66" t="s">
        <v>221</v>
      </c>
      <c r="B937" s="66" t="s">
        <v>514</v>
      </c>
      <c r="C937" s="67" t="s">
        <v>4454</v>
      </c>
      <c r="D937" s="68">
        <v>5</v>
      </c>
      <c r="E937" s="69"/>
      <c r="F937" s="70">
        <v>20</v>
      </c>
      <c r="G937" s="67"/>
      <c r="H937" s="71"/>
      <c r="I937" s="72"/>
      <c r="J937" s="72"/>
      <c r="K937" s="34" t="s">
        <v>65</v>
      </c>
      <c r="L937" s="79">
        <v>937</v>
      </c>
      <c r="M937" s="79"/>
      <c r="N937" s="74"/>
      <c r="O937" s="81" t="s">
        <v>944</v>
      </c>
      <c r="P937">
        <v>1</v>
      </c>
      <c r="Q937" s="80" t="str">
        <f>REPLACE(INDEX(GroupVertices[Group],MATCH(Edges[[#This Row],[Vertex 1]],GroupVertices[Vertex],0)),1,1,"")</f>
        <v>2</v>
      </c>
      <c r="R937" s="80" t="str">
        <f>REPLACE(INDEX(GroupVertices[Group],MATCH(Edges[[#This Row],[Vertex 2]],GroupVertices[Vertex],0)),1,1,"")</f>
        <v>3</v>
      </c>
      <c r="S937" s="34"/>
      <c r="T937" s="34"/>
      <c r="U937" s="34"/>
      <c r="V937" s="34"/>
      <c r="W937" s="34"/>
      <c r="X937" s="34"/>
      <c r="Y937" s="34"/>
      <c r="Z937" s="34"/>
      <c r="AA937" s="34"/>
    </row>
    <row r="938" spans="1:27" ht="15">
      <c r="A938" s="66" t="s">
        <v>223</v>
      </c>
      <c r="B938" s="66" t="s">
        <v>514</v>
      </c>
      <c r="C938" s="67" t="s">
        <v>4454</v>
      </c>
      <c r="D938" s="68">
        <v>5</v>
      </c>
      <c r="E938" s="69"/>
      <c r="F938" s="70">
        <v>20</v>
      </c>
      <c r="G938" s="67"/>
      <c r="H938" s="71"/>
      <c r="I938" s="72"/>
      <c r="J938" s="72"/>
      <c r="K938" s="34" t="s">
        <v>65</v>
      </c>
      <c r="L938" s="79">
        <v>938</v>
      </c>
      <c r="M938" s="79"/>
      <c r="N938" s="74"/>
      <c r="O938" s="81" t="s">
        <v>944</v>
      </c>
      <c r="P938">
        <v>1</v>
      </c>
      <c r="Q938" s="80" t="str">
        <f>REPLACE(INDEX(GroupVertices[Group],MATCH(Edges[[#This Row],[Vertex 1]],GroupVertices[Vertex],0)),1,1,"")</f>
        <v>3</v>
      </c>
      <c r="R938" s="80" t="str">
        <f>REPLACE(INDEX(GroupVertices[Group],MATCH(Edges[[#This Row],[Vertex 2]],GroupVertices[Vertex],0)),1,1,"")</f>
        <v>3</v>
      </c>
      <c r="S938" s="34"/>
      <c r="T938" s="34"/>
      <c r="U938" s="34"/>
      <c r="V938" s="34"/>
      <c r="W938" s="34"/>
      <c r="X938" s="34"/>
      <c r="Y938" s="34"/>
      <c r="Z938" s="34"/>
      <c r="AA938" s="34"/>
    </row>
    <row r="939" spans="1:27" ht="15">
      <c r="A939" s="66" t="s">
        <v>226</v>
      </c>
      <c r="B939" s="66" t="s">
        <v>514</v>
      </c>
      <c r="C939" s="67" t="s">
        <v>4454</v>
      </c>
      <c r="D939" s="68">
        <v>5</v>
      </c>
      <c r="E939" s="69"/>
      <c r="F939" s="70">
        <v>20</v>
      </c>
      <c r="G939" s="67"/>
      <c r="H939" s="71"/>
      <c r="I939" s="72"/>
      <c r="J939" s="72"/>
      <c r="K939" s="34" t="s">
        <v>65</v>
      </c>
      <c r="L939" s="79">
        <v>939</v>
      </c>
      <c r="M939" s="79"/>
      <c r="N939" s="74"/>
      <c r="O939" s="81" t="s">
        <v>944</v>
      </c>
      <c r="P939">
        <v>1</v>
      </c>
      <c r="Q939" s="80" t="str">
        <f>REPLACE(INDEX(GroupVertices[Group],MATCH(Edges[[#This Row],[Vertex 1]],GroupVertices[Vertex],0)),1,1,"")</f>
        <v>4</v>
      </c>
      <c r="R939" s="80" t="str">
        <f>REPLACE(INDEX(GroupVertices[Group],MATCH(Edges[[#This Row],[Vertex 2]],GroupVertices[Vertex],0)),1,1,"")</f>
        <v>3</v>
      </c>
      <c r="S939" s="34"/>
      <c r="T939" s="34"/>
      <c r="U939" s="34"/>
      <c r="V939" s="34"/>
      <c r="W939" s="34"/>
      <c r="X939" s="34"/>
      <c r="Y939" s="34"/>
      <c r="Z939" s="34"/>
      <c r="AA939" s="34"/>
    </row>
    <row r="940" spans="1:27" ht="15">
      <c r="A940" s="66" t="s">
        <v>227</v>
      </c>
      <c r="B940" s="66" t="s">
        <v>514</v>
      </c>
      <c r="C940" s="67" t="s">
        <v>4454</v>
      </c>
      <c r="D940" s="68">
        <v>5</v>
      </c>
      <c r="E940" s="69"/>
      <c r="F940" s="70">
        <v>20</v>
      </c>
      <c r="G940" s="67"/>
      <c r="H940" s="71"/>
      <c r="I940" s="72"/>
      <c r="J940" s="72"/>
      <c r="K940" s="34" t="s">
        <v>65</v>
      </c>
      <c r="L940" s="79">
        <v>940</v>
      </c>
      <c r="M940" s="79"/>
      <c r="N940" s="74"/>
      <c r="O940" s="81" t="s">
        <v>944</v>
      </c>
      <c r="P940">
        <v>1</v>
      </c>
      <c r="Q940" s="80" t="str">
        <f>REPLACE(INDEX(GroupVertices[Group],MATCH(Edges[[#This Row],[Vertex 1]],GroupVertices[Vertex],0)),1,1,"")</f>
        <v>3</v>
      </c>
      <c r="R940" s="80" t="str">
        <f>REPLACE(INDEX(GroupVertices[Group],MATCH(Edges[[#This Row],[Vertex 2]],GroupVertices[Vertex],0)),1,1,"")</f>
        <v>3</v>
      </c>
      <c r="S940" s="34"/>
      <c r="T940" s="34"/>
      <c r="U940" s="34"/>
      <c r="V940" s="34"/>
      <c r="W940" s="34"/>
      <c r="X940" s="34"/>
      <c r="Y940" s="34"/>
      <c r="Z940" s="34"/>
      <c r="AA940" s="34"/>
    </row>
    <row r="941" spans="1:27" ht="15">
      <c r="A941" s="66" t="s">
        <v>228</v>
      </c>
      <c r="B941" s="66" t="s">
        <v>514</v>
      </c>
      <c r="C941" s="67" t="s">
        <v>4454</v>
      </c>
      <c r="D941" s="68">
        <v>5</v>
      </c>
      <c r="E941" s="69"/>
      <c r="F941" s="70">
        <v>20</v>
      </c>
      <c r="G941" s="67"/>
      <c r="H941" s="71"/>
      <c r="I941" s="72"/>
      <c r="J941" s="72"/>
      <c r="K941" s="34" t="s">
        <v>65</v>
      </c>
      <c r="L941" s="79">
        <v>941</v>
      </c>
      <c r="M941" s="79"/>
      <c r="N941" s="74"/>
      <c r="O941" s="81" t="s">
        <v>944</v>
      </c>
      <c r="P941">
        <v>1</v>
      </c>
      <c r="Q941" s="80" t="str">
        <f>REPLACE(INDEX(GroupVertices[Group],MATCH(Edges[[#This Row],[Vertex 1]],GroupVertices[Vertex],0)),1,1,"")</f>
        <v>3</v>
      </c>
      <c r="R941" s="80" t="str">
        <f>REPLACE(INDEX(GroupVertices[Group],MATCH(Edges[[#This Row],[Vertex 2]],GroupVertices[Vertex],0)),1,1,"")</f>
        <v>3</v>
      </c>
      <c r="S941" s="34"/>
      <c r="T941" s="34"/>
      <c r="U941" s="34"/>
      <c r="V941" s="34"/>
      <c r="W941" s="34"/>
      <c r="X941" s="34"/>
      <c r="Y941" s="34"/>
      <c r="Z941" s="34"/>
      <c r="AA941" s="34"/>
    </row>
    <row r="942" spans="1:27" ht="15">
      <c r="A942" s="66" t="s">
        <v>233</v>
      </c>
      <c r="B942" s="66" t="s">
        <v>514</v>
      </c>
      <c r="C942" s="67" t="s">
        <v>4454</v>
      </c>
      <c r="D942" s="68">
        <v>5</v>
      </c>
      <c r="E942" s="69"/>
      <c r="F942" s="70">
        <v>20</v>
      </c>
      <c r="G942" s="67"/>
      <c r="H942" s="71"/>
      <c r="I942" s="72"/>
      <c r="J942" s="72"/>
      <c r="K942" s="34" t="s">
        <v>65</v>
      </c>
      <c r="L942" s="79">
        <v>942</v>
      </c>
      <c r="M942" s="79"/>
      <c r="N942" s="74"/>
      <c r="O942" s="81" t="s">
        <v>944</v>
      </c>
      <c r="P942">
        <v>1</v>
      </c>
      <c r="Q942" s="80" t="str">
        <f>REPLACE(INDEX(GroupVertices[Group],MATCH(Edges[[#This Row],[Vertex 1]],GroupVertices[Vertex],0)),1,1,"")</f>
        <v>2</v>
      </c>
      <c r="R942" s="80" t="str">
        <f>REPLACE(INDEX(GroupVertices[Group],MATCH(Edges[[#This Row],[Vertex 2]],GroupVertices[Vertex],0)),1,1,"")</f>
        <v>3</v>
      </c>
      <c r="S942" s="34"/>
      <c r="T942" s="34"/>
      <c r="U942" s="34"/>
      <c r="V942" s="34"/>
      <c r="W942" s="34"/>
      <c r="X942" s="34"/>
      <c r="Y942" s="34"/>
      <c r="Z942" s="34"/>
      <c r="AA942" s="34"/>
    </row>
    <row r="943" spans="1:27" ht="15">
      <c r="A943" s="66" t="s">
        <v>236</v>
      </c>
      <c r="B943" s="66" t="s">
        <v>514</v>
      </c>
      <c r="C943" s="67" t="s">
        <v>4454</v>
      </c>
      <c r="D943" s="68">
        <v>5</v>
      </c>
      <c r="E943" s="69"/>
      <c r="F943" s="70">
        <v>20</v>
      </c>
      <c r="G943" s="67"/>
      <c r="H943" s="71"/>
      <c r="I943" s="72"/>
      <c r="J943" s="72"/>
      <c r="K943" s="34" t="s">
        <v>65</v>
      </c>
      <c r="L943" s="79">
        <v>943</v>
      </c>
      <c r="M943" s="79"/>
      <c r="N943" s="74"/>
      <c r="O943" s="81" t="s">
        <v>944</v>
      </c>
      <c r="P943">
        <v>1</v>
      </c>
      <c r="Q943" s="80" t="str">
        <f>REPLACE(INDEX(GroupVertices[Group],MATCH(Edges[[#This Row],[Vertex 1]],GroupVertices[Vertex],0)),1,1,"")</f>
        <v>1</v>
      </c>
      <c r="R943" s="80" t="str">
        <f>REPLACE(INDEX(GroupVertices[Group],MATCH(Edges[[#This Row],[Vertex 2]],GroupVertices[Vertex],0)),1,1,"")</f>
        <v>3</v>
      </c>
      <c r="S943" s="34"/>
      <c r="T943" s="34"/>
      <c r="U943" s="34"/>
      <c r="V943" s="34"/>
      <c r="W943" s="34"/>
      <c r="X943" s="34"/>
      <c r="Y943" s="34"/>
      <c r="Z943" s="34"/>
      <c r="AA943" s="34"/>
    </row>
    <row r="944" spans="1:27" ht="15">
      <c r="A944" s="66" t="s">
        <v>251</v>
      </c>
      <c r="B944" s="66" t="s">
        <v>514</v>
      </c>
      <c r="C944" s="67" t="s">
        <v>4454</v>
      </c>
      <c r="D944" s="68">
        <v>5</v>
      </c>
      <c r="E944" s="69"/>
      <c r="F944" s="70">
        <v>20</v>
      </c>
      <c r="G944" s="67"/>
      <c r="H944" s="71"/>
      <c r="I944" s="72"/>
      <c r="J944" s="72"/>
      <c r="K944" s="34" t="s">
        <v>65</v>
      </c>
      <c r="L944" s="79">
        <v>944</v>
      </c>
      <c r="M944" s="79"/>
      <c r="N944" s="74"/>
      <c r="O944" s="81" t="s">
        <v>944</v>
      </c>
      <c r="P944">
        <v>1</v>
      </c>
      <c r="Q944" s="80" t="str">
        <f>REPLACE(INDEX(GroupVertices[Group],MATCH(Edges[[#This Row],[Vertex 1]],GroupVertices[Vertex],0)),1,1,"")</f>
        <v>2</v>
      </c>
      <c r="R944" s="80" t="str">
        <f>REPLACE(INDEX(GroupVertices[Group],MATCH(Edges[[#This Row],[Vertex 2]],GroupVertices[Vertex],0)),1,1,"")</f>
        <v>3</v>
      </c>
      <c r="S944" s="34"/>
      <c r="T944" s="34"/>
      <c r="U944" s="34"/>
      <c r="V944" s="34"/>
      <c r="W944" s="34"/>
      <c r="X944" s="34"/>
      <c r="Y944" s="34"/>
      <c r="Z944" s="34"/>
      <c r="AA944" s="34"/>
    </row>
    <row r="945" spans="1:27" ht="15">
      <c r="A945" s="66" t="s">
        <v>226</v>
      </c>
      <c r="B945" s="66" t="s">
        <v>732</v>
      </c>
      <c r="C945" s="67" t="s">
        <v>4454</v>
      </c>
      <c r="D945" s="68">
        <v>5</v>
      </c>
      <c r="E945" s="69"/>
      <c r="F945" s="70">
        <v>20</v>
      </c>
      <c r="G945" s="67"/>
      <c r="H945" s="71"/>
      <c r="I945" s="72"/>
      <c r="J945" s="72"/>
      <c r="K945" s="34" t="s">
        <v>65</v>
      </c>
      <c r="L945" s="79">
        <v>945</v>
      </c>
      <c r="M945" s="79"/>
      <c r="N945" s="74"/>
      <c r="O945" s="81" t="s">
        <v>944</v>
      </c>
      <c r="P945">
        <v>1</v>
      </c>
      <c r="Q945" s="80" t="str">
        <f>REPLACE(INDEX(GroupVertices[Group],MATCH(Edges[[#This Row],[Vertex 1]],GroupVertices[Vertex],0)),1,1,"")</f>
        <v>4</v>
      </c>
      <c r="R945" s="80" t="str">
        <f>REPLACE(INDEX(GroupVertices[Group],MATCH(Edges[[#This Row],[Vertex 2]],GroupVertices[Vertex],0)),1,1,"")</f>
        <v>4</v>
      </c>
      <c r="S945" s="34"/>
      <c r="T945" s="34"/>
      <c r="U945" s="34"/>
      <c r="V945" s="34"/>
      <c r="W945" s="34"/>
      <c r="X945" s="34"/>
      <c r="Y945" s="34"/>
      <c r="Z945" s="34"/>
      <c r="AA945" s="34"/>
    </row>
    <row r="946" spans="1:27" ht="15">
      <c r="A946" s="66" t="s">
        <v>251</v>
      </c>
      <c r="B946" s="66" t="s">
        <v>732</v>
      </c>
      <c r="C946" s="67" t="s">
        <v>4454</v>
      </c>
      <c r="D946" s="68">
        <v>5</v>
      </c>
      <c r="E946" s="69"/>
      <c r="F946" s="70">
        <v>20</v>
      </c>
      <c r="G946" s="67"/>
      <c r="H946" s="71"/>
      <c r="I946" s="72"/>
      <c r="J946" s="72"/>
      <c r="K946" s="34" t="s">
        <v>65</v>
      </c>
      <c r="L946" s="79">
        <v>946</v>
      </c>
      <c r="M946" s="79"/>
      <c r="N946" s="74"/>
      <c r="O946" s="81" t="s">
        <v>944</v>
      </c>
      <c r="P946">
        <v>1</v>
      </c>
      <c r="Q946" s="80" t="str">
        <f>REPLACE(INDEX(GroupVertices[Group],MATCH(Edges[[#This Row],[Vertex 1]],GroupVertices[Vertex],0)),1,1,"")</f>
        <v>2</v>
      </c>
      <c r="R946" s="80" t="str">
        <f>REPLACE(INDEX(GroupVertices[Group],MATCH(Edges[[#This Row],[Vertex 2]],GroupVertices[Vertex],0)),1,1,"")</f>
        <v>4</v>
      </c>
      <c r="S946" s="34"/>
      <c r="T946" s="34"/>
      <c r="U946" s="34"/>
      <c r="V946" s="34"/>
      <c r="W946" s="34"/>
      <c r="X946" s="34"/>
      <c r="Y946" s="34"/>
      <c r="Z946" s="34"/>
      <c r="AA946" s="34"/>
    </row>
    <row r="947" spans="1:27" ht="15">
      <c r="A947" s="66" t="s">
        <v>220</v>
      </c>
      <c r="B947" s="66" t="s">
        <v>614</v>
      </c>
      <c r="C947" s="67" t="s">
        <v>4454</v>
      </c>
      <c r="D947" s="68">
        <v>5</v>
      </c>
      <c r="E947" s="69"/>
      <c r="F947" s="70">
        <v>20</v>
      </c>
      <c r="G947" s="67"/>
      <c r="H947" s="71"/>
      <c r="I947" s="72"/>
      <c r="J947" s="72"/>
      <c r="K947" s="34" t="s">
        <v>65</v>
      </c>
      <c r="L947" s="79">
        <v>947</v>
      </c>
      <c r="M947" s="79"/>
      <c r="N947" s="74"/>
      <c r="O947" s="81" t="s">
        <v>944</v>
      </c>
      <c r="P947">
        <v>1</v>
      </c>
      <c r="Q947" s="80" t="str">
        <f>REPLACE(INDEX(GroupVertices[Group],MATCH(Edges[[#This Row],[Vertex 1]],GroupVertices[Vertex],0)),1,1,"")</f>
        <v>2</v>
      </c>
      <c r="R947" s="80" t="str">
        <f>REPLACE(INDEX(GroupVertices[Group],MATCH(Edges[[#This Row],[Vertex 2]],GroupVertices[Vertex],0)),1,1,"")</f>
        <v>2</v>
      </c>
      <c r="S947" s="34"/>
      <c r="T947" s="34"/>
      <c r="U947" s="34"/>
      <c r="V947" s="34"/>
      <c r="W947" s="34"/>
      <c r="X947" s="34"/>
      <c r="Y947" s="34"/>
      <c r="Z947" s="34"/>
      <c r="AA947" s="34"/>
    </row>
    <row r="948" spans="1:27" ht="15">
      <c r="A948" s="66" t="s">
        <v>222</v>
      </c>
      <c r="B948" s="66" t="s">
        <v>614</v>
      </c>
      <c r="C948" s="67" t="s">
        <v>4454</v>
      </c>
      <c r="D948" s="68">
        <v>5</v>
      </c>
      <c r="E948" s="69"/>
      <c r="F948" s="70">
        <v>20</v>
      </c>
      <c r="G948" s="67"/>
      <c r="H948" s="71"/>
      <c r="I948" s="72"/>
      <c r="J948" s="72"/>
      <c r="K948" s="34" t="s">
        <v>65</v>
      </c>
      <c r="L948" s="79">
        <v>948</v>
      </c>
      <c r="M948" s="79"/>
      <c r="N948" s="74"/>
      <c r="O948" s="81" t="s">
        <v>944</v>
      </c>
      <c r="P948">
        <v>1</v>
      </c>
      <c r="Q948" s="80" t="str">
        <f>REPLACE(INDEX(GroupVertices[Group],MATCH(Edges[[#This Row],[Vertex 1]],GroupVertices[Vertex],0)),1,1,"")</f>
        <v>2</v>
      </c>
      <c r="R948" s="80" t="str">
        <f>REPLACE(INDEX(GroupVertices[Group],MATCH(Edges[[#This Row],[Vertex 2]],GroupVertices[Vertex],0)),1,1,"")</f>
        <v>2</v>
      </c>
      <c r="S948" s="34"/>
      <c r="T948" s="34"/>
      <c r="U948" s="34"/>
      <c r="V948" s="34"/>
      <c r="W948" s="34"/>
      <c r="X948" s="34"/>
      <c r="Y948" s="34"/>
      <c r="Z948" s="34"/>
      <c r="AA948" s="34"/>
    </row>
    <row r="949" spans="1:27" ht="15">
      <c r="A949" s="66" t="s">
        <v>238</v>
      </c>
      <c r="B949" s="66" t="s">
        <v>614</v>
      </c>
      <c r="C949" s="67" t="s">
        <v>4454</v>
      </c>
      <c r="D949" s="68">
        <v>5</v>
      </c>
      <c r="E949" s="69"/>
      <c r="F949" s="70">
        <v>20</v>
      </c>
      <c r="G949" s="67"/>
      <c r="H949" s="71"/>
      <c r="I949" s="72"/>
      <c r="J949" s="72"/>
      <c r="K949" s="34" t="s">
        <v>65</v>
      </c>
      <c r="L949" s="79">
        <v>949</v>
      </c>
      <c r="M949" s="79"/>
      <c r="N949" s="74"/>
      <c r="O949" s="81" t="s">
        <v>944</v>
      </c>
      <c r="P949">
        <v>1</v>
      </c>
      <c r="Q949" s="80" t="str">
        <f>REPLACE(INDEX(GroupVertices[Group],MATCH(Edges[[#This Row],[Vertex 1]],GroupVertices[Vertex],0)),1,1,"")</f>
        <v>2</v>
      </c>
      <c r="R949" s="80" t="str">
        <f>REPLACE(INDEX(GroupVertices[Group],MATCH(Edges[[#This Row],[Vertex 2]],GroupVertices[Vertex],0)),1,1,"")</f>
        <v>2</v>
      </c>
      <c r="S949" s="34"/>
      <c r="T949" s="34"/>
      <c r="U949" s="34"/>
      <c r="V949" s="34"/>
      <c r="W949" s="34"/>
      <c r="X949" s="34"/>
      <c r="Y949" s="34"/>
      <c r="Z949" s="34"/>
      <c r="AA949" s="34"/>
    </row>
    <row r="950" spans="1:27" ht="15">
      <c r="A950" s="66" t="s">
        <v>241</v>
      </c>
      <c r="B950" s="66" t="s">
        <v>614</v>
      </c>
      <c r="C950" s="67" t="s">
        <v>4454</v>
      </c>
      <c r="D950" s="68">
        <v>5</v>
      </c>
      <c r="E950" s="69"/>
      <c r="F950" s="70">
        <v>20</v>
      </c>
      <c r="G950" s="67"/>
      <c r="H950" s="71"/>
      <c r="I950" s="72"/>
      <c r="J950" s="72"/>
      <c r="K950" s="34" t="s">
        <v>65</v>
      </c>
      <c r="L950" s="79">
        <v>950</v>
      </c>
      <c r="M950" s="79"/>
      <c r="N950" s="74"/>
      <c r="O950" s="81" t="s">
        <v>944</v>
      </c>
      <c r="P950">
        <v>1</v>
      </c>
      <c r="Q950" s="80" t="str">
        <f>REPLACE(INDEX(GroupVertices[Group],MATCH(Edges[[#This Row],[Vertex 1]],GroupVertices[Vertex],0)),1,1,"")</f>
        <v>2</v>
      </c>
      <c r="R950" s="80" t="str">
        <f>REPLACE(INDEX(GroupVertices[Group],MATCH(Edges[[#This Row],[Vertex 2]],GroupVertices[Vertex],0)),1,1,"")</f>
        <v>2</v>
      </c>
      <c r="S950" s="34"/>
      <c r="T950" s="34"/>
      <c r="U950" s="34"/>
      <c r="V950" s="34"/>
      <c r="W950" s="34"/>
      <c r="X950" s="34"/>
      <c r="Y950" s="34"/>
      <c r="Z950" s="34"/>
      <c r="AA950" s="34"/>
    </row>
    <row r="951" spans="1:27" ht="15">
      <c r="A951" s="66" t="s">
        <v>243</v>
      </c>
      <c r="B951" s="66" t="s">
        <v>614</v>
      </c>
      <c r="C951" s="67" t="s">
        <v>4454</v>
      </c>
      <c r="D951" s="68">
        <v>5</v>
      </c>
      <c r="E951" s="69"/>
      <c r="F951" s="70">
        <v>20</v>
      </c>
      <c r="G951" s="67"/>
      <c r="H951" s="71"/>
      <c r="I951" s="72"/>
      <c r="J951" s="72"/>
      <c r="K951" s="34" t="s">
        <v>65</v>
      </c>
      <c r="L951" s="79">
        <v>951</v>
      </c>
      <c r="M951" s="79"/>
      <c r="N951" s="74"/>
      <c r="O951" s="81" t="s">
        <v>944</v>
      </c>
      <c r="P951">
        <v>1</v>
      </c>
      <c r="Q951" s="80" t="str">
        <f>REPLACE(INDEX(GroupVertices[Group],MATCH(Edges[[#This Row],[Vertex 1]],GroupVertices[Vertex],0)),1,1,"")</f>
        <v>2</v>
      </c>
      <c r="R951" s="80" t="str">
        <f>REPLACE(INDEX(GroupVertices[Group],MATCH(Edges[[#This Row],[Vertex 2]],GroupVertices[Vertex],0)),1,1,"")</f>
        <v>2</v>
      </c>
      <c r="S951" s="34"/>
      <c r="T951" s="34"/>
      <c r="U951" s="34"/>
      <c r="V951" s="34"/>
      <c r="W951" s="34"/>
      <c r="X951" s="34"/>
      <c r="Y951" s="34"/>
      <c r="Z951" s="34"/>
      <c r="AA951" s="34"/>
    </row>
    <row r="952" spans="1:27" ht="15">
      <c r="A952" s="66" t="s">
        <v>246</v>
      </c>
      <c r="B952" s="66" t="s">
        <v>614</v>
      </c>
      <c r="C952" s="67" t="s">
        <v>4454</v>
      </c>
      <c r="D952" s="68">
        <v>5</v>
      </c>
      <c r="E952" s="69"/>
      <c r="F952" s="70">
        <v>20</v>
      </c>
      <c r="G952" s="67"/>
      <c r="H952" s="71"/>
      <c r="I952" s="72"/>
      <c r="J952" s="72"/>
      <c r="K952" s="34" t="s">
        <v>65</v>
      </c>
      <c r="L952" s="79">
        <v>952</v>
      </c>
      <c r="M952" s="79"/>
      <c r="N952" s="74"/>
      <c r="O952" s="81" t="s">
        <v>944</v>
      </c>
      <c r="P952">
        <v>1</v>
      </c>
      <c r="Q952" s="80" t="str">
        <f>REPLACE(INDEX(GroupVertices[Group],MATCH(Edges[[#This Row],[Vertex 1]],GroupVertices[Vertex],0)),1,1,"")</f>
        <v>2</v>
      </c>
      <c r="R952" s="80" t="str">
        <f>REPLACE(INDEX(GroupVertices[Group],MATCH(Edges[[#This Row],[Vertex 2]],GroupVertices[Vertex],0)),1,1,"")</f>
        <v>2</v>
      </c>
      <c r="S952" s="34"/>
      <c r="T952" s="34"/>
      <c r="U952" s="34"/>
      <c r="V952" s="34"/>
      <c r="W952" s="34"/>
      <c r="X952" s="34"/>
      <c r="Y952" s="34"/>
      <c r="Z952" s="34"/>
      <c r="AA952" s="34"/>
    </row>
    <row r="953" spans="1:27" ht="15">
      <c r="A953" s="66" t="s">
        <v>251</v>
      </c>
      <c r="B953" s="66" t="s">
        <v>614</v>
      </c>
      <c r="C953" s="67" t="s">
        <v>4454</v>
      </c>
      <c r="D953" s="68">
        <v>5</v>
      </c>
      <c r="E953" s="69"/>
      <c r="F953" s="70">
        <v>20</v>
      </c>
      <c r="G953" s="67"/>
      <c r="H953" s="71"/>
      <c r="I953" s="72"/>
      <c r="J953" s="72"/>
      <c r="K953" s="34" t="s">
        <v>65</v>
      </c>
      <c r="L953" s="79">
        <v>953</v>
      </c>
      <c r="M953" s="79"/>
      <c r="N953" s="74"/>
      <c r="O953" s="81" t="s">
        <v>944</v>
      </c>
      <c r="P953">
        <v>1</v>
      </c>
      <c r="Q953" s="80" t="str">
        <f>REPLACE(INDEX(GroupVertices[Group],MATCH(Edges[[#This Row],[Vertex 1]],GroupVertices[Vertex],0)),1,1,"")</f>
        <v>2</v>
      </c>
      <c r="R953" s="80" t="str">
        <f>REPLACE(INDEX(GroupVertices[Group],MATCH(Edges[[#This Row],[Vertex 2]],GroupVertices[Vertex],0)),1,1,"")</f>
        <v>2</v>
      </c>
      <c r="S953" s="34"/>
      <c r="T953" s="34"/>
      <c r="U953" s="34"/>
      <c r="V953" s="34"/>
      <c r="W953" s="34"/>
      <c r="X953" s="34"/>
      <c r="Y953" s="34"/>
      <c r="Z953" s="34"/>
      <c r="AA953" s="34"/>
    </row>
    <row r="954" spans="1:27" ht="15">
      <c r="A954" s="66" t="s">
        <v>251</v>
      </c>
      <c r="B954" s="66" t="s">
        <v>783</v>
      </c>
      <c r="C954" s="67" t="s">
        <v>4454</v>
      </c>
      <c r="D954" s="68">
        <v>5</v>
      </c>
      <c r="E954" s="69"/>
      <c r="F954" s="70">
        <v>20</v>
      </c>
      <c r="G954" s="67"/>
      <c r="H954" s="71"/>
      <c r="I954" s="72"/>
      <c r="J954" s="72"/>
      <c r="K954" s="34"/>
      <c r="L954" s="79">
        <v>954</v>
      </c>
      <c r="M954" s="79"/>
      <c r="N954" s="74"/>
      <c r="O954" s="81" t="s">
        <v>944</v>
      </c>
      <c r="P954">
        <v>1</v>
      </c>
      <c r="Q954" s="80" t="str">
        <f>REPLACE(INDEX(GroupVertices[Group],MATCH(Edges[[#This Row],[Vertex 1]],GroupVertices[Vertex],0)),1,1,"")</f>
        <v>2</v>
      </c>
      <c r="R954" s="80" t="e">
        <f>REPLACE(INDEX(GroupVertices[Group],MATCH(Edges[[#This Row],[Vertex 2]],GroupVertices[Vertex],0)),1,1,"")</f>
        <v>#N/A</v>
      </c>
      <c r="S954" s="34"/>
      <c r="T954" s="34"/>
      <c r="U954" s="34"/>
      <c r="V954" s="34"/>
      <c r="W954" s="34"/>
      <c r="X954" s="34"/>
      <c r="Y954" s="34"/>
      <c r="Z954" s="34"/>
      <c r="AA954" s="34"/>
    </row>
    <row r="955" spans="1:27" ht="15">
      <c r="A955" s="66" t="s">
        <v>222</v>
      </c>
      <c r="B955" s="66" t="s">
        <v>784</v>
      </c>
      <c r="C955" s="67" t="s">
        <v>4454</v>
      </c>
      <c r="D955" s="68">
        <v>5</v>
      </c>
      <c r="E955" s="69"/>
      <c r="F955" s="70">
        <v>20</v>
      </c>
      <c r="G955" s="67"/>
      <c r="H955" s="71"/>
      <c r="I955" s="72"/>
      <c r="J955" s="72"/>
      <c r="K955" s="34" t="s">
        <v>65</v>
      </c>
      <c r="L955" s="79">
        <v>955</v>
      </c>
      <c r="M955" s="79"/>
      <c r="N955" s="74"/>
      <c r="O955" s="81" t="s">
        <v>944</v>
      </c>
      <c r="P955">
        <v>1</v>
      </c>
      <c r="Q955" s="80" t="str">
        <f>REPLACE(INDEX(GroupVertices[Group],MATCH(Edges[[#This Row],[Vertex 1]],GroupVertices[Vertex],0)),1,1,"")</f>
        <v>2</v>
      </c>
      <c r="R955" s="80" t="str">
        <f>REPLACE(INDEX(GroupVertices[Group],MATCH(Edges[[#This Row],[Vertex 2]],GroupVertices[Vertex],0)),1,1,"")</f>
        <v>2</v>
      </c>
      <c r="S955" s="34"/>
      <c r="T955" s="34"/>
      <c r="U955" s="34"/>
      <c r="V955" s="34"/>
      <c r="W955" s="34"/>
      <c r="X955" s="34"/>
      <c r="Y955" s="34"/>
      <c r="Z955" s="34"/>
      <c r="AA955" s="34"/>
    </row>
    <row r="956" spans="1:27" ht="15">
      <c r="A956" s="66" t="s">
        <v>243</v>
      </c>
      <c r="B956" s="66" t="s">
        <v>784</v>
      </c>
      <c r="C956" s="67" t="s">
        <v>4454</v>
      </c>
      <c r="D956" s="68">
        <v>5</v>
      </c>
      <c r="E956" s="69"/>
      <c r="F956" s="70">
        <v>20</v>
      </c>
      <c r="G956" s="67"/>
      <c r="H956" s="71"/>
      <c r="I956" s="72"/>
      <c r="J956" s="72"/>
      <c r="K956" s="34" t="s">
        <v>65</v>
      </c>
      <c r="L956" s="79">
        <v>956</v>
      </c>
      <c r="M956" s="79"/>
      <c r="N956" s="74"/>
      <c r="O956" s="81" t="s">
        <v>944</v>
      </c>
      <c r="P956">
        <v>1</v>
      </c>
      <c r="Q956" s="80" t="str">
        <f>REPLACE(INDEX(GroupVertices[Group],MATCH(Edges[[#This Row],[Vertex 1]],GroupVertices[Vertex],0)),1,1,"")</f>
        <v>2</v>
      </c>
      <c r="R956" s="80" t="str">
        <f>REPLACE(INDEX(GroupVertices[Group],MATCH(Edges[[#This Row],[Vertex 2]],GroupVertices[Vertex],0)),1,1,"")</f>
        <v>2</v>
      </c>
      <c r="S956" s="34"/>
      <c r="T956" s="34"/>
      <c r="U956" s="34"/>
      <c r="V956" s="34"/>
      <c r="W956" s="34"/>
      <c r="X956" s="34"/>
      <c r="Y956" s="34"/>
      <c r="Z956" s="34"/>
      <c r="AA956" s="34"/>
    </row>
    <row r="957" spans="1:27" ht="15">
      <c r="A957" s="66" t="s">
        <v>251</v>
      </c>
      <c r="B957" s="66" t="s">
        <v>784</v>
      </c>
      <c r="C957" s="67" t="s">
        <v>4454</v>
      </c>
      <c r="D957" s="68">
        <v>5</v>
      </c>
      <c r="E957" s="69"/>
      <c r="F957" s="70">
        <v>20</v>
      </c>
      <c r="G957" s="67"/>
      <c r="H957" s="71"/>
      <c r="I957" s="72"/>
      <c r="J957" s="72"/>
      <c r="K957" s="34" t="s">
        <v>65</v>
      </c>
      <c r="L957" s="79">
        <v>957</v>
      </c>
      <c r="M957" s="79"/>
      <c r="N957" s="74"/>
      <c r="O957" s="81" t="s">
        <v>944</v>
      </c>
      <c r="P957">
        <v>1</v>
      </c>
      <c r="Q957" s="80" t="str">
        <f>REPLACE(INDEX(GroupVertices[Group],MATCH(Edges[[#This Row],[Vertex 1]],GroupVertices[Vertex],0)),1,1,"")</f>
        <v>2</v>
      </c>
      <c r="R957" s="80" t="str">
        <f>REPLACE(INDEX(GroupVertices[Group],MATCH(Edges[[#This Row],[Vertex 2]],GroupVertices[Vertex],0)),1,1,"")</f>
        <v>2</v>
      </c>
      <c r="S957" s="34"/>
      <c r="T957" s="34"/>
      <c r="U957" s="34"/>
      <c r="V957" s="34"/>
      <c r="W957" s="34"/>
      <c r="X957" s="34"/>
      <c r="Y957" s="34"/>
      <c r="Z957" s="34"/>
      <c r="AA957" s="34"/>
    </row>
    <row r="958" spans="1:27" ht="15">
      <c r="A958" s="66" t="s">
        <v>251</v>
      </c>
      <c r="B958" s="66" t="s">
        <v>785</v>
      </c>
      <c r="C958" s="67" t="s">
        <v>4454</v>
      </c>
      <c r="D958" s="68">
        <v>5</v>
      </c>
      <c r="E958" s="69"/>
      <c r="F958" s="70">
        <v>20</v>
      </c>
      <c r="G958" s="67"/>
      <c r="H958" s="71"/>
      <c r="I958" s="72"/>
      <c r="J958" s="72"/>
      <c r="K958" s="34"/>
      <c r="L958" s="79">
        <v>958</v>
      </c>
      <c r="M958" s="79"/>
      <c r="N958" s="74"/>
      <c r="O958" s="81" t="s">
        <v>944</v>
      </c>
      <c r="P958">
        <v>1</v>
      </c>
      <c r="Q958" s="80" t="str">
        <f>REPLACE(INDEX(GroupVertices[Group],MATCH(Edges[[#This Row],[Vertex 1]],GroupVertices[Vertex],0)),1,1,"")</f>
        <v>2</v>
      </c>
      <c r="R958" s="80" t="e">
        <f>REPLACE(INDEX(GroupVertices[Group],MATCH(Edges[[#This Row],[Vertex 2]],GroupVertices[Vertex],0)),1,1,"")</f>
        <v>#N/A</v>
      </c>
      <c r="S958" s="34"/>
      <c r="T958" s="34"/>
      <c r="U958" s="34"/>
      <c r="V958" s="34"/>
      <c r="W958" s="34"/>
      <c r="X958" s="34"/>
      <c r="Y958" s="34"/>
      <c r="Z958" s="34"/>
      <c r="AA958" s="34"/>
    </row>
    <row r="959" spans="1:27" ht="15">
      <c r="A959" s="66" t="s">
        <v>226</v>
      </c>
      <c r="B959" s="66" t="s">
        <v>786</v>
      </c>
      <c r="C959" s="67" t="s">
        <v>4454</v>
      </c>
      <c r="D959" s="68">
        <v>5</v>
      </c>
      <c r="E959" s="69"/>
      <c r="F959" s="70">
        <v>20</v>
      </c>
      <c r="G959" s="67"/>
      <c r="H959" s="71"/>
      <c r="I959" s="72"/>
      <c r="J959" s="72"/>
      <c r="K959" s="34" t="s">
        <v>65</v>
      </c>
      <c r="L959" s="79">
        <v>959</v>
      </c>
      <c r="M959" s="79"/>
      <c r="N959" s="74"/>
      <c r="O959" s="81" t="s">
        <v>944</v>
      </c>
      <c r="P959">
        <v>1</v>
      </c>
      <c r="Q959" s="80" t="str">
        <f>REPLACE(INDEX(GroupVertices[Group],MATCH(Edges[[#This Row],[Vertex 1]],GroupVertices[Vertex],0)),1,1,"")</f>
        <v>4</v>
      </c>
      <c r="R959" s="80" t="str">
        <f>REPLACE(INDEX(GroupVertices[Group],MATCH(Edges[[#This Row],[Vertex 2]],GroupVertices[Vertex],0)),1,1,"")</f>
        <v>4</v>
      </c>
      <c r="S959" s="34"/>
      <c r="T959" s="34"/>
      <c r="U959" s="34"/>
      <c r="V959" s="34"/>
      <c r="W959" s="34"/>
      <c r="X959" s="34"/>
      <c r="Y959" s="34"/>
      <c r="Z959" s="34"/>
      <c r="AA959" s="34"/>
    </row>
    <row r="960" spans="1:27" ht="15">
      <c r="A960" s="66" t="s">
        <v>251</v>
      </c>
      <c r="B960" s="66" t="s">
        <v>786</v>
      </c>
      <c r="C960" s="67" t="s">
        <v>4454</v>
      </c>
      <c r="D960" s="68">
        <v>5</v>
      </c>
      <c r="E960" s="69"/>
      <c r="F960" s="70">
        <v>20</v>
      </c>
      <c r="G960" s="67"/>
      <c r="H960" s="71"/>
      <c r="I960" s="72"/>
      <c r="J960" s="72"/>
      <c r="K960" s="34" t="s">
        <v>65</v>
      </c>
      <c r="L960" s="79">
        <v>960</v>
      </c>
      <c r="M960" s="79"/>
      <c r="N960" s="74"/>
      <c r="O960" s="81" t="s">
        <v>944</v>
      </c>
      <c r="P960">
        <v>1</v>
      </c>
      <c r="Q960" s="80" t="str">
        <f>REPLACE(INDEX(GroupVertices[Group],MATCH(Edges[[#This Row],[Vertex 1]],GroupVertices[Vertex],0)),1,1,"")</f>
        <v>2</v>
      </c>
      <c r="R960" s="80" t="str">
        <f>REPLACE(INDEX(GroupVertices[Group],MATCH(Edges[[#This Row],[Vertex 2]],GroupVertices[Vertex],0)),1,1,"")</f>
        <v>4</v>
      </c>
      <c r="S960" s="34"/>
      <c r="T960" s="34"/>
      <c r="U960" s="34"/>
      <c r="V960" s="34"/>
      <c r="W960" s="34"/>
      <c r="X960" s="34"/>
      <c r="Y960" s="34"/>
      <c r="Z960" s="34"/>
      <c r="AA960" s="34"/>
    </row>
    <row r="961" spans="1:27" ht="15">
      <c r="A961" s="66" t="s">
        <v>252</v>
      </c>
      <c r="B961" s="66" t="s">
        <v>787</v>
      </c>
      <c r="C961" s="67" t="s">
        <v>4454</v>
      </c>
      <c r="D961" s="68">
        <v>5</v>
      </c>
      <c r="E961" s="69"/>
      <c r="F961" s="70">
        <v>20</v>
      </c>
      <c r="G961" s="67"/>
      <c r="H961" s="71"/>
      <c r="I961" s="72"/>
      <c r="J961" s="72"/>
      <c r="K961" s="34"/>
      <c r="L961" s="79">
        <v>961</v>
      </c>
      <c r="M961" s="79"/>
      <c r="N961" s="74"/>
      <c r="O961" s="81" t="s">
        <v>944</v>
      </c>
      <c r="P961">
        <v>1</v>
      </c>
      <c r="Q961" s="80" t="str">
        <f>REPLACE(INDEX(GroupVertices[Group],MATCH(Edges[[#This Row],[Vertex 1]],GroupVertices[Vertex],0)),1,1,"")</f>
        <v>1</v>
      </c>
      <c r="R961" s="80" t="e">
        <f>REPLACE(INDEX(GroupVertices[Group],MATCH(Edges[[#This Row],[Vertex 2]],GroupVertices[Vertex],0)),1,1,"")</f>
        <v>#N/A</v>
      </c>
      <c r="S961" s="34"/>
      <c r="T961" s="34"/>
      <c r="U961" s="34"/>
      <c r="V961" s="34"/>
      <c r="W961" s="34"/>
      <c r="X961" s="34"/>
      <c r="Y961" s="34"/>
      <c r="Z961" s="34"/>
      <c r="AA961" s="34"/>
    </row>
    <row r="962" spans="1:27" ht="15">
      <c r="A962" s="66" t="s">
        <v>214</v>
      </c>
      <c r="B962" s="66" t="s">
        <v>598</v>
      </c>
      <c r="C962" s="67" t="s">
        <v>4454</v>
      </c>
      <c r="D962" s="68">
        <v>5</v>
      </c>
      <c r="E962" s="69"/>
      <c r="F962" s="70">
        <v>20</v>
      </c>
      <c r="G962" s="67"/>
      <c r="H962" s="71"/>
      <c r="I962" s="72"/>
      <c r="J962" s="72"/>
      <c r="K962" s="34" t="s">
        <v>65</v>
      </c>
      <c r="L962" s="79">
        <v>962</v>
      </c>
      <c r="M962" s="79"/>
      <c r="N962" s="74"/>
      <c r="O962" s="81" t="s">
        <v>944</v>
      </c>
      <c r="P962">
        <v>1</v>
      </c>
      <c r="Q962" s="80" t="str">
        <f>REPLACE(INDEX(GroupVertices[Group],MATCH(Edges[[#This Row],[Vertex 1]],GroupVertices[Vertex],0)),1,1,"")</f>
        <v>1</v>
      </c>
      <c r="R962" s="80" t="str">
        <f>REPLACE(INDEX(GroupVertices[Group],MATCH(Edges[[#This Row],[Vertex 2]],GroupVertices[Vertex],0)),1,1,"")</f>
        <v>1</v>
      </c>
      <c r="S962" s="34"/>
      <c r="T962" s="34"/>
      <c r="U962" s="34"/>
      <c r="V962" s="34"/>
      <c r="W962" s="34"/>
      <c r="X962" s="34"/>
      <c r="Y962" s="34"/>
      <c r="Z962" s="34"/>
      <c r="AA962" s="34"/>
    </row>
    <row r="963" spans="1:27" ht="15">
      <c r="A963" s="66" t="s">
        <v>252</v>
      </c>
      <c r="B963" s="66" t="s">
        <v>598</v>
      </c>
      <c r="C963" s="67" t="s">
        <v>4454</v>
      </c>
      <c r="D963" s="68">
        <v>5</v>
      </c>
      <c r="E963" s="69"/>
      <c r="F963" s="70">
        <v>20</v>
      </c>
      <c r="G963" s="67"/>
      <c r="H963" s="71"/>
      <c r="I963" s="72"/>
      <c r="J963" s="72"/>
      <c r="K963" s="34" t="s">
        <v>65</v>
      </c>
      <c r="L963" s="79">
        <v>963</v>
      </c>
      <c r="M963" s="79"/>
      <c r="N963" s="74"/>
      <c r="O963" s="81" t="s">
        <v>944</v>
      </c>
      <c r="P963">
        <v>1</v>
      </c>
      <c r="Q963" s="80" t="str">
        <f>REPLACE(INDEX(GroupVertices[Group],MATCH(Edges[[#This Row],[Vertex 1]],GroupVertices[Vertex],0)),1,1,"")</f>
        <v>1</v>
      </c>
      <c r="R963" s="80" t="str">
        <f>REPLACE(INDEX(GroupVertices[Group],MATCH(Edges[[#This Row],[Vertex 2]],GroupVertices[Vertex],0)),1,1,"")</f>
        <v>1</v>
      </c>
      <c r="S963" s="34"/>
      <c r="T963" s="34"/>
      <c r="U963" s="34"/>
      <c r="V963" s="34"/>
      <c r="W963" s="34"/>
      <c r="X963" s="34"/>
      <c r="Y963" s="34"/>
      <c r="Z963" s="34"/>
      <c r="AA963" s="34"/>
    </row>
    <row r="964" spans="1:27" ht="15">
      <c r="A964" s="66" t="s">
        <v>252</v>
      </c>
      <c r="B964" s="66" t="s">
        <v>788</v>
      </c>
      <c r="C964" s="67" t="s">
        <v>4454</v>
      </c>
      <c r="D964" s="68">
        <v>5</v>
      </c>
      <c r="E964" s="69"/>
      <c r="F964" s="70">
        <v>20</v>
      </c>
      <c r="G964" s="67"/>
      <c r="H964" s="71"/>
      <c r="I964" s="72"/>
      <c r="J964" s="72"/>
      <c r="K964" s="34"/>
      <c r="L964" s="79">
        <v>964</v>
      </c>
      <c r="M964" s="79"/>
      <c r="N964" s="74"/>
      <c r="O964" s="81" t="s">
        <v>944</v>
      </c>
      <c r="P964">
        <v>1</v>
      </c>
      <c r="Q964" s="80" t="str">
        <f>REPLACE(INDEX(GroupVertices[Group],MATCH(Edges[[#This Row],[Vertex 1]],GroupVertices[Vertex],0)),1,1,"")</f>
        <v>1</v>
      </c>
      <c r="R964" s="80" t="e">
        <f>REPLACE(INDEX(GroupVertices[Group],MATCH(Edges[[#This Row],[Vertex 2]],GroupVertices[Vertex],0)),1,1,"")</f>
        <v>#N/A</v>
      </c>
      <c r="S964" s="34"/>
      <c r="T964" s="34"/>
      <c r="U964" s="34"/>
      <c r="V964" s="34"/>
      <c r="W964" s="34"/>
      <c r="X964" s="34"/>
      <c r="Y964" s="34"/>
      <c r="Z964" s="34"/>
      <c r="AA964" s="34"/>
    </row>
    <row r="965" spans="1:27" ht="15">
      <c r="A965" s="66" t="s">
        <v>252</v>
      </c>
      <c r="B965" s="66" t="s">
        <v>789</v>
      </c>
      <c r="C965" s="67" t="s">
        <v>4454</v>
      </c>
      <c r="D965" s="68">
        <v>5</v>
      </c>
      <c r="E965" s="69"/>
      <c r="F965" s="70">
        <v>20</v>
      </c>
      <c r="G965" s="67"/>
      <c r="H965" s="71"/>
      <c r="I965" s="72"/>
      <c r="J965" s="72"/>
      <c r="K965" s="34"/>
      <c r="L965" s="79">
        <v>965</v>
      </c>
      <c r="M965" s="79"/>
      <c r="N965" s="74"/>
      <c r="O965" s="81" t="s">
        <v>944</v>
      </c>
      <c r="P965">
        <v>1</v>
      </c>
      <c r="Q965" s="80" t="str">
        <f>REPLACE(INDEX(GroupVertices[Group],MATCH(Edges[[#This Row],[Vertex 1]],GroupVertices[Vertex],0)),1,1,"")</f>
        <v>1</v>
      </c>
      <c r="R965" s="80" t="e">
        <f>REPLACE(INDEX(GroupVertices[Group],MATCH(Edges[[#This Row],[Vertex 2]],GroupVertices[Vertex],0)),1,1,"")</f>
        <v>#N/A</v>
      </c>
      <c r="S965" s="34"/>
      <c r="T965" s="34"/>
      <c r="U965" s="34"/>
      <c r="V965" s="34"/>
      <c r="W965" s="34"/>
      <c r="X965" s="34"/>
      <c r="Y965" s="34"/>
      <c r="Z965" s="34"/>
      <c r="AA965" s="34"/>
    </row>
    <row r="966" spans="1:27" ht="15">
      <c r="A966" s="66" t="s">
        <v>226</v>
      </c>
      <c r="B966" s="66" t="s">
        <v>790</v>
      </c>
      <c r="C966" s="67" t="s">
        <v>4454</v>
      </c>
      <c r="D966" s="68">
        <v>5</v>
      </c>
      <c r="E966" s="69"/>
      <c r="F966" s="70">
        <v>20</v>
      </c>
      <c r="G966" s="67"/>
      <c r="H966" s="71"/>
      <c r="I966" s="72"/>
      <c r="J966" s="72"/>
      <c r="K966" s="34" t="s">
        <v>65</v>
      </c>
      <c r="L966" s="79">
        <v>966</v>
      </c>
      <c r="M966" s="79"/>
      <c r="N966" s="74"/>
      <c r="O966" s="81" t="s">
        <v>944</v>
      </c>
      <c r="P966">
        <v>1</v>
      </c>
      <c r="Q966" s="80" t="str">
        <f>REPLACE(INDEX(GroupVertices[Group],MATCH(Edges[[#This Row],[Vertex 1]],GroupVertices[Vertex],0)),1,1,"")</f>
        <v>4</v>
      </c>
      <c r="R966" s="80" t="str">
        <f>REPLACE(INDEX(GroupVertices[Group],MATCH(Edges[[#This Row],[Vertex 2]],GroupVertices[Vertex],0)),1,1,"")</f>
        <v>1</v>
      </c>
      <c r="S966" s="34"/>
      <c r="T966" s="34"/>
      <c r="U966" s="34"/>
      <c r="V966" s="34"/>
      <c r="W966" s="34"/>
      <c r="X966" s="34"/>
      <c r="Y966" s="34"/>
      <c r="Z966" s="34"/>
      <c r="AA966" s="34"/>
    </row>
    <row r="967" spans="1:27" ht="15">
      <c r="A967" s="66" t="s">
        <v>231</v>
      </c>
      <c r="B967" s="66" t="s">
        <v>790</v>
      </c>
      <c r="C967" s="67" t="s">
        <v>4454</v>
      </c>
      <c r="D967" s="68">
        <v>5</v>
      </c>
      <c r="E967" s="69"/>
      <c r="F967" s="70">
        <v>20</v>
      </c>
      <c r="G967" s="67"/>
      <c r="H967" s="71"/>
      <c r="I967" s="72"/>
      <c r="J967" s="72"/>
      <c r="K967" s="34" t="s">
        <v>65</v>
      </c>
      <c r="L967" s="79">
        <v>967</v>
      </c>
      <c r="M967" s="79"/>
      <c r="N967" s="74"/>
      <c r="O967" s="81" t="s">
        <v>944</v>
      </c>
      <c r="P967">
        <v>1</v>
      </c>
      <c r="Q967" s="80" t="str">
        <f>REPLACE(INDEX(GroupVertices[Group],MATCH(Edges[[#This Row],[Vertex 1]],GroupVertices[Vertex],0)),1,1,"")</f>
        <v>1</v>
      </c>
      <c r="R967" s="80" t="str">
        <f>REPLACE(INDEX(GroupVertices[Group],MATCH(Edges[[#This Row],[Vertex 2]],GroupVertices[Vertex],0)),1,1,"")</f>
        <v>1</v>
      </c>
      <c r="S967" s="34"/>
      <c r="T967" s="34"/>
      <c r="U967" s="34"/>
      <c r="V967" s="34"/>
      <c r="W967" s="34"/>
      <c r="X967" s="34"/>
      <c r="Y967" s="34"/>
      <c r="Z967" s="34"/>
      <c r="AA967" s="34"/>
    </row>
    <row r="968" spans="1:27" ht="15">
      <c r="A968" s="66" t="s">
        <v>239</v>
      </c>
      <c r="B968" s="66" t="s">
        <v>790</v>
      </c>
      <c r="C968" s="67" t="s">
        <v>4454</v>
      </c>
      <c r="D968" s="68">
        <v>5</v>
      </c>
      <c r="E968" s="69"/>
      <c r="F968" s="70">
        <v>20</v>
      </c>
      <c r="G968" s="67"/>
      <c r="H968" s="71"/>
      <c r="I968" s="72"/>
      <c r="J968" s="72"/>
      <c r="K968" s="34" t="s">
        <v>65</v>
      </c>
      <c r="L968" s="79">
        <v>968</v>
      </c>
      <c r="M968" s="79"/>
      <c r="N968" s="74"/>
      <c r="O968" s="81" t="s">
        <v>944</v>
      </c>
      <c r="P968">
        <v>1</v>
      </c>
      <c r="Q968" s="80" t="str">
        <f>REPLACE(INDEX(GroupVertices[Group],MATCH(Edges[[#This Row],[Vertex 1]],GroupVertices[Vertex],0)),1,1,"")</f>
        <v>3</v>
      </c>
      <c r="R968" s="80" t="str">
        <f>REPLACE(INDEX(GroupVertices[Group],MATCH(Edges[[#This Row],[Vertex 2]],GroupVertices[Vertex],0)),1,1,"")</f>
        <v>1</v>
      </c>
      <c r="S968" s="34"/>
      <c r="T968" s="34"/>
      <c r="U968" s="34"/>
      <c r="V968" s="34"/>
      <c r="W968" s="34"/>
      <c r="X968" s="34"/>
      <c r="Y968" s="34"/>
      <c r="Z968" s="34"/>
      <c r="AA968" s="34"/>
    </row>
    <row r="969" spans="1:27" ht="15">
      <c r="A969" s="66" t="s">
        <v>252</v>
      </c>
      <c r="B969" s="66" t="s">
        <v>790</v>
      </c>
      <c r="C969" s="67" t="s">
        <v>4454</v>
      </c>
      <c r="D969" s="68">
        <v>5</v>
      </c>
      <c r="E969" s="69"/>
      <c r="F969" s="70">
        <v>20</v>
      </c>
      <c r="G969" s="67"/>
      <c r="H969" s="71"/>
      <c r="I969" s="72"/>
      <c r="J969" s="72"/>
      <c r="K969" s="34" t="s">
        <v>65</v>
      </c>
      <c r="L969" s="79">
        <v>969</v>
      </c>
      <c r="M969" s="79"/>
      <c r="N969" s="74"/>
      <c r="O969" s="81" t="s">
        <v>944</v>
      </c>
      <c r="P969">
        <v>1</v>
      </c>
      <c r="Q969" s="80" t="str">
        <f>REPLACE(INDEX(GroupVertices[Group],MATCH(Edges[[#This Row],[Vertex 1]],GroupVertices[Vertex],0)),1,1,"")</f>
        <v>1</v>
      </c>
      <c r="R969" s="80" t="str">
        <f>REPLACE(INDEX(GroupVertices[Group],MATCH(Edges[[#This Row],[Vertex 2]],GroupVertices[Vertex],0)),1,1,"")</f>
        <v>1</v>
      </c>
      <c r="S969" s="34"/>
      <c r="T969" s="34"/>
      <c r="U969" s="34"/>
      <c r="V969" s="34"/>
      <c r="W969" s="34"/>
      <c r="X969" s="34"/>
      <c r="Y969" s="34"/>
      <c r="Z969" s="34"/>
      <c r="AA969" s="34"/>
    </row>
    <row r="970" spans="1:27" ht="15">
      <c r="A970" s="66" t="s">
        <v>229</v>
      </c>
      <c r="B970" s="66" t="s">
        <v>791</v>
      </c>
      <c r="C970" s="67" t="s">
        <v>4454</v>
      </c>
      <c r="D970" s="68">
        <v>5</v>
      </c>
      <c r="E970" s="69"/>
      <c r="F970" s="70">
        <v>20</v>
      </c>
      <c r="G970" s="67"/>
      <c r="H970" s="71"/>
      <c r="I970" s="72"/>
      <c r="J970" s="72"/>
      <c r="K970" s="34" t="s">
        <v>65</v>
      </c>
      <c r="L970" s="79">
        <v>970</v>
      </c>
      <c r="M970" s="79"/>
      <c r="N970" s="74"/>
      <c r="O970" s="81" t="s">
        <v>944</v>
      </c>
      <c r="P970">
        <v>1</v>
      </c>
      <c r="Q970" s="80" t="str">
        <f>REPLACE(INDEX(GroupVertices[Group],MATCH(Edges[[#This Row],[Vertex 1]],GroupVertices[Vertex],0)),1,1,"")</f>
        <v>1</v>
      </c>
      <c r="R970" s="80" t="str">
        <f>REPLACE(INDEX(GroupVertices[Group],MATCH(Edges[[#This Row],[Vertex 2]],GroupVertices[Vertex],0)),1,1,"")</f>
        <v>1</v>
      </c>
      <c r="S970" s="34"/>
      <c r="T970" s="34"/>
      <c r="U970" s="34"/>
      <c r="V970" s="34"/>
      <c r="W970" s="34"/>
      <c r="X970" s="34"/>
      <c r="Y970" s="34"/>
      <c r="Z970" s="34"/>
      <c r="AA970" s="34"/>
    </row>
    <row r="971" spans="1:27" ht="15">
      <c r="A971" s="66" t="s">
        <v>232</v>
      </c>
      <c r="B971" s="66" t="s">
        <v>791</v>
      </c>
      <c r="C971" s="67" t="s">
        <v>4454</v>
      </c>
      <c r="D971" s="68">
        <v>5</v>
      </c>
      <c r="E971" s="69"/>
      <c r="F971" s="70">
        <v>20</v>
      </c>
      <c r="G971" s="67"/>
      <c r="H971" s="71"/>
      <c r="I971" s="72"/>
      <c r="J971" s="72"/>
      <c r="K971" s="34" t="s">
        <v>65</v>
      </c>
      <c r="L971" s="79">
        <v>971</v>
      </c>
      <c r="M971" s="79"/>
      <c r="N971" s="74"/>
      <c r="O971" s="81" t="s">
        <v>944</v>
      </c>
      <c r="P971">
        <v>1</v>
      </c>
      <c r="Q971" s="80" t="str">
        <f>REPLACE(INDEX(GroupVertices[Group],MATCH(Edges[[#This Row],[Vertex 1]],GroupVertices[Vertex],0)),1,1,"")</f>
        <v>1</v>
      </c>
      <c r="R971" s="80" t="str">
        <f>REPLACE(INDEX(GroupVertices[Group],MATCH(Edges[[#This Row],[Vertex 2]],GroupVertices[Vertex],0)),1,1,"")</f>
        <v>1</v>
      </c>
      <c r="S971" s="34"/>
      <c r="T971" s="34"/>
      <c r="U971" s="34"/>
      <c r="V971" s="34"/>
      <c r="W971" s="34"/>
      <c r="X971" s="34"/>
      <c r="Y971" s="34"/>
      <c r="Z971" s="34"/>
      <c r="AA971" s="34"/>
    </row>
    <row r="972" spans="1:27" ht="15">
      <c r="A972" s="66" t="s">
        <v>248</v>
      </c>
      <c r="B972" s="66" t="s">
        <v>791</v>
      </c>
      <c r="C972" s="67" t="s">
        <v>4454</v>
      </c>
      <c r="D972" s="68">
        <v>5</v>
      </c>
      <c r="E972" s="69"/>
      <c r="F972" s="70">
        <v>20</v>
      </c>
      <c r="G972" s="67"/>
      <c r="H972" s="71"/>
      <c r="I972" s="72"/>
      <c r="J972" s="72"/>
      <c r="K972" s="34" t="s">
        <v>65</v>
      </c>
      <c r="L972" s="79">
        <v>972</v>
      </c>
      <c r="M972" s="79"/>
      <c r="N972" s="74"/>
      <c r="O972" s="81" t="s">
        <v>944</v>
      </c>
      <c r="P972">
        <v>1</v>
      </c>
      <c r="Q972" s="80" t="str">
        <f>REPLACE(INDEX(GroupVertices[Group],MATCH(Edges[[#This Row],[Vertex 1]],GroupVertices[Vertex],0)),1,1,"")</f>
        <v>1</v>
      </c>
      <c r="R972" s="80" t="str">
        <f>REPLACE(INDEX(GroupVertices[Group],MATCH(Edges[[#This Row],[Vertex 2]],GroupVertices[Vertex],0)),1,1,"")</f>
        <v>1</v>
      </c>
      <c r="S972" s="34"/>
      <c r="T972" s="34"/>
      <c r="U972" s="34"/>
      <c r="V972" s="34"/>
      <c r="W972" s="34"/>
      <c r="X972" s="34"/>
      <c r="Y972" s="34"/>
      <c r="Z972" s="34"/>
      <c r="AA972" s="34"/>
    </row>
    <row r="973" spans="1:27" ht="15">
      <c r="A973" s="66" t="s">
        <v>252</v>
      </c>
      <c r="B973" s="66" t="s">
        <v>791</v>
      </c>
      <c r="C973" s="67" t="s">
        <v>4454</v>
      </c>
      <c r="D973" s="68">
        <v>5</v>
      </c>
      <c r="E973" s="69"/>
      <c r="F973" s="70">
        <v>20</v>
      </c>
      <c r="G973" s="67"/>
      <c r="H973" s="71"/>
      <c r="I973" s="72"/>
      <c r="J973" s="72"/>
      <c r="K973" s="34" t="s">
        <v>65</v>
      </c>
      <c r="L973" s="79">
        <v>973</v>
      </c>
      <c r="M973" s="79"/>
      <c r="N973" s="74"/>
      <c r="O973" s="81" t="s">
        <v>944</v>
      </c>
      <c r="P973">
        <v>1</v>
      </c>
      <c r="Q973" s="80" t="str">
        <f>REPLACE(INDEX(GroupVertices[Group],MATCH(Edges[[#This Row],[Vertex 1]],GroupVertices[Vertex],0)),1,1,"")</f>
        <v>1</v>
      </c>
      <c r="R973" s="80" t="str">
        <f>REPLACE(INDEX(GroupVertices[Group],MATCH(Edges[[#This Row],[Vertex 2]],GroupVertices[Vertex],0)),1,1,"")</f>
        <v>1</v>
      </c>
      <c r="S973" s="34"/>
      <c r="T973" s="34"/>
      <c r="U973" s="34"/>
      <c r="V973" s="34"/>
      <c r="W973" s="34"/>
      <c r="X973" s="34"/>
      <c r="Y973" s="34"/>
      <c r="Z973" s="34"/>
      <c r="AA973" s="34"/>
    </row>
    <row r="974" spans="1:27" ht="15">
      <c r="A974" s="66" t="s">
        <v>227</v>
      </c>
      <c r="B974" s="66" t="s">
        <v>615</v>
      </c>
      <c r="C974" s="67" t="s">
        <v>4454</v>
      </c>
      <c r="D974" s="68">
        <v>5</v>
      </c>
      <c r="E974" s="69"/>
      <c r="F974" s="70">
        <v>20</v>
      </c>
      <c r="G974" s="67"/>
      <c r="H974" s="71"/>
      <c r="I974" s="72"/>
      <c r="J974" s="72"/>
      <c r="K974" s="34" t="s">
        <v>65</v>
      </c>
      <c r="L974" s="79">
        <v>974</v>
      </c>
      <c r="M974" s="79"/>
      <c r="N974" s="74"/>
      <c r="O974" s="81" t="s">
        <v>944</v>
      </c>
      <c r="P974">
        <v>1</v>
      </c>
      <c r="Q974" s="80" t="str">
        <f>REPLACE(INDEX(GroupVertices[Group],MATCH(Edges[[#This Row],[Vertex 1]],GroupVertices[Vertex],0)),1,1,"")</f>
        <v>3</v>
      </c>
      <c r="R974" s="80" t="str">
        <f>REPLACE(INDEX(GroupVertices[Group],MATCH(Edges[[#This Row],[Vertex 2]],GroupVertices[Vertex],0)),1,1,"")</f>
        <v>1</v>
      </c>
      <c r="S974" s="34"/>
      <c r="T974" s="34"/>
      <c r="U974" s="34"/>
      <c r="V974" s="34"/>
      <c r="W974" s="34"/>
      <c r="X974" s="34"/>
      <c r="Y974" s="34"/>
      <c r="Z974" s="34"/>
      <c r="AA974" s="34"/>
    </row>
    <row r="975" spans="1:27" ht="15">
      <c r="A975" s="66" t="s">
        <v>248</v>
      </c>
      <c r="B975" s="66" t="s">
        <v>615</v>
      </c>
      <c r="C975" s="67" t="s">
        <v>4454</v>
      </c>
      <c r="D975" s="68">
        <v>5</v>
      </c>
      <c r="E975" s="69"/>
      <c r="F975" s="70">
        <v>20</v>
      </c>
      <c r="G975" s="67"/>
      <c r="H975" s="71"/>
      <c r="I975" s="72"/>
      <c r="J975" s="72"/>
      <c r="K975" s="34" t="s">
        <v>65</v>
      </c>
      <c r="L975" s="79">
        <v>975</v>
      </c>
      <c r="M975" s="79"/>
      <c r="N975" s="74"/>
      <c r="O975" s="81" t="s">
        <v>944</v>
      </c>
      <c r="P975">
        <v>1</v>
      </c>
      <c r="Q975" s="80" t="str">
        <f>REPLACE(INDEX(GroupVertices[Group],MATCH(Edges[[#This Row],[Vertex 1]],GroupVertices[Vertex],0)),1,1,"")</f>
        <v>1</v>
      </c>
      <c r="R975" s="80" t="str">
        <f>REPLACE(INDEX(GroupVertices[Group],MATCH(Edges[[#This Row],[Vertex 2]],GroupVertices[Vertex],0)),1,1,"")</f>
        <v>1</v>
      </c>
      <c r="S975" s="34"/>
      <c r="T975" s="34"/>
      <c r="U975" s="34"/>
      <c r="V975" s="34"/>
      <c r="W975" s="34"/>
      <c r="X975" s="34"/>
      <c r="Y975" s="34"/>
      <c r="Z975" s="34"/>
      <c r="AA975" s="34"/>
    </row>
    <row r="976" spans="1:27" ht="15">
      <c r="A976" s="66" t="s">
        <v>252</v>
      </c>
      <c r="B976" s="66" t="s">
        <v>615</v>
      </c>
      <c r="C976" s="67" t="s">
        <v>4454</v>
      </c>
      <c r="D976" s="68">
        <v>5</v>
      </c>
      <c r="E976" s="69"/>
      <c r="F976" s="70">
        <v>20</v>
      </c>
      <c r="G976" s="67"/>
      <c r="H976" s="71"/>
      <c r="I976" s="72"/>
      <c r="J976" s="72"/>
      <c r="K976" s="34" t="s">
        <v>65</v>
      </c>
      <c r="L976" s="79">
        <v>976</v>
      </c>
      <c r="M976" s="79"/>
      <c r="N976" s="74"/>
      <c r="O976" s="81" t="s">
        <v>944</v>
      </c>
      <c r="P976">
        <v>1</v>
      </c>
      <c r="Q976" s="80" t="str">
        <f>REPLACE(INDEX(GroupVertices[Group],MATCH(Edges[[#This Row],[Vertex 1]],GroupVertices[Vertex],0)),1,1,"")</f>
        <v>1</v>
      </c>
      <c r="R976" s="80" t="str">
        <f>REPLACE(INDEX(GroupVertices[Group],MATCH(Edges[[#This Row],[Vertex 2]],GroupVertices[Vertex],0)),1,1,"")</f>
        <v>1</v>
      </c>
      <c r="S976" s="34"/>
      <c r="T976" s="34"/>
      <c r="U976" s="34"/>
      <c r="V976" s="34"/>
      <c r="W976" s="34"/>
      <c r="X976" s="34"/>
      <c r="Y976" s="34"/>
      <c r="Z976" s="34"/>
      <c r="AA976" s="34"/>
    </row>
    <row r="977" spans="1:27" ht="15">
      <c r="A977" s="66" t="s">
        <v>229</v>
      </c>
      <c r="B977" s="66" t="s">
        <v>792</v>
      </c>
      <c r="C977" s="67" t="s">
        <v>4454</v>
      </c>
      <c r="D977" s="68">
        <v>5</v>
      </c>
      <c r="E977" s="69"/>
      <c r="F977" s="70">
        <v>20</v>
      </c>
      <c r="G977" s="67"/>
      <c r="H977" s="71"/>
      <c r="I977" s="72"/>
      <c r="J977" s="72"/>
      <c r="K977" s="34" t="s">
        <v>65</v>
      </c>
      <c r="L977" s="79">
        <v>977</v>
      </c>
      <c r="M977" s="79"/>
      <c r="N977" s="74"/>
      <c r="O977" s="81" t="s">
        <v>944</v>
      </c>
      <c r="P977">
        <v>1</v>
      </c>
      <c r="Q977" s="80" t="str">
        <f>REPLACE(INDEX(GroupVertices[Group],MATCH(Edges[[#This Row],[Vertex 1]],GroupVertices[Vertex],0)),1,1,"")</f>
        <v>1</v>
      </c>
      <c r="R977" s="80" t="str">
        <f>REPLACE(INDEX(GroupVertices[Group],MATCH(Edges[[#This Row],[Vertex 2]],GroupVertices[Vertex],0)),1,1,"")</f>
        <v>1</v>
      </c>
      <c r="S977" s="34"/>
      <c r="T977" s="34"/>
      <c r="U977" s="34"/>
      <c r="V977" s="34"/>
      <c r="W977" s="34"/>
      <c r="X977" s="34"/>
      <c r="Y977" s="34"/>
      <c r="Z977" s="34"/>
      <c r="AA977" s="34"/>
    </row>
    <row r="978" spans="1:27" ht="15">
      <c r="A978" s="66" t="s">
        <v>232</v>
      </c>
      <c r="B978" s="66" t="s">
        <v>792</v>
      </c>
      <c r="C978" s="67" t="s">
        <v>4454</v>
      </c>
      <c r="D978" s="68">
        <v>5</v>
      </c>
      <c r="E978" s="69"/>
      <c r="F978" s="70">
        <v>20</v>
      </c>
      <c r="G978" s="67"/>
      <c r="H978" s="71"/>
      <c r="I978" s="72"/>
      <c r="J978" s="72"/>
      <c r="K978" s="34" t="s">
        <v>65</v>
      </c>
      <c r="L978" s="79">
        <v>978</v>
      </c>
      <c r="M978" s="79"/>
      <c r="N978" s="74"/>
      <c r="O978" s="81" t="s">
        <v>944</v>
      </c>
      <c r="P978">
        <v>1</v>
      </c>
      <c r="Q978" s="80" t="str">
        <f>REPLACE(INDEX(GroupVertices[Group],MATCH(Edges[[#This Row],[Vertex 1]],GroupVertices[Vertex],0)),1,1,"")</f>
        <v>1</v>
      </c>
      <c r="R978" s="80" t="str">
        <f>REPLACE(INDEX(GroupVertices[Group],MATCH(Edges[[#This Row],[Vertex 2]],GroupVertices[Vertex],0)),1,1,"")</f>
        <v>1</v>
      </c>
      <c r="S978" s="34"/>
      <c r="T978" s="34"/>
      <c r="U978" s="34"/>
      <c r="V978" s="34"/>
      <c r="W978" s="34"/>
      <c r="X978" s="34"/>
      <c r="Y978" s="34"/>
      <c r="Z978" s="34"/>
      <c r="AA978" s="34"/>
    </row>
    <row r="979" spans="1:27" ht="15">
      <c r="A979" s="66" t="s">
        <v>248</v>
      </c>
      <c r="B979" s="66" t="s">
        <v>792</v>
      </c>
      <c r="C979" s="67" t="s">
        <v>4454</v>
      </c>
      <c r="D979" s="68">
        <v>5</v>
      </c>
      <c r="E979" s="69"/>
      <c r="F979" s="70">
        <v>20</v>
      </c>
      <c r="G979" s="67"/>
      <c r="H979" s="71"/>
      <c r="I979" s="72"/>
      <c r="J979" s="72"/>
      <c r="K979" s="34" t="s">
        <v>65</v>
      </c>
      <c r="L979" s="79">
        <v>979</v>
      </c>
      <c r="M979" s="79"/>
      <c r="N979" s="74"/>
      <c r="O979" s="81" t="s">
        <v>944</v>
      </c>
      <c r="P979">
        <v>1</v>
      </c>
      <c r="Q979" s="80" t="str">
        <f>REPLACE(INDEX(GroupVertices[Group],MATCH(Edges[[#This Row],[Vertex 1]],GroupVertices[Vertex],0)),1,1,"")</f>
        <v>1</v>
      </c>
      <c r="R979" s="80" t="str">
        <f>REPLACE(INDEX(GroupVertices[Group],MATCH(Edges[[#This Row],[Vertex 2]],GroupVertices[Vertex],0)),1,1,"")</f>
        <v>1</v>
      </c>
      <c r="S979" s="34"/>
      <c r="T979" s="34"/>
      <c r="U979" s="34"/>
      <c r="V979" s="34"/>
      <c r="W979" s="34"/>
      <c r="X979" s="34"/>
      <c r="Y979" s="34"/>
      <c r="Z979" s="34"/>
      <c r="AA979" s="34"/>
    </row>
    <row r="980" spans="1:27" ht="15">
      <c r="A980" s="66" t="s">
        <v>252</v>
      </c>
      <c r="B980" s="66" t="s">
        <v>792</v>
      </c>
      <c r="C980" s="67" t="s">
        <v>4454</v>
      </c>
      <c r="D980" s="68">
        <v>5</v>
      </c>
      <c r="E980" s="69"/>
      <c r="F980" s="70">
        <v>20</v>
      </c>
      <c r="G980" s="67"/>
      <c r="H980" s="71"/>
      <c r="I980" s="72"/>
      <c r="J980" s="72"/>
      <c r="K980" s="34" t="s">
        <v>65</v>
      </c>
      <c r="L980" s="79">
        <v>980</v>
      </c>
      <c r="M980" s="79"/>
      <c r="N980" s="74"/>
      <c r="O980" s="81" t="s">
        <v>944</v>
      </c>
      <c r="P980">
        <v>1</v>
      </c>
      <c r="Q980" s="80" t="str">
        <f>REPLACE(INDEX(GroupVertices[Group],MATCH(Edges[[#This Row],[Vertex 1]],GroupVertices[Vertex],0)),1,1,"")</f>
        <v>1</v>
      </c>
      <c r="R980" s="80" t="str">
        <f>REPLACE(INDEX(GroupVertices[Group],MATCH(Edges[[#This Row],[Vertex 2]],GroupVertices[Vertex],0)),1,1,"")</f>
        <v>1</v>
      </c>
      <c r="S980" s="34"/>
      <c r="T980" s="34"/>
      <c r="U980" s="34"/>
      <c r="V980" s="34"/>
      <c r="W980" s="34"/>
      <c r="X980" s="34"/>
      <c r="Y980" s="34"/>
      <c r="Z980" s="34"/>
      <c r="AA980" s="34"/>
    </row>
    <row r="981" spans="1:27" ht="15">
      <c r="A981" s="66" t="s">
        <v>252</v>
      </c>
      <c r="B981" s="66" t="s">
        <v>793</v>
      </c>
      <c r="C981" s="67" t="s">
        <v>4454</v>
      </c>
      <c r="D981" s="68">
        <v>5</v>
      </c>
      <c r="E981" s="69"/>
      <c r="F981" s="70">
        <v>20</v>
      </c>
      <c r="G981" s="67"/>
      <c r="H981" s="71"/>
      <c r="I981" s="72"/>
      <c r="J981" s="72"/>
      <c r="K981" s="34"/>
      <c r="L981" s="79">
        <v>981</v>
      </c>
      <c r="M981" s="79"/>
      <c r="N981" s="74"/>
      <c r="O981" s="81" t="s">
        <v>944</v>
      </c>
      <c r="P981">
        <v>1</v>
      </c>
      <c r="Q981" s="80" t="str">
        <f>REPLACE(INDEX(GroupVertices[Group],MATCH(Edges[[#This Row],[Vertex 1]],GroupVertices[Vertex],0)),1,1,"")</f>
        <v>1</v>
      </c>
      <c r="R981" s="80" t="e">
        <f>REPLACE(INDEX(GroupVertices[Group],MATCH(Edges[[#This Row],[Vertex 2]],GroupVertices[Vertex],0)),1,1,"")</f>
        <v>#N/A</v>
      </c>
      <c r="S981" s="34"/>
      <c r="T981" s="34"/>
      <c r="U981" s="34"/>
      <c r="V981" s="34"/>
      <c r="W981" s="34"/>
      <c r="X981" s="34"/>
      <c r="Y981" s="34"/>
      <c r="Z981" s="34"/>
      <c r="AA981" s="34"/>
    </row>
    <row r="982" spans="1:27" ht="15">
      <c r="A982" s="66" t="s">
        <v>252</v>
      </c>
      <c r="B982" s="66" t="s">
        <v>794</v>
      </c>
      <c r="C982" s="67" t="s">
        <v>4454</v>
      </c>
      <c r="D982" s="68">
        <v>5</v>
      </c>
      <c r="E982" s="69"/>
      <c r="F982" s="70">
        <v>20</v>
      </c>
      <c r="G982" s="67"/>
      <c r="H982" s="71"/>
      <c r="I982" s="72"/>
      <c r="J982" s="72"/>
      <c r="K982" s="34"/>
      <c r="L982" s="79">
        <v>982</v>
      </c>
      <c r="M982" s="79"/>
      <c r="N982" s="74"/>
      <c r="O982" s="81" t="s">
        <v>944</v>
      </c>
      <c r="P982">
        <v>1</v>
      </c>
      <c r="Q982" s="80" t="str">
        <f>REPLACE(INDEX(GroupVertices[Group],MATCH(Edges[[#This Row],[Vertex 1]],GroupVertices[Vertex],0)),1,1,"")</f>
        <v>1</v>
      </c>
      <c r="R982" s="80" t="e">
        <f>REPLACE(INDEX(GroupVertices[Group],MATCH(Edges[[#This Row],[Vertex 2]],GroupVertices[Vertex],0)),1,1,"")</f>
        <v>#N/A</v>
      </c>
      <c r="S982" s="34"/>
      <c r="T982" s="34"/>
      <c r="U982" s="34"/>
      <c r="V982" s="34"/>
      <c r="W982" s="34"/>
      <c r="X982" s="34"/>
      <c r="Y982" s="34"/>
      <c r="Z982" s="34"/>
      <c r="AA982" s="34"/>
    </row>
    <row r="983" spans="1:27" ht="15">
      <c r="A983" s="66" t="s">
        <v>232</v>
      </c>
      <c r="B983" s="66" t="s">
        <v>795</v>
      </c>
      <c r="C983" s="67" t="s">
        <v>4454</v>
      </c>
      <c r="D983" s="68">
        <v>5</v>
      </c>
      <c r="E983" s="69"/>
      <c r="F983" s="70">
        <v>20</v>
      </c>
      <c r="G983" s="67"/>
      <c r="H983" s="71"/>
      <c r="I983" s="72"/>
      <c r="J983" s="72"/>
      <c r="K983" s="34" t="s">
        <v>65</v>
      </c>
      <c r="L983" s="79">
        <v>983</v>
      </c>
      <c r="M983" s="79"/>
      <c r="N983" s="74"/>
      <c r="O983" s="81" t="s">
        <v>944</v>
      </c>
      <c r="P983">
        <v>1</v>
      </c>
      <c r="Q983" s="80" t="str">
        <f>REPLACE(INDEX(GroupVertices[Group],MATCH(Edges[[#This Row],[Vertex 1]],GroupVertices[Vertex],0)),1,1,"")</f>
        <v>1</v>
      </c>
      <c r="R983" s="80" t="str">
        <f>REPLACE(INDEX(GroupVertices[Group],MATCH(Edges[[#This Row],[Vertex 2]],GroupVertices[Vertex],0)),1,1,"")</f>
        <v>1</v>
      </c>
      <c r="S983" s="34"/>
      <c r="T983" s="34"/>
      <c r="U983" s="34"/>
      <c r="V983" s="34"/>
      <c r="W983" s="34"/>
      <c r="X983" s="34"/>
      <c r="Y983" s="34"/>
      <c r="Z983" s="34"/>
      <c r="AA983" s="34"/>
    </row>
    <row r="984" spans="1:27" ht="15">
      <c r="A984" s="66" t="s">
        <v>252</v>
      </c>
      <c r="B984" s="66" t="s">
        <v>795</v>
      </c>
      <c r="C984" s="67" t="s">
        <v>4454</v>
      </c>
      <c r="D984" s="68">
        <v>5</v>
      </c>
      <c r="E984" s="69"/>
      <c r="F984" s="70">
        <v>20</v>
      </c>
      <c r="G984" s="67"/>
      <c r="H984" s="71"/>
      <c r="I984" s="72"/>
      <c r="J984" s="72"/>
      <c r="K984" s="34" t="s">
        <v>65</v>
      </c>
      <c r="L984" s="79">
        <v>984</v>
      </c>
      <c r="M984" s="79"/>
      <c r="N984" s="74"/>
      <c r="O984" s="81" t="s">
        <v>944</v>
      </c>
      <c r="P984">
        <v>1</v>
      </c>
      <c r="Q984" s="80" t="str">
        <f>REPLACE(INDEX(GroupVertices[Group],MATCH(Edges[[#This Row],[Vertex 1]],GroupVertices[Vertex],0)),1,1,"")</f>
        <v>1</v>
      </c>
      <c r="R984" s="80" t="str">
        <f>REPLACE(INDEX(GroupVertices[Group],MATCH(Edges[[#This Row],[Vertex 2]],GroupVertices[Vertex],0)),1,1,"")</f>
        <v>1</v>
      </c>
      <c r="S984" s="34"/>
      <c r="T984" s="34"/>
      <c r="U984" s="34"/>
      <c r="V984" s="34"/>
      <c r="W984" s="34"/>
      <c r="X984" s="34"/>
      <c r="Y984" s="34"/>
      <c r="Z984" s="34"/>
      <c r="AA984" s="34"/>
    </row>
    <row r="985" spans="1:27" ht="15">
      <c r="A985" s="66" t="s">
        <v>228</v>
      </c>
      <c r="B985" s="66" t="s">
        <v>673</v>
      </c>
      <c r="C985" s="67" t="s">
        <v>4454</v>
      </c>
      <c r="D985" s="68">
        <v>5</v>
      </c>
      <c r="E985" s="69"/>
      <c r="F985" s="70">
        <v>20</v>
      </c>
      <c r="G985" s="67"/>
      <c r="H985" s="71"/>
      <c r="I985" s="72"/>
      <c r="J985" s="72"/>
      <c r="K985" s="34" t="s">
        <v>65</v>
      </c>
      <c r="L985" s="79">
        <v>985</v>
      </c>
      <c r="M985" s="79"/>
      <c r="N985" s="74"/>
      <c r="O985" s="81" t="s">
        <v>944</v>
      </c>
      <c r="P985">
        <v>1</v>
      </c>
      <c r="Q985" s="80" t="str">
        <f>REPLACE(INDEX(GroupVertices[Group],MATCH(Edges[[#This Row],[Vertex 1]],GroupVertices[Vertex],0)),1,1,"")</f>
        <v>3</v>
      </c>
      <c r="R985" s="80" t="str">
        <f>REPLACE(INDEX(GroupVertices[Group],MATCH(Edges[[#This Row],[Vertex 2]],GroupVertices[Vertex],0)),1,1,"")</f>
        <v>1</v>
      </c>
      <c r="S985" s="34"/>
      <c r="T985" s="34"/>
      <c r="U985" s="34"/>
      <c r="V985" s="34"/>
      <c r="W985" s="34"/>
      <c r="X985" s="34"/>
      <c r="Y985" s="34"/>
      <c r="Z985" s="34"/>
      <c r="AA985" s="34"/>
    </row>
    <row r="986" spans="1:27" ht="15">
      <c r="A986" s="66" t="s">
        <v>229</v>
      </c>
      <c r="B986" s="66" t="s">
        <v>673</v>
      </c>
      <c r="C986" s="67" t="s">
        <v>4454</v>
      </c>
      <c r="D986" s="68">
        <v>5</v>
      </c>
      <c r="E986" s="69"/>
      <c r="F986" s="70">
        <v>20</v>
      </c>
      <c r="G986" s="67"/>
      <c r="H986" s="71"/>
      <c r="I986" s="72"/>
      <c r="J986" s="72"/>
      <c r="K986" s="34" t="s">
        <v>65</v>
      </c>
      <c r="L986" s="79">
        <v>986</v>
      </c>
      <c r="M986" s="79"/>
      <c r="N986" s="74"/>
      <c r="O986" s="81" t="s">
        <v>944</v>
      </c>
      <c r="P986">
        <v>1</v>
      </c>
      <c r="Q986" s="80" t="str">
        <f>REPLACE(INDEX(GroupVertices[Group],MATCH(Edges[[#This Row],[Vertex 1]],GroupVertices[Vertex],0)),1,1,"")</f>
        <v>1</v>
      </c>
      <c r="R986" s="80" t="str">
        <f>REPLACE(INDEX(GroupVertices[Group],MATCH(Edges[[#This Row],[Vertex 2]],GroupVertices[Vertex],0)),1,1,"")</f>
        <v>1</v>
      </c>
      <c r="S986" s="34"/>
      <c r="T986" s="34"/>
      <c r="U986" s="34"/>
      <c r="V986" s="34"/>
      <c r="W986" s="34"/>
      <c r="X986" s="34"/>
      <c r="Y986" s="34"/>
      <c r="Z986" s="34"/>
      <c r="AA986" s="34"/>
    </row>
    <row r="987" spans="1:27" ht="15">
      <c r="A987" s="66" t="s">
        <v>236</v>
      </c>
      <c r="B987" s="66" t="s">
        <v>673</v>
      </c>
      <c r="C987" s="67" t="s">
        <v>4454</v>
      </c>
      <c r="D987" s="68">
        <v>5</v>
      </c>
      <c r="E987" s="69"/>
      <c r="F987" s="70">
        <v>20</v>
      </c>
      <c r="G987" s="67"/>
      <c r="H987" s="71"/>
      <c r="I987" s="72"/>
      <c r="J987" s="72"/>
      <c r="K987" s="34" t="s">
        <v>65</v>
      </c>
      <c r="L987" s="79">
        <v>987</v>
      </c>
      <c r="M987" s="79"/>
      <c r="N987" s="74"/>
      <c r="O987" s="81" t="s">
        <v>944</v>
      </c>
      <c r="P987">
        <v>1</v>
      </c>
      <c r="Q987" s="80" t="str">
        <f>REPLACE(INDEX(GroupVertices[Group],MATCH(Edges[[#This Row],[Vertex 1]],GroupVertices[Vertex],0)),1,1,"")</f>
        <v>1</v>
      </c>
      <c r="R987" s="80" t="str">
        <f>REPLACE(INDEX(GroupVertices[Group],MATCH(Edges[[#This Row],[Vertex 2]],GroupVertices[Vertex],0)),1,1,"")</f>
        <v>1</v>
      </c>
      <c r="S987" s="34"/>
      <c r="T987" s="34"/>
      <c r="U987" s="34"/>
      <c r="V987" s="34"/>
      <c r="W987" s="34"/>
      <c r="X987" s="34"/>
      <c r="Y987" s="34"/>
      <c r="Z987" s="34"/>
      <c r="AA987" s="34"/>
    </row>
    <row r="988" spans="1:27" ht="15">
      <c r="A988" s="66" t="s">
        <v>240</v>
      </c>
      <c r="B988" s="66" t="s">
        <v>673</v>
      </c>
      <c r="C988" s="67" t="s">
        <v>4454</v>
      </c>
      <c r="D988" s="68">
        <v>5</v>
      </c>
      <c r="E988" s="69"/>
      <c r="F988" s="70">
        <v>20</v>
      </c>
      <c r="G988" s="67"/>
      <c r="H988" s="71"/>
      <c r="I988" s="72"/>
      <c r="J988" s="72"/>
      <c r="K988" s="34" t="s">
        <v>65</v>
      </c>
      <c r="L988" s="79">
        <v>988</v>
      </c>
      <c r="M988" s="79"/>
      <c r="N988" s="74"/>
      <c r="O988" s="81" t="s">
        <v>944</v>
      </c>
      <c r="P988">
        <v>1</v>
      </c>
      <c r="Q988" s="80" t="str">
        <f>REPLACE(INDEX(GroupVertices[Group],MATCH(Edges[[#This Row],[Vertex 1]],GroupVertices[Vertex],0)),1,1,"")</f>
        <v>2</v>
      </c>
      <c r="R988" s="80" t="str">
        <f>REPLACE(INDEX(GroupVertices[Group],MATCH(Edges[[#This Row],[Vertex 2]],GroupVertices[Vertex],0)),1,1,"")</f>
        <v>1</v>
      </c>
      <c r="S988" s="34"/>
      <c r="T988" s="34"/>
      <c r="U988" s="34"/>
      <c r="V988" s="34"/>
      <c r="W988" s="34"/>
      <c r="X988" s="34"/>
      <c r="Y988" s="34"/>
      <c r="Z988" s="34"/>
      <c r="AA988" s="34"/>
    </row>
    <row r="989" spans="1:27" ht="15">
      <c r="A989" s="66" t="s">
        <v>246</v>
      </c>
      <c r="B989" s="66" t="s">
        <v>673</v>
      </c>
      <c r="C989" s="67" t="s">
        <v>4454</v>
      </c>
      <c r="D989" s="68">
        <v>5</v>
      </c>
      <c r="E989" s="69"/>
      <c r="F989" s="70">
        <v>20</v>
      </c>
      <c r="G989" s="67"/>
      <c r="H989" s="71"/>
      <c r="I989" s="72"/>
      <c r="J989" s="72"/>
      <c r="K989" s="34" t="s">
        <v>65</v>
      </c>
      <c r="L989" s="79">
        <v>989</v>
      </c>
      <c r="M989" s="79"/>
      <c r="N989" s="74"/>
      <c r="O989" s="81" t="s">
        <v>944</v>
      </c>
      <c r="P989">
        <v>1</v>
      </c>
      <c r="Q989" s="80" t="str">
        <f>REPLACE(INDEX(GroupVertices[Group],MATCH(Edges[[#This Row],[Vertex 1]],GroupVertices[Vertex],0)),1,1,"")</f>
        <v>2</v>
      </c>
      <c r="R989" s="80" t="str">
        <f>REPLACE(INDEX(GroupVertices[Group],MATCH(Edges[[#This Row],[Vertex 2]],GroupVertices[Vertex],0)),1,1,"")</f>
        <v>1</v>
      </c>
      <c r="S989" s="34"/>
      <c r="T989" s="34"/>
      <c r="U989" s="34"/>
      <c r="V989" s="34"/>
      <c r="W989" s="34"/>
      <c r="X989" s="34"/>
      <c r="Y989" s="34"/>
      <c r="Z989" s="34"/>
      <c r="AA989" s="34"/>
    </row>
    <row r="990" spans="1:27" ht="15">
      <c r="A990" s="66" t="s">
        <v>248</v>
      </c>
      <c r="B990" s="66" t="s">
        <v>673</v>
      </c>
      <c r="C990" s="67" t="s">
        <v>4454</v>
      </c>
      <c r="D990" s="68">
        <v>5</v>
      </c>
      <c r="E990" s="69"/>
      <c r="F990" s="70">
        <v>20</v>
      </c>
      <c r="G990" s="67"/>
      <c r="H990" s="71"/>
      <c r="I990" s="72"/>
      <c r="J990" s="72"/>
      <c r="K990" s="34" t="s">
        <v>65</v>
      </c>
      <c r="L990" s="79">
        <v>990</v>
      </c>
      <c r="M990" s="79"/>
      <c r="N990" s="74"/>
      <c r="O990" s="81" t="s">
        <v>944</v>
      </c>
      <c r="P990">
        <v>1</v>
      </c>
      <c r="Q990" s="80" t="str">
        <f>REPLACE(INDEX(GroupVertices[Group],MATCH(Edges[[#This Row],[Vertex 1]],GroupVertices[Vertex],0)),1,1,"")</f>
        <v>1</v>
      </c>
      <c r="R990" s="80" t="str">
        <f>REPLACE(INDEX(GroupVertices[Group],MATCH(Edges[[#This Row],[Vertex 2]],GroupVertices[Vertex],0)),1,1,"")</f>
        <v>1</v>
      </c>
      <c r="S990" s="34"/>
      <c r="T990" s="34"/>
      <c r="U990" s="34"/>
      <c r="V990" s="34"/>
      <c r="W990" s="34"/>
      <c r="X990" s="34"/>
      <c r="Y990" s="34"/>
      <c r="Z990" s="34"/>
      <c r="AA990" s="34"/>
    </row>
    <row r="991" spans="1:27" ht="15">
      <c r="A991" s="66" t="s">
        <v>250</v>
      </c>
      <c r="B991" s="66" t="s">
        <v>673</v>
      </c>
      <c r="C991" s="67" t="s">
        <v>4454</v>
      </c>
      <c r="D991" s="68">
        <v>5</v>
      </c>
      <c r="E991" s="69"/>
      <c r="F991" s="70">
        <v>20</v>
      </c>
      <c r="G991" s="67"/>
      <c r="H991" s="71"/>
      <c r="I991" s="72"/>
      <c r="J991" s="72"/>
      <c r="K991" s="34" t="s">
        <v>65</v>
      </c>
      <c r="L991" s="79">
        <v>991</v>
      </c>
      <c r="M991" s="79"/>
      <c r="N991" s="74"/>
      <c r="O991" s="81" t="s">
        <v>944</v>
      </c>
      <c r="P991">
        <v>1</v>
      </c>
      <c r="Q991" s="80" t="str">
        <f>REPLACE(INDEX(GroupVertices[Group],MATCH(Edges[[#This Row],[Vertex 1]],GroupVertices[Vertex],0)),1,1,"")</f>
        <v>2</v>
      </c>
      <c r="R991" s="80" t="str">
        <f>REPLACE(INDEX(GroupVertices[Group],MATCH(Edges[[#This Row],[Vertex 2]],GroupVertices[Vertex],0)),1,1,"")</f>
        <v>1</v>
      </c>
      <c r="S991" s="34"/>
      <c r="T991" s="34"/>
      <c r="U991" s="34"/>
      <c r="V991" s="34"/>
      <c r="W991" s="34"/>
      <c r="X991" s="34"/>
      <c r="Y991" s="34"/>
      <c r="Z991" s="34"/>
      <c r="AA991" s="34"/>
    </row>
    <row r="992" spans="1:27" ht="15">
      <c r="A992" s="66" t="s">
        <v>252</v>
      </c>
      <c r="B992" s="66" t="s">
        <v>673</v>
      </c>
      <c r="C992" s="67" t="s">
        <v>4454</v>
      </c>
      <c r="D992" s="68">
        <v>5</v>
      </c>
      <c r="E992" s="69"/>
      <c r="F992" s="70">
        <v>20</v>
      </c>
      <c r="G992" s="67"/>
      <c r="H992" s="71"/>
      <c r="I992" s="72"/>
      <c r="J992" s="72"/>
      <c r="K992" s="34" t="s">
        <v>65</v>
      </c>
      <c r="L992" s="79">
        <v>992</v>
      </c>
      <c r="M992" s="79"/>
      <c r="N992" s="74"/>
      <c r="O992" s="81" t="s">
        <v>944</v>
      </c>
      <c r="P992">
        <v>1</v>
      </c>
      <c r="Q992" s="80" t="str">
        <f>REPLACE(INDEX(GroupVertices[Group],MATCH(Edges[[#This Row],[Vertex 1]],GroupVertices[Vertex],0)),1,1,"")</f>
        <v>1</v>
      </c>
      <c r="R992" s="80" t="str">
        <f>REPLACE(INDEX(GroupVertices[Group],MATCH(Edges[[#This Row],[Vertex 2]],GroupVertices[Vertex],0)),1,1,"")</f>
        <v>1</v>
      </c>
      <c r="S992" s="34"/>
      <c r="T992" s="34"/>
      <c r="U992" s="34"/>
      <c r="V992" s="34"/>
      <c r="W992" s="34"/>
      <c r="X992" s="34"/>
      <c r="Y992" s="34"/>
      <c r="Z992" s="34"/>
      <c r="AA992" s="34"/>
    </row>
    <row r="993" spans="1:27" ht="15">
      <c r="A993" s="66" t="s">
        <v>248</v>
      </c>
      <c r="B993" s="66" t="s">
        <v>796</v>
      </c>
      <c r="C993" s="67" t="s">
        <v>4454</v>
      </c>
      <c r="D993" s="68">
        <v>5</v>
      </c>
      <c r="E993" s="69"/>
      <c r="F993" s="70">
        <v>20</v>
      </c>
      <c r="G993" s="67"/>
      <c r="H993" s="71"/>
      <c r="I993" s="72"/>
      <c r="J993" s="72"/>
      <c r="K993" s="34" t="s">
        <v>65</v>
      </c>
      <c r="L993" s="79">
        <v>993</v>
      </c>
      <c r="M993" s="79"/>
      <c r="N993" s="74"/>
      <c r="O993" s="81" t="s">
        <v>944</v>
      </c>
      <c r="P993">
        <v>1</v>
      </c>
      <c r="Q993" s="80" t="str">
        <f>REPLACE(INDEX(GroupVertices[Group],MATCH(Edges[[#This Row],[Vertex 1]],GroupVertices[Vertex],0)),1,1,"")</f>
        <v>1</v>
      </c>
      <c r="R993" s="80" t="str">
        <f>REPLACE(INDEX(GroupVertices[Group],MATCH(Edges[[#This Row],[Vertex 2]],GroupVertices[Vertex],0)),1,1,"")</f>
        <v>1</v>
      </c>
      <c r="S993" s="34"/>
      <c r="T993" s="34"/>
      <c r="U993" s="34"/>
      <c r="V993" s="34"/>
      <c r="W993" s="34"/>
      <c r="X993" s="34"/>
      <c r="Y993" s="34"/>
      <c r="Z993" s="34"/>
      <c r="AA993" s="34"/>
    </row>
    <row r="994" spans="1:27" ht="15">
      <c r="A994" s="66" t="s">
        <v>252</v>
      </c>
      <c r="B994" s="66" t="s">
        <v>796</v>
      </c>
      <c r="C994" s="67" t="s">
        <v>4454</v>
      </c>
      <c r="D994" s="68">
        <v>5</v>
      </c>
      <c r="E994" s="69"/>
      <c r="F994" s="70">
        <v>20</v>
      </c>
      <c r="G994" s="67"/>
      <c r="H994" s="71"/>
      <c r="I994" s="72"/>
      <c r="J994" s="72"/>
      <c r="K994" s="34" t="s">
        <v>65</v>
      </c>
      <c r="L994" s="79">
        <v>994</v>
      </c>
      <c r="M994" s="79"/>
      <c r="N994" s="74"/>
      <c r="O994" s="81" t="s">
        <v>944</v>
      </c>
      <c r="P994">
        <v>1</v>
      </c>
      <c r="Q994" s="80" t="str">
        <f>REPLACE(INDEX(GroupVertices[Group],MATCH(Edges[[#This Row],[Vertex 1]],GroupVertices[Vertex],0)),1,1,"")</f>
        <v>1</v>
      </c>
      <c r="R994" s="80" t="str">
        <f>REPLACE(INDEX(GroupVertices[Group],MATCH(Edges[[#This Row],[Vertex 2]],GroupVertices[Vertex],0)),1,1,"")</f>
        <v>1</v>
      </c>
      <c r="S994" s="34"/>
      <c r="T994" s="34"/>
      <c r="U994" s="34"/>
      <c r="V994" s="34"/>
      <c r="W994" s="34"/>
      <c r="X994" s="34"/>
      <c r="Y994" s="34"/>
      <c r="Z994" s="34"/>
      <c r="AA994" s="34"/>
    </row>
    <row r="995" spans="1:27" ht="15">
      <c r="A995" s="66" t="s">
        <v>252</v>
      </c>
      <c r="B995" s="66" t="s">
        <v>607</v>
      </c>
      <c r="C995" s="67" t="s">
        <v>4454</v>
      </c>
      <c r="D995" s="68">
        <v>5</v>
      </c>
      <c r="E995" s="69"/>
      <c r="F995" s="70">
        <v>20</v>
      </c>
      <c r="G995" s="67"/>
      <c r="H995" s="71"/>
      <c r="I995" s="72"/>
      <c r="J995" s="72"/>
      <c r="K995" s="34" t="s">
        <v>65</v>
      </c>
      <c r="L995" s="79">
        <v>995</v>
      </c>
      <c r="M995" s="79"/>
      <c r="N995" s="74"/>
      <c r="O995" s="81" t="s">
        <v>944</v>
      </c>
      <c r="P995">
        <v>1</v>
      </c>
      <c r="Q995" s="80" t="str">
        <f>REPLACE(INDEX(GroupVertices[Group],MATCH(Edges[[#This Row],[Vertex 1]],GroupVertices[Vertex],0)),1,1,"")</f>
        <v>1</v>
      </c>
      <c r="R995" s="80" t="str">
        <f>REPLACE(INDEX(GroupVertices[Group],MATCH(Edges[[#This Row],[Vertex 2]],GroupVertices[Vertex],0)),1,1,"")</f>
        <v>1</v>
      </c>
      <c r="S995" s="34"/>
      <c r="T995" s="34"/>
      <c r="U995" s="34"/>
      <c r="V995" s="34"/>
      <c r="W995" s="34"/>
      <c r="X995" s="34"/>
      <c r="Y995" s="34"/>
      <c r="Z995" s="34"/>
      <c r="AA995" s="34"/>
    </row>
    <row r="996" spans="1:27" ht="15">
      <c r="A996" s="66" t="s">
        <v>232</v>
      </c>
      <c r="B996" s="66" t="s">
        <v>617</v>
      </c>
      <c r="C996" s="67" t="s">
        <v>4454</v>
      </c>
      <c r="D996" s="68">
        <v>5</v>
      </c>
      <c r="E996" s="69"/>
      <c r="F996" s="70">
        <v>20</v>
      </c>
      <c r="G996" s="67"/>
      <c r="H996" s="71"/>
      <c r="I996" s="72"/>
      <c r="J996" s="72"/>
      <c r="K996" s="34" t="s">
        <v>65</v>
      </c>
      <c r="L996" s="79">
        <v>996</v>
      </c>
      <c r="M996" s="79"/>
      <c r="N996" s="74"/>
      <c r="O996" s="81" t="s">
        <v>944</v>
      </c>
      <c r="P996">
        <v>1</v>
      </c>
      <c r="Q996" s="80" t="str">
        <f>REPLACE(INDEX(GroupVertices[Group],MATCH(Edges[[#This Row],[Vertex 1]],GroupVertices[Vertex],0)),1,1,"")</f>
        <v>1</v>
      </c>
      <c r="R996" s="80" t="str">
        <f>REPLACE(INDEX(GroupVertices[Group],MATCH(Edges[[#This Row],[Vertex 2]],GroupVertices[Vertex],0)),1,1,"")</f>
        <v>1</v>
      </c>
      <c r="S996" s="34"/>
      <c r="T996" s="34"/>
      <c r="U996" s="34"/>
      <c r="V996" s="34"/>
      <c r="W996" s="34"/>
      <c r="X996" s="34"/>
      <c r="Y996" s="34"/>
      <c r="Z996" s="34"/>
      <c r="AA996" s="34"/>
    </row>
    <row r="997" spans="1:27" ht="15">
      <c r="A997" s="66" t="s">
        <v>248</v>
      </c>
      <c r="B997" s="66" t="s">
        <v>617</v>
      </c>
      <c r="C997" s="67" t="s">
        <v>4454</v>
      </c>
      <c r="D997" s="68">
        <v>5</v>
      </c>
      <c r="E997" s="69"/>
      <c r="F997" s="70">
        <v>20</v>
      </c>
      <c r="G997" s="67"/>
      <c r="H997" s="71"/>
      <c r="I997" s="72"/>
      <c r="J997" s="72"/>
      <c r="K997" s="34" t="s">
        <v>65</v>
      </c>
      <c r="L997" s="79">
        <v>997</v>
      </c>
      <c r="M997" s="79"/>
      <c r="N997" s="74"/>
      <c r="O997" s="81" t="s">
        <v>944</v>
      </c>
      <c r="P997">
        <v>1</v>
      </c>
      <c r="Q997" s="80" t="str">
        <f>REPLACE(INDEX(GroupVertices[Group],MATCH(Edges[[#This Row],[Vertex 1]],GroupVertices[Vertex],0)),1,1,"")</f>
        <v>1</v>
      </c>
      <c r="R997" s="80" t="str">
        <f>REPLACE(INDEX(GroupVertices[Group],MATCH(Edges[[#This Row],[Vertex 2]],GroupVertices[Vertex],0)),1,1,"")</f>
        <v>1</v>
      </c>
      <c r="S997" s="34"/>
      <c r="T997" s="34"/>
      <c r="U997" s="34"/>
      <c r="V997" s="34"/>
      <c r="W997" s="34"/>
      <c r="X997" s="34"/>
      <c r="Y997" s="34"/>
      <c r="Z997" s="34"/>
      <c r="AA997" s="34"/>
    </row>
    <row r="998" spans="1:27" ht="15">
      <c r="A998" s="66" t="s">
        <v>252</v>
      </c>
      <c r="B998" s="66" t="s">
        <v>617</v>
      </c>
      <c r="C998" s="67" t="s">
        <v>4454</v>
      </c>
      <c r="D998" s="68">
        <v>5</v>
      </c>
      <c r="E998" s="69"/>
      <c r="F998" s="70">
        <v>20</v>
      </c>
      <c r="G998" s="67"/>
      <c r="H998" s="71"/>
      <c r="I998" s="72"/>
      <c r="J998" s="72"/>
      <c r="K998" s="34" t="s">
        <v>65</v>
      </c>
      <c r="L998" s="79">
        <v>998</v>
      </c>
      <c r="M998" s="79"/>
      <c r="N998" s="74"/>
      <c r="O998" s="81" t="s">
        <v>944</v>
      </c>
      <c r="P998">
        <v>1</v>
      </c>
      <c r="Q998" s="80" t="str">
        <f>REPLACE(INDEX(GroupVertices[Group],MATCH(Edges[[#This Row],[Vertex 1]],GroupVertices[Vertex],0)),1,1,"")</f>
        <v>1</v>
      </c>
      <c r="R998" s="80" t="str">
        <f>REPLACE(INDEX(GroupVertices[Group],MATCH(Edges[[#This Row],[Vertex 2]],GroupVertices[Vertex],0)),1,1,"")</f>
        <v>1</v>
      </c>
      <c r="S998" s="34"/>
      <c r="T998" s="34"/>
      <c r="U998" s="34"/>
      <c r="V998" s="34"/>
      <c r="W998" s="34"/>
      <c r="X998" s="34"/>
      <c r="Y998" s="34"/>
      <c r="Z998" s="34"/>
      <c r="AA998" s="34"/>
    </row>
    <row r="999" spans="1:27" ht="15">
      <c r="A999" s="66" t="s">
        <v>252</v>
      </c>
      <c r="B999" s="66" t="s">
        <v>604</v>
      </c>
      <c r="C999" s="67" t="s">
        <v>4454</v>
      </c>
      <c r="D999" s="68">
        <v>5</v>
      </c>
      <c r="E999" s="69"/>
      <c r="F999" s="70">
        <v>20</v>
      </c>
      <c r="G999" s="67"/>
      <c r="H999" s="71"/>
      <c r="I999" s="72"/>
      <c r="J999" s="72"/>
      <c r="K999" s="34" t="s">
        <v>65</v>
      </c>
      <c r="L999" s="79">
        <v>999</v>
      </c>
      <c r="M999" s="79"/>
      <c r="N999" s="74"/>
      <c r="O999" s="81" t="s">
        <v>944</v>
      </c>
      <c r="P999">
        <v>1</v>
      </c>
      <c r="Q999" s="80" t="str">
        <f>REPLACE(INDEX(GroupVertices[Group],MATCH(Edges[[#This Row],[Vertex 1]],GroupVertices[Vertex],0)),1,1,"")</f>
        <v>1</v>
      </c>
      <c r="R999" s="80" t="str">
        <f>REPLACE(INDEX(GroupVertices[Group],MATCH(Edges[[#This Row],[Vertex 2]],GroupVertices[Vertex],0)),1,1,"")</f>
        <v>1</v>
      </c>
      <c r="S999" s="34"/>
      <c r="T999" s="34"/>
      <c r="U999" s="34"/>
      <c r="V999" s="34"/>
      <c r="W999" s="34"/>
      <c r="X999" s="34"/>
      <c r="Y999" s="34"/>
      <c r="Z999" s="34"/>
      <c r="AA999" s="34"/>
    </row>
    <row r="1000" spans="1:27" ht="15">
      <c r="A1000" s="66" t="s">
        <v>252</v>
      </c>
      <c r="B1000" s="66" t="s">
        <v>797</v>
      </c>
      <c r="C1000" s="67" t="s">
        <v>4454</v>
      </c>
      <c r="D1000" s="68">
        <v>5</v>
      </c>
      <c r="E1000" s="69"/>
      <c r="F1000" s="70">
        <v>20</v>
      </c>
      <c r="G1000" s="67"/>
      <c r="H1000" s="71"/>
      <c r="I1000" s="72"/>
      <c r="J1000" s="72"/>
      <c r="K1000" s="34"/>
      <c r="L1000" s="79">
        <v>1000</v>
      </c>
      <c r="M1000" s="79"/>
      <c r="N1000" s="74"/>
      <c r="O1000" s="81" t="s">
        <v>944</v>
      </c>
      <c r="P1000">
        <v>1</v>
      </c>
      <c r="Q1000" s="80" t="str">
        <f>REPLACE(INDEX(GroupVertices[Group],MATCH(Edges[[#This Row],[Vertex 1]],GroupVertices[Vertex],0)),1,1,"")</f>
        <v>1</v>
      </c>
      <c r="R1000" s="80" t="e">
        <f>REPLACE(INDEX(GroupVertices[Group],MATCH(Edges[[#This Row],[Vertex 2]],GroupVertices[Vertex],0)),1,1,"")</f>
        <v>#N/A</v>
      </c>
      <c r="S1000" s="34"/>
      <c r="T1000" s="34"/>
      <c r="U1000" s="34"/>
      <c r="V1000" s="34"/>
      <c r="W1000" s="34"/>
      <c r="X1000" s="34"/>
      <c r="Y1000" s="34"/>
      <c r="Z1000" s="34"/>
      <c r="AA1000" s="34"/>
    </row>
    <row r="1001" spans="1:27" ht="15">
      <c r="A1001" s="66" t="s">
        <v>252</v>
      </c>
      <c r="B1001" s="66" t="s">
        <v>798</v>
      </c>
      <c r="C1001" s="67" t="s">
        <v>4454</v>
      </c>
      <c r="D1001" s="68">
        <v>5</v>
      </c>
      <c r="E1001" s="69"/>
      <c r="F1001" s="70">
        <v>20</v>
      </c>
      <c r="G1001" s="67"/>
      <c r="H1001" s="71"/>
      <c r="I1001" s="72"/>
      <c r="J1001" s="72"/>
      <c r="K1001" s="34"/>
      <c r="L1001" s="79">
        <v>1001</v>
      </c>
      <c r="M1001" s="79"/>
      <c r="N1001" s="74"/>
      <c r="O1001" s="81" t="s">
        <v>944</v>
      </c>
      <c r="P1001">
        <v>1</v>
      </c>
      <c r="Q1001" s="80" t="str">
        <f>REPLACE(INDEX(GroupVertices[Group],MATCH(Edges[[#This Row],[Vertex 1]],GroupVertices[Vertex],0)),1,1,"")</f>
        <v>1</v>
      </c>
      <c r="R1001" s="80" t="e">
        <f>REPLACE(INDEX(GroupVertices[Group],MATCH(Edges[[#This Row],[Vertex 2]],GroupVertices[Vertex],0)),1,1,"")</f>
        <v>#N/A</v>
      </c>
      <c r="S1001" s="34"/>
      <c r="T1001" s="34"/>
      <c r="U1001" s="34"/>
      <c r="V1001" s="34"/>
      <c r="W1001" s="34"/>
      <c r="X1001" s="34"/>
      <c r="Y1001" s="34"/>
      <c r="Z1001" s="34"/>
      <c r="AA1001" s="34"/>
    </row>
    <row r="1002" spans="1:27" ht="15">
      <c r="A1002" s="66" t="s">
        <v>232</v>
      </c>
      <c r="B1002" s="66" t="s">
        <v>799</v>
      </c>
      <c r="C1002" s="67" t="s">
        <v>4454</v>
      </c>
      <c r="D1002" s="68">
        <v>5</v>
      </c>
      <c r="E1002" s="69"/>
      <c r="F1002" s="70">
        <v>20</v>
      </c>
      <c r="G1002" s="67"/>
      <c r="H1002" s="71"/>
      <c r="I1002" s="72"/>
      <c r="J1002" s="72"/>
      <c r="K1002" s="34" t="s">
        <v>65</v>
      </c>
      <c r="L1002" s="79">
        <v>1002</v>
      </c>
      <c r="M1002" s="79"/>
      <c r="N1002" s="74"/>
      <c r="O1002" s="81" t="s">
        <v>944</v>
      </c>
      <c r="P1002">
        <v>1</v>
      </c>
      <c r="Q1002" s="80" t="str">
        <f>REPLACE(INDEX(GroupVertices[Group],MATCH(Edges[[#This Row],[Vertex 1]],GroupVertices[Vertex],0)),1,1,"")</f>
        <v>1</v>
      </c>
      <c r="R1002" s="80" t="str">
        <f>REPLACE(INDEX(GroupVertices[Group],MATCH(Edges[[#This Row],[Vertex 2]],GroupVertices[Vertex],0)),1,1,"")</f>
        <v>1</v>
      </c>
      <c r="S1002" s="34"/>
      <c r="T1002" s="34"/>
      <c r="U1002" s="34"/>
      <c r="V1002" s="34"/>
      <c r="W1002" s="34"/>
      <c r="X1002" s="34"/>
      <c r="Y1002" s="34"/>
      <c r="Z1002" s="34"/>
      <c r="AA1002" s="34"/>
    </row>
    <row r="1003" spans="1:27" ht="15">
      <c r="A1003" s="66" t="s">
        <v>248</v>
      </c>
      <c r="B1003" s="66" t="s">
        <v>799</v>
      </c>
      <c r="C1003" s="67" t="s">
        <v>4454</v>
      </c>
      <c r="D1003" s="68">
        <v>5</v>
      </c>
      <c r="E1003" s="69"/>
      <c r="F1003" s="70">
        <v>20</v>
      </c>
      <c r="G1003" s="67"/>
      <c r="H1003" s="71"/>
      <c r="I1003" s="72"/>
      <c r="J1003" s="72"/>
      <c r="K1003" s="34" t="s">
        <v>65</v>
      </c>
      <c r="L1003" s="79">
        <v>1003</v>
      </c>
      <c r="M1003" s="79"/>
      <c r="N1003" s="74"/>
      <c r="O1003" s="81" t="s">
        <v>944</v>
      </c>
      <c r="P1003">
        <v>1</v>
      </c>
      <c r="Q1003" s="80" t="str">
        <f>REPLACE(INDEX(GroupVertices[Group],MATCH(Edges[[#This Row],[Vertex 1]],GroupVertices[Vertex],0)),1,1,"")</f>
        <v>1</v>
      </c>
      <c r="R1003" s="80" t="str">
        <f>REPLACE(INDEX(GroupVertices[Group],MATCH(Edges[[#This Row],[Vertex 2]],GroupVertices[Vertex],0)),1,1,"")</f>
        <v>1</v>
      </c>
      <c r="S1003" s="34"/>
      <c r="T1003" s="34"/>
      <c r="U1003" s="34"/>
      <c r="V1003" s="34"/>
      <c r="W1003" s="34"/>
      <c r="X1003" s="34"/>
      <c r="Y1003" s="34"/>
      <c r="Z1003" s="34"/>
      <c r="AA1003" s="34"/>
    </row>
    <row r="1004" spans="1:27" ht="15">
      <c r="A1004" s="66" t="s">
        <v>252</v>
      </c>
      <c r="B1004" s="66" t="s">
        <v>799</v>
      </c>
      <c r="C1004" s="67" t="s">
        <v>4454</v>
      </c>
      <c r="D1004" s="68">
        <v>5</v>
      </c>
      <c r="E1004" s="69"/>
      <c r="F1004" s="70">
        <v>20</v>
      </c>
      <c r="G1004" s="67"/>
      <c r="H1004" s="71"/>
      <c r="I1004" s="72"/>
      <c r="J1004" s="72"/>
      <c r="K1004" s="34" t="s">
        <v>65</v>
      </c>
      <c r="L1004" s="79">
        <v>1004</v>
      </c>
      <c r="M1004" s="79"/>
      <c r="N1004" s="74"/>
      <c r="O1004" s="81" t="s">
        <v>944</v>
      </c>
      <c r="P1004">
        <v>1</v>
      </c>
      <c r="Q1004" s="80" t="str">
        <f>REPLACE(INDEX(GroupVertices[Group],MATCH(Edges[[#This Row],[Vertex 1]],GroupVertices[Vertex],0)),1,1,"")</f>
        <v>1</v>
      </c>
      <c r="R1004" s="80" t="str">
        <f>REPLACE(INDEX(GroupVertices[Group],MATCH(Edges[[#This Row],[Vertex 2]],GroupVertices[Vertex],0)),1,1,"")</f>
        <v>1</v>
      </c>
      <c r="S1004" s="34"/>
      <c r="T1004" s="34"/>
      <c r="U1004" s="34"/>
      <c r="V1004" s="34"/>
      <c r="W1004" s="34"/>
      <c r="X1004" s="34"/>
      <c r="Y1004" s="34"/>
      <c r="Z1004" s="34"/>
      <c r="AA1004" s="34"/>
    </row>
    <row r="1005" spans="1:27" ht="15">
      <c r="A1005" s="66" t="s">
        <v>252</v>
      </c>
      <c r="B1005" s="66" t="s">
        <v>622</v>
      </c>
      <c r="C1005" s="67" t="s">
        <v>4454</v>
      </c>
      <c r="D1005" s="68">
        <v>5</v>
      </c>
      <c r="E1005" s="69"/>
      <c r="F1005" s="70">
        <v>20</v>
      </c>
      <c r="G1005" s="67"/>
      <c r="H1005" s="71"/>
      <c r="I1005" s="72"/>
      <c r="J1005" s="72"/>
      <c r="K1005" s="34" t="s">
        <v>65</v>
      </c>
      <c r="L1005" s="79">
        <v>1005</v>
      </c>
      <c r="M1005" s="79"/>
      <c r="N1005" s="74"/>
      <c r="O1005" s="81" t="s">
        <v>944</v>
      </c>
      <c r="P1005">
        <v>1</v>
      </c>
      <c r="Q1005" s="80" t="str">
        <f>REPLACE(INDEX(GroupVertices[Group],MATCH(Edges[[#This Row],[Vertex 1]],GroupVertices[Vertex],0)),1,1,"")</f>
        <v>1</v>
      </c>
      <c r="R1005" s="80" t="str">
        <f>REPLACE(INDEX(GroupVertices[Group],MATCH(Edges[[#This Row],[Vertex 2]],GroupVertices[Vertex],0)),1,1,"")</f>
        <v>1</v>
      </c>
      <c r="S1005" s="34"/>
      <c r="T1005" s="34"/>
      <c r="U1005" s="34"/>
      <c r="V1005" s="34"/>
      <c r="W1005" s="34"/>
      <c r="X1005" s="34"/>
      <c r="Y1005" s="34"/>
      <c r="Z1005" s="34"/>
      <c r="AA1005" s="34"/>
    </row>
    <row r="1006" spans="1:27" ht="15">
      <c r="A1006" s="66" t="s">
        <v>252</v>
      </c>
      <c r="B1006" s="66" t="s">
        <v>800</v>
      </c>
      <c r="C1006" s="67" t="s">
        <v>4454</v>
      </c>
      <c r="D1006" s="68">
        <v>5</v>
      </c>
      <c r="E1006" s="69"/>
      <c r="F1006" s="70">
        <v>20</v>
      </c>
      <c r="G1006" s="67"/>
      <c r="H1006" s="71"/>
      <c r="I1006" s="72"/>
      <c r="J1006" s="72"/>
      <c r="K1006" s="34"/>
      <c r="L1006" s="79">
        <v>1006</v>
      </c>
      <c r="M1006" s="79"/>
      <c r="N1006" s="74"/>
      <c r="O1006" s="81" t="s">
        <v>944</v>
      </c>
      <c r="P1006">
        <v>1</v>
      </c>
      <c r="Q1006" s="80" t="str">
        <f>REPLACE(INDEX(GroupVertices[Group],MATCH(Edges[[#This Row],[Vertex 1]],GroupVertices[Vertex],0)),1,1,"")</f>
        <v>1</v>
      </c>
      <c r="R1006" s="80" t="e">
        <f>REPLACE(INDEX(GroupVertices[Group],MATCH(Edges[[#This Row],[Vertex 2]],GroupVertices[Vertex],0)),1,1,"")</f>
        <v>#N/A</v>
      </c>
      <c r="S1006" s="34"/>
      <c r="T1006" s="34"/>
      <c r="U1006" s="34"/>
      <c r="V1006" s="34"/>
      <c r="W1006" s="34"/>
      <c r="X1006" s="34"/>
      <c r="Y1006" s="34"/>
      <c r="Z1006" s="34"/>
      <c r="AA1006" s="34"/>
    </row>
    <row r="1007" spans="1:27" ht="15">
      <c r="A1007" s="66" t="s">
        <v>252</v>
      </c>
      <c r="B1007" s="66" t="s">
        <v>801</v>
      </c>
      <c r="C1007" s="67" t="s">
        <v>4454</v>
      </c>
      <c r="D1007" s="68">
        <v>5</v>
      </c>
      <c r="E1007" s="69"/>
      <c r="F1007" s="70">
        <v>20</v>
      </c>
      <c r="G1007" s="67"/>
      <c r="H1007" s="71"/>
      <c r="I1007" s="72"/>
      <c r="J1007" s="72"/>
      <c r="K1007" s="34"/>
      <c r="L1007" s="79">
        <v>1007</v>
      </c>
      <c r="M1007" s="79"/>
      <c r="N1007" s="74"/>
      <c r="O1007" s="81" t="s">
        <v>944</v>
      </c>
      <c r="P1007">
        <v>1</v>
      </c>
      <c r="Q1007" s="80" t="str">
        <f>REPLACE(INDEX(GroupVertices[Group],MATCH(Edges[[#This Row],[Vertex 1]],GroupVertices[Vertex],0)),1,1,"")</f>
        <v>1</v>
      </c>
      <c r="R1007" s="80" t="e">
        <f>REPLACE(INDEX(GroupVertices[Group],MATCH(Edges[[#This Row],[Vertex 2]],GroupVertices[Vertex],0)),1,1,"")</f>
        <v>#N/A</v>
      </c>
      <c r="S1007" s="34"/>
      <c r="T1007" s="34"/>
      <c r="U1007" s="34"/>
      <c r="V1007" s="34"/>
      <c r="W1007" s="34"/>
      <c r="X1007" s="34"/>
      <c r="Y1007" s="34"/>
      <c r="Z1007" s="34"/>
      <c r="AA1007" s="34"/>
    </row>
    <row r="1008" spans="1:27" ht="15">
      <c r="A1008" s="66" t="s">
        <v>248</v>
      </c>
      <c r="B1008" s="66" t="s">
        <v>802</v>
      </c>
      <c r="C1008" s="67" t="s">
        <v>4454</v>
      </c>
      <c r="D1008" s="68">
        <v>5</v>
      </c>
      <c r="E1008" s="69"/>
      <c r="F1008" s="70">
        <v>20</v>
      </c>
      <c r="G1008" s="67"/>
      <c r="H1008" s="71"/>
      <c r="I1008" s="72"/>
      <c r="J1008" s="72"/>
      <c r="K1008" s="34" t="s">
        <v>65</v>
      </c>
      <c r="L1008" s="79">
        <v>1008</v>
      </c>
      <c r="M1008" s="79"/>
      <c r="N1008" s="74"/>
      <c r="O1008" s="81" t="s">
        <v>944</v>
      </c>
      <c r="P1008">
        <v>1</v>
      </c>
      <c r="Q1008" s="80" t="str">
        <f>REPLACE(INDEX(GroupVertices[Group],MATCH(Edges[[#This Row],[Vertex 1]],GroupVertices[Vertex],0)),1,1,"")</f>
        <v>1</v>
      </c>
      <c r="R1008" s="80" t="str">
        <f>REPLACE(INDEX(GroupVertices[Group],MATCH(Edges[[#This Row],[Vertex 2]],GroupVertices[Vertex],0)),1,1,"")</f>
        <v>1</v>
      </c>
      <c r="S1008" s="34"/>
      <c r="T1008" s="34"/>
      <c r="U1008" s="34"/>
      <c r="V1008" s="34"/>
      <c r="W1008" s="34"/>
      <c r="X1008" s="34"/>
      <c r="Y1008" s="34"/>
      <c r="Z1008" s="34"/>
      <c r="AA1008" s="34"/>
    </row>
    <row r="1009" spans="1:27" ht="15">
      <c r="A1009" s="66" t="s">
        <v>252</v>
      </c>
      <c r="B1009" s="66" t="s">
        <v>802</v>
      </c>
      <c r="C1009" s="67" t="s">
        <v>4454</v>
      </c>
      <c r="D1009" s="68">
        <v>5</v>
      </c>
      <c r="E1009" s="69"/>
      <c r="F1009" s="70">
        <v>20</v>
      </c>
      <c r="G1009" s="67"/>
      <c r="H1009" s="71"/>
      <c r="I1009" s="72"/>
      <c r="J1009" s="72"/>
      <c r="K1009" s="34" t="s">
        <v>65</v>
      </c>
      <c r="L1009" s="79">
        <v>1009</v>
      </c>
      <c r="M1009" s="79"/>
      <c r="N1009" s="74"/>
      <c r="O1009" s="81" t="s">
        <v>944</v>
      </c>
      <c r="P1009">
        <v>1</v>
      </c>
      <c r="Q1009" s="80" t="str">
        <f>REPLACE(INDEX(GroupVertices[Group],MATCH(Edges[[#This Row],[Vertex 1]],GroupVertices[Vertex],0)),1,1,"")</f>
        <v>1</v>
      </c>
      <c r="R1009" s="80" t="str">
        <f>REPLACE(INDEX(GroupVertices[Group],MATCH(Edges[[#This Row],[Vertex 2]],GroupVertices[Vertex],0)),1,1,"")</f>
        <v>1</v>
      </c>
      <c r="S1009" s="34"/>
      <c r="T1009" s="34"/>
      <c r="U1009" s="34"/>
      <c r="V1009" s="34"/>
      <c r="W1009" s="34"/>
      <c r="X1009" s="34"/>
      <c r="Y1009" s="34"/>
      <c r="Z1009" s="34"/>
      <c r="AA1009" s="34"/>
    </row>
    <row r="1010" spans="1:27" ht="15">
      <c r="A1010" s="66" t="s">
        <v>248</v>
      </c>
      <c r="B1010" s="66" t="s">
        <v>803</v>
      </c>
      <c r="C1010" s="67" t="s">
        <v>4454</v>
      </c>
      <c r="D1010" s="68">
        <v>5</v>
      </c>
      <c r="E1010" s="69"/>
      <c r="F1010" s="70">
        <v>20</v>
      </c>
      <c r="G1010" s="67"/>
      <c r="H1010" s="71"/>
      <c r="I1010" s="72"/>
      <c r="J1010" s="72"/>
      <c r="K1010" s="34" t="s">
        <v>65</v>
      </c>
      <c r="L1010" s="79">
        <v>1010</v>
      </c>
      <c r="M1010" s="79"/>
      <c r="N1010" s="74"/>
      <c r="O1010" s="81" t="s">
        <v>944</v>
      </c>
      <c r="P1010">
        <v>1</v>
      </c>
      <c r="Q1010" s="80" t="str">
        <f>REPLACE(INDEX(GroupVertices[Group],MATCH(Edges[[#This Row],[Vertex 1]],GroupVertices[Vertex],0)),1,1,"")</f>
        <v>1</v>
      </c>
      <c r="R1010" s="80" t="str">
        <f>REPLACE(INDEX(GroupVertices[Group],MATCH(Edges[[#This Row],[Vertex 2]],GroupVertices[Vertex],0)),1,1,"")</f>
        <v>1</v>
      </c>
      <c r="S1010" s="34"/>
      <c r="T1010" s="34"/>
      <c r="U1010" s="34"/>
      <c r="V1010" s="34"/>
      <c r="W1010" s="34"/>
      <c r="X1010" s="34"/>
      <c r="Y1010" s="34"/>
      <c r="Z1010" s="34"/>
      <c r="AA1010" s="34"/>
    </row>
    <row r="1011" spans="1:27" ht="15">
      <c r="A1011" s="66" t="s">
        <v>252</v>
      </c>
      <c r="B1011" s="66" t="s">
        <v>803</v>
      </c>
      <c r="C1011" s="67" t="s">
        <v>4454</v>
      </c>
      <c r="D1011" s="68">
        <v>5</v>
      </c>
      <c r="E1011" s="69"/>
      <c r="F1011" s="70">
        <v>20</v>
      </c>
      <c r="G1011" s="67"/>
      <c r="H1011" s="71"/>
      <c r="I1011" s="72"/>
      <c r="J1011" s="72"/>
      <c r="K1011" s="34" t="s">
        <v>65</v>
      </c>
      <c r="L1011" s="79">
        <v>1011</v>
      </c>
      <c r="M1011" s="79"/>
      <c r="N1011" s="74"/>
      <c r="O1011" s="81" t="s">
        <v>944</v>
      </c>
      <c r="P1011">
        <v>1</v>
      </c>
      <c r="Q1011" s="80" t="str">
        <f>REPLACE(INDEX(GroupVertices[Group],MATCH(Edges[[#This Row],[Vertex 1]],GroupVertices[Vertex],0)),1,1,"")</f>
        <v>1</v>
      </c>
      <c r="R1011" s="80" t="str">
        <f>REPLACE(INDEX(GroupVertices[Group],MATCH(Edges[[#This Row],[Vertex 2]],GroupVertices[Vertex],0)),1,1,"")</f>
        <v>1</v>
      </c>
      <c r="S1011" s="34"/>
      <c r="T1011" s="34"/>
      <c r="U1011" s="34"/>
      <c r="V1011" s="34"/>
      <c r="W1011" s="34"/>
      <c r="X1011" s="34"/>
      <c r="Y1011" s="34"/>
      <c r="Z1011" s="34"/>
      <c r="AA1011" s="34"/>
    </row>
    <row r="1012" spans="1:27" ht="15">
      <c r="A1012" s="66" t="s">
        <v>253</v>
      </c>
      <c r="B1012" s="66" t="s">
        <v>804</v>
      </c>
      <c r="C1012" s="67" t="s">
        <v>4454</v>
      </c>
      <c r="D1012" s="68">
        <v>5</v>
      </c>
      <c r="E1012" s="69"/>
      <c r="F1012" s="70">
        <v>20</v>
      </c>
      <c r="G1012" s="67"/>
      <c r="H1012" s="71"/>
      <c r="I1012" s="72"/>
      <c r="J1012" s="72"/>
      <c r="K1012" s="34"/>
      <c r="L1012" s="79">
        <v>1012</v>
      </c>
      <c r="M1012" s="79"/>
      <c r="N1012" s="74"/>
      <c r="O1012" s="81" t="s">
        <v>944</v>
      </c>
      <c r="P1012">
        <v>1</v>
      </c>
      <c r="Q1012" s="80" t="str">
        <f>REPLACE(INDEX(GroupVertices[Group],MATCH(Edges[[#This Row],[Vertex 1]],GroupVertices[Vertex],0)),1,1,"")</f>
        <v>1</v>
      </c>
      <c r="R1012" s="80" t="e">
        <f>REPLACE(INDEX(GroupVertices[Group],MATCH(Edges[[#This Row],[Vertex 2]],GroupVertices[Vertex],0)),1,1,"")</f>
        <v>#N/A</v>
      </c>
      <c r="S1012" s="34"/>
      <c r="T1012" s="34"/>
      <c r="U1012" s="34"/>
      <c r="V1012" s="34"/>
      <c r="W1012" s="34"/>
      <c r="X1012" s="34"/>
      <c r="Y1012" s="34"/>
      <c r="Z1012" s="34"/>
      <c r="AA1012" s="34"/>
    </row>
    <row r="1013" spans="1:27" ht="15">
      <c r="A1013" s="66" t="s">
        <v>253</v>
      </c>
      <c r="B1013" s="66" t="s">
        <v>805</v>
      </c>
      <c r="C1013" s="67" t="s">
        <v>4454</v>
      </c>
      <c r="D1013" s="68">
        <v>5</v>
      </c>
      <c r="E1013" s="69"/>
      <c r="F1013" s="70">
        <v>20</v>
      </c>
      <c r="G1013" s="67"/>
      <c r="H1013" s="71"/>
      <c r="I1013" s="72"/>
      <c r="J1013" s="72"/>
      <c r="K1013" s="34"/>
      <c r="L1013" s="79">
        <v>1013</v>
      </c>
      <c r="M1013" s="79"/>
      <c r="N1013" s="74"/>
      <c r="O1013" s="81" t="s">
        <v>944</v>
      </c>
      <c r="P1013">
        <v>1</v>
      </c>
      <c r="Q1013" s="80" t="str">
        <f>REPLACE(INDEX(GroupVertices[Group],MATCH(Edges[[#This Row],[Vertex 1]],GroupVertices[Vertex],0)),1,1,"")</f>
        <v>1</v>
      </c>
      <c r="R1013" s="80" t="e">
        <f>REPLACE(INDEX(GroupVertices[Group],MATCH(Edges[[#This Row],[Vertex 2]],GroupVertices[Vertex],0)),1,1,"")</f>
        <v>#N/A</v>
      </c>
      <c r="S1013" s="34"/>
      <c r="T1013" s="34"/>
      <c r="U1013" s="34"/>
      <c r="V1013" s="34"/>
      <c r="W1013" s="34"/>
      <c r="X1013" s="34"/>
      <c r="Y1013" s="34"/>
      <c r="Z1013" s="34"/>
      <c r="AA1013" s="34"/>
    </row>
    <row r="1014" spans="1:27" ht="15">
      <c r="A1014" s="66" t="s">
        <v>253</v>
      </c>
      <c r="B1014" s="66" t="s">
        <v>806</v>
      </c>
      <c r="C1014" s="67" t="s">
        <v>4454</v>
      </c>
      <c r="D1014" s="68">
        <v>5</v>
      </c>
      <c r="E1014" s="69"/>
      <c r="F1014" s="70">
        <v>20</v>
      </c>
      <c r="G1014" s="67"/>
      <c r="H1014" s="71"/>
      <c r="I1014" s="72"/>
      <c r="J1014" s="72"/>
      <c r="K1014" s="34"/>
      <c r="L1014" s="79">
        <v>1014</v>
      </c>
      <c r="M1014" s="79"/>
      <c r="N1014" s="74"/>
      <c r="O1014" s="81" t="s">
        <v>944</v>
      </c>
      <c r="P1014">
        <v>1</v>
      </c>
      <c r="Q1014" s="80" t="str">
        <f>REPLACE(INDEX(GroupVertices[Group],MATCH(Edges[[#This Row],[Vertex 1]],GroupVertices[Vertex],0)),1,1,"")</f>
        <v>1</v>
      </c>
      <c r="R1014" s="80" t="e">
        <f>REPLACE(INDEX(GroupVertices[Group],MATCH(Edges[[#This Row],[Vertex 2]],GroupVertices[Vertex],0)),1,1,"")</f>
        <v>#N/A</v>
      </c>
      <c r="S1014" s="34"/>
      <c r="T1014" s="34"/>
      <c r="U1014" s="34"/>
      <c r="V1014" s="34"/>
      <c r="W1014" s="34"/>
      <c r="X1014" s="34"/>
      <c r="Y1014" s="34"/>
      <c r="Z1014" s="34"/>
      <c r="AA1014" s="34"/>
    </row>
    <row r="1015" spans="1:27" ht="15">
      <c r="A1015" s="66" t="s">
        <v>236</v>
      </c>
      <c r="B1015" s="66" t="s">
        <v>807</v>
      </c>
      <c r="C1015" s="67" t="s">
        <v>4454</v>
      </c>
      <c r="D1015" s="68">
        <v>5</v>
      </c>
      <c r="E1015" s="69"/>
      <c r="F1015" s="70">
        <v>20</v>
      </c>
      <c r="G1015" s="67"/>
      <c r="H1015" s="71"/>
      <c r="I1015" s="72"/>
      <c r="J1015" s="72"/>
      <c r="K1015" s="34" t="s">
        <v>65</v>
      </c>
      <c r="L1015" s="79">
        <v>1015</v>
      </c>
      <c r="M1015" s="79"/>
      <c r="N1015" s="74"/>
      <c r="O1015" s="81" t="s">
        <v>944</v>
      </c>
      <c r="P1015">
        <v>1</v>
      </c>
      <c r="Q1015" s="80" t="str">
        <f>REPLACE(INDEX(GroupVertices[Group],MATCH(Edges[[#This Row],[Vertex 1]],GroupVertices[Vertex],0)),1,1,"")</f>
        <v>1</v>
      </c>
      <c r="R1015" s="80" t="str">
        <f>REPLACE(INDEX(GroupVertices[Group],MATCH(Edges[[#This Row],[Vertex 2]],GroupVertices[Vertex],0)),1,1,"")</f>
        <v>1</v>
      </c>
      <c r="S1015" s="34"/>
      <c r="T1015" s="34"/>
      <c r="U1015" s="34"/>
      <c r="V1015" s="34"/>
      <c r="W1015" s="34"/>
      <c r="X1015" s="34"/>
      <c r="Y1015" s="34"/>
      <c r="Z1015" s="34"/>
      <c r="AA1015" s="34"/>
    </row>
    <row r="1016" spans="1:27" ht="15">
      <c r="A1016" s="66" t="s">
        <v>253</v>
      </c>
      <c r="B1016" s="66" t="s">
        <v>807</v>
      </c>
      <c r="C1016" s="67" t="s">
        <v>4454</v>
      </c>
      <c r="D1016" s="68">
        <v>5</v>
      </c>
      <c r="E1016" s="69"/>
      <c r="F1016" s="70">
        <v>20</v>
      </c>
      <c r="G1016" s="67"/>
      <c r="H1016" s="71"/>
      <c r="I1016" s="72"/>
      <c r="J1016" s="72"/>
      <c r="K1016" s="34" t="s">
        <v>65</v>
      </c>
      <c r="L1016" s="79">
        <v>1016</v>
      </c>
      <c r="M1016" s="79"/>
      <c r="N1016" s="74"/>
      <c r="O1016" s="81" t="s">
        <v>944</v>
      </c>
      <c r="P1016">
        <v>1</v>
      </c>
      <c r="Q1016" s="80" t="str">
        <f>REPLACE(INDEX(GroupVertices[Group],MATCH(Edges[[#This Row],[Vertex 1]],GroupVertices[Vertex],0)),1,1,"")</f>
        <v>1</v>
      </c>
      <c r="R1016" s="80" t="str">
        <f>REPLACE(INDEX(GroupVertices[Group],MATCH(Edges[[#This Row],[Vertex 2]],GroupVertices[Vertex],0)),1,1,"")</f>
        <v>1</v>
      </c>
      <c r="S1016" s="34"/>
      <c r="T1016" s="34"/>
      <c r="U1016" s="34"/>
      <c r="V1016" s="34"/>
      <c r="W1016" s="34"/>
      <c r="X1016" s="34"/>
      <c r="Y1016" s="34"/>
      <c r="Z1016" s="34"/>
      <c r="AA1016" s="34"/>
    </row>
    <row r="1017" spans="1:27" ht="15">
      <c r="A1017" s="66" t="s">
        <v>227</v>
      </c>
      <c r="B1017" s="66" t="s">
        <v>808</v>
      </c>
      <c r="C1017" s="67" t="s">
        <v>4454</v>
      </c>
      <c r="D1017" s="68">
        <v>5</v>
      </c>
      <c r="E1017" s="69"/>
      <c r="F1017" s="70">
        <v>20</v>
      </c>
      <c r="G1017" s="67"/>
      <c r="H1017" s="71"/>
      <c r="I1017" s="72"/>
      <c r="J1017" s="72"/>
      <c r="K1017" s="34" t="s">
        <v>65</v>
      </c>
      <c r="L1017" s="79">
        <v>1017</v>
      </c>
      <c r="M1017" s="79"/>
      <c r="N1017" s="74"/>
      <c r="O1017" s="81" t="s">
        <v>944</v>
      </c>
      <c r="P1017">
        <v>1</v>
      </c>
      <c r="Q1017" s="80" t="str">
        <f>REPLACE(INDEX(GroupVertices[Group],MATCH(Edges[[#This Row],[Vertex 1]],GroupVertices[Vertex],0)),1,1,"")</f>
        <v>3</v>
      </c>
      <c r="R1017" s="80" t="str">
        <f>REPLACE(INDEX(GroupVertices[Group],MATCH(Edges[[#This Row],[Vertex 2]],GroupVertices[Vertex],0)),1,1,"")</f>
        <v>3</v>
      </c>
      <c r="S1017" s="34"/>
      <c r="T1017" s="34"/>
      <c r="U1017" s="34"/>
      <c r="V1017" s="34"/>
      <c r="W1017" s="34"/>
      <c r="X1017" s="34"/>
      <c r="Y1017" s="34"/>
      <c r="Z1017" s="34"/>
      <c r="AA1017" s="34"/>
    </row>
    <row r="1018" spans="1:27" ht="15">
      <c r="A1018" s="66" t="s">
        <v>235</v>
      </c>
      <c r="B1018" s="66" t="s">
        <v>808</v>
      </c>
      <c r="C1018" s="67" t="s">
        <v>4454</v>
      </c>
      <c r="D1018" s="68">
        <v>5</v>
      </c>
      <c r="E1018" s="69"/>
      <c r="F1018" s="70">
        <v>20</v>
      </c>
      <c r="G1018" s="67"/>
      <c r="H1018" s="71"/>
      <c r="I1018" s="72"/>
      <c r="J1018" s="72"/>
      <c r="K1018" s="34" t="s">
        <v>65</v>
      </c>
      <c r="L1018" s="79">
        <v>1018</v>
      </c>
      <c r="M1018" s="79"/>
      <c r="N1018" s="74"/>
      <c r="O1018" s="81" t="s">
        <v>944</v>
      </c>
      <c r="P1018">
        <v>1</v>
      </c>
      <c r="Q1018" s="80" t="str">
        <f>REPLACE(INDEX(GroupVertices[Group],MATCH(Edges[[#This Row],[Vertex 1]],GroupVertices[Vertex],0)),1,1,"")</f>
        <v>2</v>
      </c>
      <c r="R1018" s="80" t="str">
        <f>REPLACE(INDEX(GroupVertices[Group],MATCH(Edges[[#This Row],[Vertex 2]],GroupVertices[Vertex],0)),1,1,"")</f>
        <v>3</v>
      </c>
      <c r="S1018" s="34"/>
      <c r="T1018" s="34"/>
      <c r="U1018" s="34"/>
      <c r="V1018" s="34"/>
      <c r="W1018" s="34"/>
      <c r="X1018" s="34"/>
      <c r="Y1018" s="34"/>
      <c r="Z1018" s="34"/>
      <c r="AA1018" s="34"/>
    </row>
    <row r="1019" spans="1:27" ht="15">
      <c r="A1019" s="66" t="s">
        <v>253</v>
      </c>
      <c r="B1019" s="66" t="s">
        <v>808</v>
      </c>
      <c r="C1019" s="67" t="s">
        <v>4454</v>
      </c>
      <c r="D1019" s="68">
        <v>5</v>
      </c>
      <c r="E1019" s="69"/>
      <c r="F1019" s="70">
        <v>20</v>
      </c>
      <c r="G1019" s="67"/>
      <c r="H1019" s="71"/>
      <c r="I1019" s="72"/>
      <c r="J1019" s="72"/>
      <c r="K1019" s="34" t="s">
        <v>65</v>
      </c>
      <c r="L1019" s="79">
        <v>1019</v>
      </c>
      <c r="M1019" s="79"/>
      <c r="N1019" s="74"/>
      <c r="O1019" s="81" t="s">
        <v>944</v>
      </c>
      <c r="P1019">
        <v>1</v>
      </c>
      <c r="Q1019" s="80" t="str">
        <f>REPLACE(INDEX(GroupVertices[Group],MATCH(Edges[[#This Row],[Vertex 1]],GroupVertices[Vertex],0)),1,1,"")</f>
        <v>1</v>
      </c>
      <c r="R1019" s="80" t="str">
        <f>REPLACE(INDEX(GroupVertices[Group],MATCH(Edges[[#This Row],[Vertex 2]],GroupVertices[Vertex],0)),1,1,"")</f>
        <v>3</v>
      </c>
      <c r="S1019" s="34"/>
      <c r="T1019" s="34"/>
      <c r="U1019" s="34"/>
      <c r="V1019" s="34"/>
      <c r="W1019" s="34"/>
      <c r="X1019" s="34"/>
      <c r="Y1019" s="34"/>
      <c r="Z1019" s="34"/>
      <c r="AA1019" s="34"/>
    </row>
    <row r="1020" spans="1:27" ht="15">
      <c r="A1020" s="66" t="s">
        <v>214</v>
      </c>
      <c r="B1020" s="66" t="s">
        <v>599</v>
      </c>
      <c r="C1020" s="67" t="s">
        <v>4454</v>
      </c>
      <c r="D1020" s="68">
        <v>5</v>
      </c>
      <c r="E1020" s="69"/>
      <c r="F1020" s="70">
        <v>20</v>
      </c>
      <c r="G1020" s="67"/>
      <c r="H1020" s="71"/>
      <c r="I1020" s="72"/>
      <c r="J1020" s="72"/>
      <c r="K1020" s="34" t="s">
        <v>65</v>
      </c>
      <c r="L1020" s="79">
        <v>1020</v>
      </c>
      <c r="M1020" s="79"/>
      <c r="N1020" s="74"/>
      <c r="O1020" s="81" t="s">
        <v>944</v>
      </c>
      <c r="P1020">
        <v>1</v>
      </c>
      <c r="Q1020" s="80" t="str">
        <f>REPLACE(INDEX(GroupVertices[Group],MATCH(Edges[[#This Row],[Vertex 1]],GroupVertices[Vertex],0)),1,1,"")</f>
        <v>1</v>
      </c>
      <c r="R1020" s="80" t="str">
        <f>REPLACE(INDEX(GroupVertices[Group],MATCH(Edges[[#This Row],[Vertex 2]],GroupVertices[Vertex],0)),1,1,"")</f>
        <v>1</v>
      </c>
      <c r="S1020" s="34"/>
      <c r="T1020" s="34"/>
      <c r="U1020" s="34"/>
      <c r="V1020" s="34"/>
      <c r="W1020" s="34"/>
      <c r="X1020" s="34"/>
      <c r="Y1020" s="34"/>
      <c r="Z1020" s="34"/>
      <c r="AA1020" s="34"/>
    </row>
    <row r="1021" spans="1:27" ht="15">
      <c r="A1021" s="66" t="s">
        <v>217</v>
      </c>
      <c r="B1021" s="66" t="s">
        <v>599</v>
      </c>
      <c r="C1021" s="67" t="s">
        <v>4454</v>
      </c>
      <c r="D1021" s="68">
        <v>5</v>
      </c>
      <c r="E1021" s="69"/>
      <c r="F1021" s="70">
        <v>20</v>
      </c>
      <c r="G1021" s="67"/>
      <c r="H1021" s="71"/>
      <c r="I1021" s="72"/>
      <c r="J1021" s="72"/>
      <c r="K1021" s="34" t="s">
        <v>65</v>
      </c>
      <c r="L1021" s="79">
        <v>1021</v>
      </c>
      <c r="M1021" s="79"/>
      <c r="N1021" s="74"/>
      <c r="O1021" s="81" t="s">
        <v>944</v>
      </c>
      <c r="P1021">
        <v>1</v>
      </c>
      <c r="Q1021" s="80" t="str">
        <f>REPLACE(INDEX(GroupVertices[Group],MATCH(Edges[[#This Row],[Vertex 1]],GroupVertices[Vertex],0)),1,1,"")</f>
        <v>4</v>
      </c>
      <c r="R1021" s="80" t="str">
        <f>REPLACE(INDEX(GroupVertices[Group],MATCH(Edges[[#This Row],[Vertex 2]],GroupVertices[Vertex],0)),1,1,"")</f>
        <v>1</v>
      </c>
      <c r="S1021" s="34"/>
      <c r="T1021" s="34"/>
      <c r="U1021" s="34"/>
      <c r="V1021" s="34"/>
      <c r="W1021" s="34"/>
      <c r="X1021" s="34"/>
      <c r="Y1021" s="34"/>
      <c r="Z1021" s="34"/>
      <c r="AA1021" s="34"/>
    </row>
    <row r="1022" spans="1:27" ht="15">
      <c r="A1022" s="66" t="s">
        <v>234</v>
      </c>
      <c r="B1022" s="66" t="s">
        <v>599</v>
      </c>
      <c r="C1022" s="67" t="s">
        <v>4454</v>
      </c>
      <c r="D1022" s="68">
        <v>5</v>
      </c>
      <c r="E1022" s="69"/>
      <c r="F1022" s="70">
        <v>20</v>
      </c>
      <c r="G1022" s="67"/>
      <c r="H1022" s="71"/>
      <c r="I1022" s="72"/>
      <c r="J1022" s="72"/>
      <c r="K1022" s="34" t="s">
        <v>65</v>
      </c>
      <c r="L1022" s="79">
        <v>1022</v>
      </c>
      <c r="M1022" s="79"/>
      <c r="N1022" s="74"/>
      <c r="O1022" s="81" t="s">
        <v>944</v>
      </c>
      <c r="P1022">
        <v>1</v>
      </c>
      <c r="Q1022" s="80" t="str">
        <f>REPLACE(INDEX(GroupVertices[Group],MATCH(Edges[[#This Row],[Vertex 1]],GroupVertices[Vertex],0)),1,1,"")</f>
        <v>4</v>
      </c>
      <c r="R1022" s="80" t="str">
        <f>REPLACE(INDEX(GroupVertices[Group],MATCH(Edges[[#This Row],[Vertex 2]],GroupVertices[Vertex],0)),1,1,"")</f>
        <v>1</v>
      </c>
      <c r="S1022" s="34"/>
      <c r="T1022" s="34"/>
      <c r="U1022" s="34"/>
      <c r="V1022" s="34"/>
      <c r="W1022" s="34"/>
      <c r="X1022" s="34"/>
      <c r="Y1022" s="34"/>
      <c r="Z1022" s="34"/>
      <c r="AA1022" s="34"/>
    </row>
    <row r="1023" spans="1:27" ht="15">
      <c r="A1023" s="66" t="s">
        <v>242</v>
      </c>
      <c r="B1023" s="66" t="s">
        <v>599</v>
      </c>
      <c r="C1023" s="67" t="s">
        <v>4454</v>
      </c>
      <c r="D1023" s="68">
        <v>5</v>
      </c>
      <c r="E1023" s="69"/>
      <c r="F1023" s="70">
        <v>20</v>
      </c>
      <c r="G1023" s="67"/>
      <c r="H1023" s="71"/>
      <c r="I1023" s="72"/>
      <c r="J1023" s="72"/>
      <c r="K1023" s="34" t="s">
        <v>65</v>
      </c>
      <c r="L1023" s="79">
        <v>1023</v>
      </c>
      <c r="M1023" s="79"/>
      <c r="N1023" s="74"/>
      <c r="O1023" s="81" t="s">
        <v>944</v>
      </c>
      <c r="P1023">
        <v>1</v>
      </c>
      <c r="Q1023" s="80" t="str">
        <f>REPLACE(INDEX(GroupVertices[Group],MATCH(Edges[[#This Row],[Vertex 1]],GroupVertices[Vertex],0)),1,1,"")</f>
        <v>1</v>
      </c>
      <c r="R1023" s="80" t="str">
        <f>REPLACE(INDEX(GroupVertices[Group],MATCH(Edges[[#This Row],[Vertex 2]],GroupVertices[Vertex],0)),1,1,"")</f>
        <v>1</v>
      </c>
      <c r="S1023" s="34"/>
      <c r="T1023" s="34"/>
      <c r="U1023" s="34"/>
      <c r="V1023" s="34"/>
      <c r="W1023" s="34"/>
      <c r="X1023" s="34"/>
      <c r="Y1023" s="34"/>
      <c r="Z1023" s="34"/>
      <c r="AA1023" s="34"/>
    </row>
    <row r="1024" spans="1:27" ht="15">
      <c r="A1024" s="66" t="s">
        <v>248</v>
      </c>
      <c r="B1024" s="66" t="s">
        <v>599</v>
      </c>
      <c r="C1024" s="67" t="s">
        <v>4454</v>
      </c>
      <c r="D1024" s="68">
        <v>5</v>
      </c>
      <c r="E1024" s="69"/>
      <c r="F1024" s="70">
        <v>20</v>
      </c>
      <c r="G1024" s="67"/>
      <c r="H1024" s="71"/>
      <c r="I1024" s="72"/>
      <c r="J1024" s="72"/>
      <c r="K1024" s="34" t="s">
        <v>65</v>
      </c>
      <c r="L1024" s="79">
        <v>1024</v>
      </c>
      <c r="M1024" s="79"/>
      <c r="N1024" s="74"/>
      <c r="O1024" s="81" t="s">
        <v>944</v>
      </c>
      <c r="P1024">
        <v>1</v>
      </c>
      <c r="Q1024" s="80" t="str">
        <f>REPLACE(INDEX(GroupVertices[Group],MATCH(Edges[[#This Row],[Vertex 1]],GroupVertices[Vertex],0)),1,1,"")</f>
        <v>1</v>
      </c>
      <c r="R1024" s="80" t="str">
        <f>REPLACE(INDEX(GroupVertices[Group],MATCH(Edges[[#This Row],[Vertex 2]],GroupVertices[Vertex],0)),1,1,"")</f>
        <v>1</v>
      </c>
      <c r="S1024" s="34"/>
      <c r="T1024" s="34"/>
      <c r="U1024" s="34"/>
      <c r="V1024" s="34"/>
      <c r="W1024" s="34"/>
      <c r="X1024" s="34"/>
      <c r="Y1024" s="34"/>
      <c r="Z1024" s="34"/>
      <c r="AA1024" s="34"/>
    </row>
    <row r="1025" spans="1:27" ht="15">
      <c r="A1025" s="66" t="s">
        <v>249</v>
      </c>
      <c r="B1025" s="66" t="s">
        <v>599</v>
      </c>
      <c r="C1025" s="67" t="s">
        <v>4454</v>
      </c>
      <c r="D1025" s="68">
        <v>5</v>
      </c>
      <c r="E1025" s="69"/>
      <c r="F1025" s="70">
        <v>20</v>
      </c>
      <c r="G1025" s="67"/>
      <c r="H1025" s="71"/>
      <c r="I1025" s="72"/>
      <c r="J1025" s="72"/>
      <c r="K1025" s="34" t="s">
        <v>65</v>
      </c>
      <c r="L1025" s="79">
        <v>1025</v>
      </c>
      <c r="M1025" s="79"/>
      <c r="N1025" s="74"/>
      <c r="O1025" s="81" t="s">
        <v>944</v>
      </c>
      <c r="P1025">
        <v>1</v>
      </c>
      <c r="Q1025" s="80" t="str">
        <f>REPLACE(INDEX(GroupVertices[Group],MATCH(Edges[[#This Row],[Vertex 1]],GroupVertices[Vertex],0)),1,1,"")</f>
        <v>2</v>
      </c>
      <c r="R1025" s="80" t="str">
        <f>REPLACE(INDEX(GroupVertices[Group],MATCH(Edges[[#This Row],[Vertex 2]],GroupVertices[Vertex],0)),1,1,"")</f>
        <v>1</v>
      </c>
      <c r="S1025" s="34"/>
      <c r="T1025" s="34"/>
      <c r="U1025" s="34"/>
      <c r="V1025" s="34"/>
      <c r="W1025" s="34"/>
      <c r="X1025" s="34"/>
      <c r="Y1025" s="34"/>
      <c r="Z1025" s="34"/>
      <c r="AA1025" s="34"/>
    </row>
    <row r="1026" spans="1:27" ht="15">
      <c r="A1026" s="66" t="s">
        <v>251</v>
      </c>
      <c r="B1026" s="66" t="s">
        <v>599</v>
      </c>
      <c r="C1026" s="67" t="s">
        <v>4454</v>
      </c>
      <c r="D1026" s="68">
        <v>5</v>
      </c>
      <c r="E1026" s="69"/>
      <c r="F1026" s="70">
        <v>20</v>
      </c>
      <c r="G1026" s="67"/>
      <c r="H1026" s="71"/>
      <c r="I1026" s="72"/>
      <c r="J1026" s="72"/>
      <c r="K1026" s="34" t="s">
        <v>65</v>
      </c>
      <c r="L1026" s="79">
        <v>1026</v>
      </c>
      <c r="M1026" s="79"/>
      <c r="N1026" s="74"/>
      <c r="O1026" s="81" t="s">
        <v>944</v>
      </c>
      <c r="P1026">
        <v>1</v>
      </c>
      <c r="Q1026" s="80" t="str">
        <f>REPLACE(INDEX(GroupVertices[Group],MATCH(Edges[[#This Row],[Vertex 1]],GroupVertices[Vertex],0)),1,1,"")</f>
        <v>2</v>
      </c>
      <c r="R1026" s="80" t="str">
        <f>REPLACE(INDEX(GroupVertices[Group],MATCH(Edges[[#This Row],[Vertex 2]],GroupVertices[Vertex],0)),1,1,"")</f>
        <v>1</v>
      </c>
      <c r="S1026" s="34"/>
      <c r="T1026" s="34"/>
      <c r="U1026" s="34"/>
      <c r="V1026" s="34"/>
      <c r="W1026" s="34"/>
      <c r="X1026" s="34"/>
      <c r="Y1026" s="34"/>
      <c r="Z1026" s="34"/>
      <c r="AA1026" s="34"/>
    </row>
    <row r="1027" spans="1:27" ht="15">
      <c r="A1027" s="66" t="s">
        <v>252</v>
      </c>
      <c r="B1027" s="66" t="s">
        <v>599</v>
      </c>
      <c r="C1027" s="67" t="s">
        <v>4454</v>
      </c>
      <c r="D1027" s="68">
        <v>5</v>
      </c>
      <c r="E1027" s="69"/>
      <c r="F1027" s="70">
        <v>20</v>
      </c>
      <c r="G1027" s="67"/>
      <c r="H1027" s="71"/>
      <c r="I1027" s="72"/>
      <c r="J1027" s="72"/>
      <c r="K1027" s="34" t="s">
        <v>65</v>
      </c>
      <c r="L1027" s="79">
        <v>1027</v>
      </c>
      <c r="M1027" s="79"/>
      <c r="N1027" s="74"/>
      <c r="O1027" s="81" t="s">
        <v>944</v>
      </c>
      <c r="P1027">
        <v>1</v>
      </c>
      <c r="Q1027" s="80" t="str">
        <f>REPLACE(INDEX(GroupVertices[Group],MATCH(Edges[[#This Row],[Vertex 1]],GroupVertices[Vertex],0)),1,1,"")</f>
        <v>1</v>
      </c>
      <c r="R1027" s="80" t="str">
        <f>REPLACE(INDEX(GroupVertices[Group],MATCH(Edges[[#This Row],[Vertex 2]],GroupVertices[Vertex],0)),1,1,"")</f>
        <v>1</v>
      </c>
      <c r="S1027" s="34"/>
      <c r="T1027" s="34"/>
      <c r="U1027" s="34"/>
      <c r="V1027" s="34"/>
      <c r="W1027" s="34"/>
      <c r="X1027" s="34"/>
      <c r="Y1027" s="34"/>
      <c r="Z1027" s="34"/>
      <c r="AA1027" s="34"/>
    </row>
    <row r="1028" spans="1:27" ht="15">
      <c r="A1028" s="66" t="s">
        <v>253</v>
      </c>
      <c r="B1028" s="66" t="s">
        <v>599</v>
      </c>
      <c r="C1028" s="67" t="s">
        <v>4454</v>
      </c>
      <c r="D1028" s="68">
        <v>5</v>
      </c>
      <c r="E1028" s="69"/>
      <c r="F1028" s="70">
        <v>20</v>
      </c>
      <c r="G1028" s="67"/>
      <c r="H1028" s="71"/>
      <c r="I1028" s="72"/>
      <c r="J1028" s="72"/>
      <c r="K1028" s="34" t="s">
        <v>65</v>
      </c>
      <c r="L1028" s="79">
        <v>1028</v>
      </c>
      <c r="M1028" s="79"/>
      <c r="N1028" s="74"/>
      <c r="O1028" s="81" t="s">
        <v>944</v>
      </c>
      <c r="P1028">
        <v>1</v>
      </c>
      <c r="Q1028" s="80" t="str">
        <f>REPLACE(INDEX(GroupVertices[Group],MATCH(Edges[[#This Row],[Vertex 1]],GroupVertices[Vertex],0)),1,1,"")</f>
        <v>1</v>
      </c>
      <c r="R1028" s="80" t="str">
        <f>REPLACE(INDEX(GroupVertices[Group],MATCH(Edges[[#This Row],[Vertex 2]],GroupVertices[Vertex],0)),1,1,"")</f>
        <v>1</v>
      </c>
      <c r="S1028" s="34"/>
      <c r="T1028" s="34"/>
      <c r="U1028" s="34"/>
      <c r="V1028" s="34"/>
      <c r="W1028" s="34"/>
      <c r="X1028" s="34"/>
      <c r="Y1028" s="34"/>
      <c r="Z1028" s="34"/>
      <c r="AA1028" s="34"/>
    </row>
    <row r="1029" spans="1:27" ht="15">
      <c r="A1029" s="66" t="s">
        <v>214</v>
      </c>
      <c r="B1029" s="66" t="s">
        <v>809</v>
      </c>
      <c r="C1029" s="67" t="s">
        <v>4454</v>
      </c>
      <c r="D1029" s="68">
        <v>5</v>
      </c>
      <c r="E1029" s="69"/>
      <c r="F1029" s="70">
        <v>20</v>
      </c>
      <c r="G1029" s="67"/>
      <c r="H1029" s="71"/>
      <c r="I1029" s="72"/>
      <c r="J1029" s="72"/>
      <c r="K1029" s="34" t="s">
        <v>65</v>
      </c>
      <c r="L1029" s="79">
        <v>1029</v>
      </c>
      <c r="M1029" s="79"/>
      <c r="N1029" s="74"/>
      <c r="O1029" s="81" t="s">
        <v>944</v>
      </c>
      <c r="P1029">
        <v>1</v>
      </c>
      <c r="Q1029" s="80" t="str">
        <f>REPLACE(INDEX(GroupVertices[Group],MATCH(Edges[[#This Row],[Vertex 1]],GroupVertices[Vertex],0)),1,1,"")</f>
        <v>1</v>
      </c>
      <c r="R1029" s="80" t="str">
        <f>REPLACE(INDEX(GroupVertices[Group],MATCH(Edges[[#This Row],[Vertex 2]],GroupVertices[Vertex],0)),1,1,"")</f>
        <v>4</v>
      </c>
      <c r="S1029" s="34"/>
      <c r="T1029" s="34"/>
      <c r="U1029" s="34"/>
      <c r="V1029" s="34"/>
      <c r="W1029" s="34"/>
      <c r="X1029" s="34"/>
      <c r="Y1029" s="34"/>
      <c r="Z1029" s="34"/>
      <c r="AA1029" s="34"/>
    </row>
    <row r="1030" spans="1:27" ht="15">
      <c r="A1030" s="66" t="s">
        <v>217</v>
      </c>
      <c r="B1030" s="66" t="s">
        <v>809</v>
      </c>
      <c r="C1030" s="67" t="s">
        <v>4454</v>
      </c>
      <c r="D1030" s="68">
        <v>5</v>
      </c>
      <c r="E1030" s="69"/>
      <c r="F1030" s="70">
        <v>20</v>
      </c>
      <c r="G1030" s="67"/>
      <c r="H1030" s="71"/>
      <c r="I1030" s="72"/>
      <c r="J1030" s="72"/>
      <c r="K1030" s="34" t="s">
        <v>65</v>
      </c>
      <c r="L1030" s="79">
        <v>1030</v>
      </c>
      <c r="M1030" s="79"/>
      <c r="N1030" s="74"/>
      <c r="O1030" s="81" t="s">
        <v>944</v>
      </c>
      <c r="P1030">
        <v>1</v>
      </c>
      <c r="Q1030" s="80" t="str">
        <f>REPLACE(INDEX(GroupVertices[Group],MATCH(Edges[[#This Row],[Vertex 1]],GroupVertices[Vertex],0)),1,1,"")</f>
        <v>4</v>
      </c>
      <c r="R1030" s="80" t="str">
        <f>REPLACE(INDEX(GroupVertices[Group],MATCH(Edges[[#This Row],[Vertex 2]],GroupVertices[Vertex],0)),1,1,"")</f>
        <v>4</v>
      </c>
      <c r="S1030" s="34"/>
      <c r="T1030" s="34"/>
      <c r="U1030" s="34"/>
      <c r="V1030" s="34"/>
      <c r="W1030" s="34"/>
      <c r="X1030" s="34"/>
      <c r="Y1030" s="34"/>
      <c r="Z1030" s="34"/>
      <c r="AA1030" s="34"/>
    </row>
    <row r="1031" spans="1:27" ht="15">
      <c r="A1031" s="66" t="s">
        <v>220</v>
      </c>
      <c r="B1031" s="66" t="s">
        <v>809</v>
      </c>
      <c r="C1031" s="67" t="s">
        <v>4454</v>
      </c>
      <c r="D1031" s="68">
        <v>5</v>
      </c>
      <c r="E1031" s="69"/>
      <c r="F1031" s="70">
        <v>20</v>
      </c>
      <c r="G1031" s="67"/>
      <c r="H1031" s="71"/>
      <c r="I1031" s="72"/>
      <c r="J1031" s="72"/>
      <c r="K1031" s="34" t="s">
        <v>65</v>
      </c>
      <c r="L1031" s="79">
        <v>1031</v>
      </c>
      <c r="M1031" s="79"/>
      <c r="N1031" s="74"/>
      <c r="O1031" s="81" t="s">
        <v>944</v>
      </c>
      <c r="P1031">
        <v>1</v>
      </c>
      <c r="Q1031" s="80" t="str">
        <f>REPLACE(INDEX(GroupVertices[Group],MATCH(Edges[[#This Row],[Vertex 1]],GroupVertices[Vertex],0)),1,1,"")</f>
        <v>2</v>
      </c>
      <c r="R1031" s="80" t="str">
        <f>REPLACE(INDEX(GroupVertices[Group],MATCH(Edges[[#This Row],[Vertex 2]],GroupVertices[Vertex],0)),1,1,"")</f>
        <v>4</v>
      </c>
      <c r="S1031" s="34"/>
      <c r="T1031" s="34"/>
      <c r="U1031" s="34"/>
      <c r="V1031" s="34"/>
      <c r="W1031" s="34"/>
      <c r="X1031" s="34"/>
      <c r="Y1031" s="34"/>
      <c r="Z1031" s="34"/>
      <c r="AA1031" s="34"/>
    </row>
    <row r="1032" spans="1:27" ht="15">
      <c r="A1032" s="66" t="s">
        <v>228</v>
      </c>
      <c r="B1032" s="66" t="s">
        <v>809</v>
      </c>
      <c r="C1032" s="67" t="s">
        <v>4454</v>
      </c>
      <c r="D1032" s="68">
        <v>5</v>
      </c>
      <c r="E1032" s="69"/>
      <c r="F1032" s="70">
        <v>20</v>
      </c>
      <c r="G1032" s="67"/>
      <c r="H1032" s="71"/>
      <c r="I1032" s="72"/>
      <c r="J1032" s="72"/>
      <c r="K1032" s="34" t="s">
        <v>65</v>
      </c>
      <c r="L1032" s="79">
        <v>1032</v>
      </c>
      <c r="M1032" s="79"/>
      <c r="N1032" s="74"/>
      <c r="O1032" s="81" t="s">
        <v>944</v>
      </c>
      <c r="P1032">
        <v>1</v>
      </c>
      <c r="Q1032" s="80" t="str">
        <f>REPLACE(INDEX(GroupVertices[Group],MATCH(Edges[[#This Row],[Vertex 1]],GroupVertices[Vertex],0)),1,1,"")</f>
        <v>3</v>
      </c>
      <c r="R1032" s="80" t="str">
        <f>REPLACE(INDEX(GroupVertices[Group],MATCH(Edges[[#This Row],[Vertex 2]],GroupVertices[Vertex],0)),1,1,"")</f>
        <v>4</v>
      </c>
      <c r="S1032" s="34"/>
      <c r="T1032" s="34"/>
      <c r="U1032" s="34"/>
      <c r="V1032" s="34"/>
      <c r="W1032" s="34"/>
      <c r="X1032" s="34"/>
      <c r="Y1032" s="34"/>
      <c r="Z1032" s="34"/>
      <c r="AA1032" s="34"/>
    </row>
    <row r="1033" spans="1:27" ht="15">
      <c r="A1033" s="66" t="s">
        <v>234</v>
      </c>
      <c r="B1033" s="66" t="s">
        <v>809</v>
      </c>
      <c r="C1033" s="67" t="s">
        <v>4454</v>
      </c>
      <c r="D1033" s="68">
        <v>5</v>
      </c>
      <c r="E1033" s="69"/>
      <c r="F1033" s="70">
        <v>20</v>
      </c>
      <c r="G1033" s="67"/>
      <c r="H1033" s="71"/>
      <c r="I1033" s="72"/>
      <c r="J1033" s="72"/>
      <c r="K1033" s="34" t="s">
        <v>65</v>
      </c>
      <c r="L1033" s="79">
        <v>1033</v>
      </c>
      <c r="M1033" s="79"/>
      <c r="N1033" s="74"/>
      <c r="O1033" s="81" t="s">
        <v>944</v>
      </c>
      <c r="P1033">
        <v>1</v>
      </c>
      <c r="Q1033" s="80" t="str">
        <f>REPLACE(INDEX(GroupVertices[Group],MATCH(Edges[[#This Row],[Vertex 1]],GroupVertices[Vertex],0)),1,1,"")</f>
        <v>4</v>
      </c>
      <c r="R1033" s="80" t="str">
        <f>REPLACE(INDEX(GroupVertices[Group],MATCH(Edges[[#This Row],[Vertex 2]],GroupVertices[Vertex],0)),1,1,"")</f>
        <v>4</v>
      </c>
      <c r="S1033" s="34"/>
      <c r="T1033" s="34"/>
      <c r="U1033" s="34"/>
      <c r="V1033" s="34"/>
      <c r="W1033" s="34"/>
      <c r="X1033" s="34"/>
      <c r="Y1033" s="34"/>
      <c r="Z1033" s="34"/>
      <c r="AA1033" s="34"/>
    </row>
    <row r="1034" spans="1:27" ht="15">
      <c r="A1034" s="66" t="s">
        <v>235</v>
      </c>
      <c r="B1034" s="66" t="s">
        <v>809</v>
      </c>
      <c r="C1034" s="67" t="s">
        <v>4454</v>
      </c>
      <c r="D1034" s="68">
        <v>5</v>
      </c>
      <c r="E1034" s="69"/>
      <c r="F1034" s="70">
        <v>20</v>
      </c>
      <c r="G1034" s="67"/>
      <c r="H1034" s="71"/>
      <c r="I1034" s="72"/>
      <c r="J1034" s="72"/>
      <c r="K1034" s="34" t="s">
        <v>65</v>
      </c>
      <c r="L1034" s="79">
        <v>1034</v>
      </c>
      <c r="M1034" s="79"/>
      <c r="N1034" s="74"/>
      <c r="O1034" s="81" t="s">
        <v>944</v>
      </c>
      <c r="P1034">
        <v>1</v>
      </c>
      <c r="Q1034" s="80" t="str">
        <f>REPLACE(INDEX(GroupVertices[Group],MATCH(Edges[[#This Row],[Vertex 1]],GroupVertices[Vertex],0)),1,1,"")</f>
        <v>2</v>
      </c>
      <c r="R1034" s="80" t="str">
        <f>REPLACE(INDEX(GroupVertices[Group],MATCH(Edges[[#This Row],[Vertex 2]],GroupVertices[Vertex],0)),1,1,"")</f>
        <v>4</v>
      </c>
      <c r="S1034" s="34"/>
      <c r="T1034" s="34"/>
      <c r="U1034" s="34"/>
      <c r="V1034" s="34"/>
      <c r="W1034" s="34"/>
      <c r="X1034" s="34"/>
      <c r="Y1034" s="34"/>
      <c r="Z1034" s="34"/>
      <c r="AA1034" s="34"/>
    </row>
    <row r="1035" spans="1:27" ht="15">
      <c r="A1035" s="66" t="s">
        <v>238</v>
      </c>
      <c r="B1035" s="66" t="s">
        <v>809</v>
      </c>
      <c r="C1035" s="67" t="s">
        <v>4454</v>
      </c>
      <c r="D1035" s="68">
        <v>5</v>
      </c>
      <c r="E1035" s="69"/>
      <c r="F1035" s="70">
        <v>20</v>
      </c>
      <c r="G1035" s="67"/>
      <c r="H1035" s="71"/>
      <c r="I1035" s="72"/>
      <c r="J1035" s="72"/>
      <c r="K1035" s="34" t="s">
        <v>65</v>
      </c>
      <c r="L1035" s="79">
        <v>1035</v>
      </c>
      <c r="M1035" s="79"/>
      <c r="N1035" s="74"/>
      <c r="O1035" s="81" t="s">
        <v>944</v>
      </c>
      <c r="P1035">
        <v>1</v>
      </c>
      <c r="Q1035" s="80" t="str">
        <f>REPLACE(INDEX(GroupVertices[Group],MATCH(Edges[[#This Row],[Vertex 1]],GroupVertices[Vertex],0)),1,1,"")</f>
        <v>2</v>
      </c>
      <c r="R1035" s="80" t="str">
        <f>REPLACE(INDEX(GroupVertices[Group],MATCH(Edges[[#This Row],[Vertex 2]],GroupVertices[Vertex],0)),1,1,"")</f>
        <v>4</v>
      </c>
      <c r="S1035" s="34"/>
      <c r="T1035" s="34"/>
      <c r="U1035" s="34"/>
      <c r="V1035" s="34"/>
      <c r="W1035" s="34"/>
      <c r="X1035" s="34"/>
      <c r="Y1035" s="34"/>
      <c r="Z1035" s="34"/>
      <c r="AA1035" s="34"/>
    </row>
    <row r="1036" spans="1:27" ht="15">
      <c r="A1036" s="66" t="s">
        <v>241</v>
      </c>
      <c r="B1036" s="66" t="s">
        <v>809</v>
      </c>
      <c r="C1036" s="67" t="s">
        <v>4454</v>
      </c>
      <c r="D1036" s="68">
        <v>5</v>
      </c>
      <c r="E1036" s="69"/>
      <c r="F1036" s="70">
        <v>20</v>
      </c>
      <c r="G1036" s="67"/>
      <c r="H1036" s="71"/>
      <c r="I1036" s="72"/>
      <c r="J1036" s="72"/>
      <c r="K1036" s="34" t="s">
        <v>65</v>
      </c>
      <c r="L1036" s="79">
        <v>1036</v>
      </c>
      <c r="M1036" s="79"/>
      <c r="N1036" s="74"/>
      <c r="O1036" s="81" t="s">
        <v>944</v>
      </c>
      <c r="P1036">
        <v>1</v>
      </c>
      <c r="Q1036" s="80" t="str">
        <f>REPLACE(INDEX(GroupVertices[Group],MATCH(Edges[[#This Row],[Vertex 1]],GroupVertices[Vertex],0)),1,1,"")</f>
        <v>2</v>
      </c>
      <c r="R1036" s="80" t="str">
        <f>REPLACE(INDEX(GroupVertices[Group],MATCH(Edges[[#This Row],[Vertex 2]],GroupVertices[Vertex],0)),1,1,"")</f>
        <v>4</v>
      </c>
      <c r="S1036" s="34"/>
      <c r="T1036" s="34"/>
      <c r="U1036" s="34"/>
      <c r="V1036" s="34"/>
      <c r="W1036" s="34"/>
      <c r="X1036" s="34"/>
      <c r="Y1036" s="34"/>
      <c r="Z1036" s="34"/>
      <c r="AA1036" s="34"/>
    </row>
    <row r="1037" spans="1:27" ht="15">
      <c r="A1037" s="66" t="s">
        <v>253</v>
      </c>
      <c r="B1037" s="66" t="s">
        <v>809</v>
      </c>
      <c r="C1037" s="67" t="s">
        <v>4454</v>
      </c>
      <c r="D1037" s="68">
        <v>5</v>
      </c>
      <c r="E1037" s="69"/>
      <c r="F1037" s="70">
        <v>20</v>
      </c>
      <c r="G1037" s="67"/>
      <c r="H1037" s="71"/>
      <c r="I1037" s="72"/>
      <c r="J1037" s="72"/>
      <c r="K1037" s="34" t="s">
        <v>65</v>
      </c>
      <c r="L1037" s="79">
        <v>1037</v>
      </c>
      <c r="M1037" s="79"/>
      <c r="N1037" s="74"/>
      <c r="O1037" s="81" t="s">
        <v>944</v>
      </c>
      <c r="P1037">
        <v>1</v>
      </c>
      <c r="Q1037" s="80" t="str">
        <f>REPLACE(INDEX(GroupVertices[Group],MATCH(Edges[[#This Row],[Vertex 1]],GroupVertices[Vertex],0)),1,1,"")</f>
        <v>1</v>
      </c>
      <c r="R1037" s="80" t="str">
        <f>REPLACE(INDEX(GroupVertices[Group],MATCH(Edges[[#This Row],[Vertex 2]],GroupVertices[Vertex],0)),1,1,"")</f>
        <v>4</v>
      </c>
      <c r="S1037" s="34"/>
      <c r="T1037" s="34"/>
      <c r="U1037" s="34"/>
      <c r="V1037" s="34"/>
      <c r="W1037" s="34"/>
      <c r="X1037" s="34"/>
      <c r="Y1037" s="34"/>
      <c r="Z1037" s="34"/>
      <c r="AA1037" s="34"/>
    </row>
    <row r="1038" spans="1:27" ht="15">
      <c r="A1038" s="66" t="s">
        <v>253</v>
      </c>
      <c r="B1038" s="66" t="s">
        <v>810</v>
      </c>
      <c r="C1038" s="67" t="s">
        <v>4454</v>
      </c>
      <c r="D1038" s="68">
        <v>5</v>
      </c>
      <c r="E1038" s="69"/>
      <c r="F1038" s="70">
        <v>20</v>
      </c>
      <c r="G1038" s="67"/>
      <c r="H1038" s="71"/>
      <c r="I1038" s="72"/>
      <c r="J1038" s="72"/>
      <c r="K1038" s="34"/>
      <c r="L1038" s="79">
        <v>1038</v>
      </c>
      <c r="M1038" s="79"/>
      <c r="N1038" s="74"/>
      <c r="O1038" s="81" t="s">
        <v>944</v>
      </c>
      <c r="P1038">
        <v>1</v>
      </c>
      <c r="Q1038" s="80" t="str">
        <f>REPLACE(INDEX(GroupVertices[Group],MATCH(Edges[[#This Row],[Vertex 1]],GroupVertices[Vertex],0)),1,1,"")</f>
        <v>1</v>
      </c>
      <c r="R1038" s="80" t="e">
        <f>REPLACE(INDEX(GroupVertices[Group],MATCH(Edges[[#This Row],[Vertex 2]],GroupVertices[Vertex],0)),1,1,"")</f>
        <v>#N/A</v>
      </c>
      <c r="S1038" s="34"/>
      <c r="T1038" s="34"/>
      <c r="U1038" s="34"/>
      <c r="V1038" s="34"/>
      <c r="W1038" s="34"/>
      <c r="X1038" s="34"/>
      <c r="Y1038" s="34"/>
      <c r="Z1038" s="34"/>
      <c r="AA1038" s="34"/>
    </row>
    <row r="1039" spans="1:27" ht="15">
      <c r="A1039" s="66" t="s">
        <v>253</v>
      </c>
      <c r="B1039" s="66" t="s">
        <v>811</v>
      </c>
      <c r="C1039" s="67" t="s">
        <v>4454</v>
      </c>
      <c r="D1039" s="68">
        <v>5</v>
      </c>
      <c r="E1039" s="69"/>
      <c r="F1039" s="70">
        <v>20</v>
      </c>
      <c r="G1039" s="67"/>
      <c r="H1039" s="71"/>
      <c r="I1039" s="72"/>
      <c r="J1039" s="72"/>
      <c r="K1039" s="34"/>
      <c r="L1039" s="79">
        <v>1039</v>
      </c>
      <c r="M1039" s="79"/>
      <c r="N1039" s="74"/>
      <c r="O1039" s="81" t="s">
        <v>944</v>
      </c>
      <c r="P1039">
        <v>1</v>
      </c>
      <c r="Q1039" s="80" t="str">
        <f>REPLACE(INDEX(GroupVertices[Group],MATCH(Edges[[#This Row],[Vertex 1]],GroupVertices[Vertex],0)),1,1,"")</f>
        <v>1</v>
      </c>
      <c r="R1039" s="80" t="e">
        <f>REPLACE(INDEX(GroupVertices[Group],MATCH(Edges[[#This Row],[Vertex 2]],GroupVertices[Vertex],0)),1,1,"")</f>
        <v>#N/A</v>
      </c>
      <c r="S1039" s="34"/>
      <c r="T1039" s="34"/>
      <c r="U1039" s="34"/>
      <c r="V1039" s="34"/>
      <c r="W1039" s="34"/>
      <c r="X1039" s="34"/>
      <c r="Y1039" s="34"/>
      <c r="Z1039" s="34"/>
      <c r="AA1039" s="34"/>
    </row>
    <row r="1040" spans="1:27" ht="15">
      <c r="A1040" s="66" t="s">
        <v>214</v>
      </c>
      <c r="B1040" s="66" t="s">
        <v>600</v>
      </c>
      <c r="C1040" s="67" t="s">
        <v>4454</v>
      </c>
      <c r="D1040" s="68">
        <v>5</v>
      </c>
      <c r="E1040" s="69"/>
      <c r="F1040" s="70">
        <v>20</v>
      </c>
      <c r="G1040" s="67"/>
      <c r="H1040" s="71"/>
      <c r="I1040" s="72"/>
      <c r="J1040" s="72"/>
      <c r="K1040" s="34" t="s">
        <v>65</v>
      </c>
      <c r="L1040" s="79">
        <v>1040</v>
      </c>
      <c r="M1040" s="79"/>
      <c r="N1040" s="74"/>
      <c r="O1040" s="81" t="s">
        <v>944</v>
      </c>
      <c r="P1040">
        <v>1</v>
      </c>
      <c r="Q1040" s="80" t="str">
        <f>REPLACE(INDEX(GroupVertices[Group],MATCH(Edges[[#This Row],[Vertex 1]],GroupVertices[Vertex],0)),1,1,"")</f>
        <v>1</v>
      </c>
      <c r="R1040" s="80" t="str">
        <f>REPLACE(INDEX(GroupVertices[Group],MATCH(Edges[[#This Row],[Vertex 2]],GroupVertices[Vertex],0)),1,1,"")</f>
        <v>1</v>
      </c>
      <c r="S1040" s="34"/>
      <c r="T1040" s="34"/>
      <c r="U1040" s="34"/>
      <c r="V1040" s="34"/>
      <c r="W1040" s="34"/>
      <c r="X1040" s="34"/>
      <c r="Y1040" s="34"/>
      <c r="Z1040" s="34"/>
      <c r="AA1040" s="34"/>
    </row>
    <row r="1041" spans="1:27" ht="15">
      <c r="A1041" s="66" t="s">
        <v>214</v>
      </c>
      <c r="B1041" s="66" t="s">
        <v>663</v>
      </c>
      <c r="C1041" s="67" t="s">
        <v>4454</v>
      </c>
      <c r="D1041" s="68">
        <v>5</v>
      </c>
      <c r="E1041" s="69"/>
      <c r="F1041" s="70">
        <v>20</v>
      </c>
      <c r="G1041" s="67"/>
      <c r="H1041" s="71"/>
      <c r="I1041" s="72"/>
      <c r="J1041" s="72"/>
      <c r="K1041" s="34" t="s">
        <v>65</v>
      </c>
      <c r="L1041" s="79">
        <v>1041</v>
      </c>
      <c r="M1041" s="79"/>
      <c r="N1041" s="74"/>
      <c r="O1041" s="81" t="s">
        <v>944</v>
      </c>
      <c r="P1041">
        <v>1</v>
      </c>
      <c r="Q1041" s="80" t="str">
        <f>REPLACE(INDEX(GroupVertices[Group],MATCH(Edges[[#This Row],[Vertex 1]],GroupVertices[Vertex],0)),1,1,"")</f>
        <v>1</v>
      </c>
      <c r="R1041" s="80" t="str">
        <f>REPLACE(INDEX(GroupVertices[Group],MATCH(Edges[[#This Row],[Vertex 2]],GroupVertices[Vertex],0)),1,1,"")</f>
        <v>1</v>
      </c>
      <c r="S1041" s="34"/>
      <c r="T1041" s="34"/>
      <c r="U1041" s="34"/>
      <c r="V1041" s="34"/>
      <c r="W1041" s="34"/>
      <c r="X1041" s="34"/>
      <c r="Y1041" s="34"/>
      <c r="Z1041" s="34"/>
      <c r="AA1041" s="34"/>
    </row>
    <row r="1042" spans="1:27" ht="15">
      <c r="A1042" s="66" t="s">
        <v>214</v>
      </c>
      <c r="B1042" s="66" t="s">
        <v>812</v>
      </c>
      <c r="C1042" s="67" t="s">
        <v>4454</v>
      </c>
      <c r="D1042" s="68">
        <v>5</v>
      </c>
      <c r="E1042" s="69"/>
      <c r="F1042" s="70">
        <v>20</v>
      </c>
      <c r="G1042" s="67"/>
      <c r="H1042" s="71"/>
      <c r="I1042" s="72"/>
      <c r="J1042" s="72"/>
      <c r="K1042" s="34" t="s">
        <v>65</v>
      </c>
      <c r="L1042" s="79">
        <v>1042</v>
      </c>
      <c r="M1042" s="79"/>
      <c r="N1042" s="74"/>
      <c r="O1042" s="81" t="s">
        <v>944</v>
      </c>
      <c r="P1042">
        <v>1</v>
      </c>
      <c r="Q1042" s="80" t="str">
        <f>REPLACE(INDEX(GroupVertices[Group],MATCH(Edges[[#This Row],[Vertex 1]],GroupVertices[Vertex],0)),1,1,"")</f>
        <v>1</v>
      </c>
      <c r="R1042" s="80" t="str">
        <f>REPLACE(INDEX(GroupVertices[Group],MATCH(Edges[[#This Row],[Vertex 2]],GroupVertices[Vertex],0)),1,1,"")</f>
        <v>3</v>
      </c>
      <c r="S1042" s="34"/>
      <c r="T1042" s="34"/>
      <c r="U1042" s="34"/>
      <c r="V1042" s="34"/>
      <c r="W1042" s="34"/>
      <c r="X1042" s="34"/>
      <c r="Y1042" s="34"/>
      <c r="Z1042" s="34"/>
      <c r="AA1042" s="34"/>
    </row>
    <row r="1043" spans="1:27" ht="15">
      <c r="A1043" s="66" t="s">
        <v>214</v>
      </c>
      <c r="B1043" s="66" t="s">
        <v>261</v>
      </c>
      <c r="C1043" s="67" t="s">
        <v>4454</v>
      </c>
      <c r="D1043" s="68">
        <v>5</v>
      </c>
      <c r="E1043" s="69"/>
      <c r="F1043" s="70">
        <v>20</v>
      </c>
      <c r="G1043" s="67"/>
      <c r="H1043" s="71"/>
      <c r="I1043" s="72"/>
      <c r="J1043" s="72"/>
      <c r="K1043" s="34" t="s">
        <v>65</v>
      </c>
      <c r="L1043" s="79">
        <v>1043</v>
      </c>
      <c r="M1043" s="79"/>
      <c r="N1043" s="74"/>
      <c r="O1043" s="81" t="s">
        <v>944</v>
      </c>
      <c r="P1043">
        <v>1</v>
      </c>
      <c r="Q1043" s="80" t="str">
        <f>REPLACE(INDEX(GroupVertices[Group],MATCH(Edges[[#This Row],[Vertex 1]],GroupVertices[Vertex],0)),1,1,"")</f>
        <v>1</v>
      </c>
      <c r="R1043" s="80" t="str">
        <f>REPLACE(INDEX(GroupVertices[Group],MATCH(Edges[[#This Row],[Vertex 2]],GroupVertices[Vertex],0)),1,1,"")</f>
        <v>1</v>
      </c>
      <c r="S1043" s="34"/>
      <c r="T1043" s="34"/>
      <c r="U1043" s="34"/>
      <c r="V1043" s="34"/>
      <c r="W1043" s="34"/>
      <c r="X1043" s="34"/>
      <c r="Y1043" s="34"/>
      <c r="Z1043" s="34"/>
      <c r="AA1043" s="34"/>
    </row>
    <row r="1044" spans="1:27" ht="15">
      <c r="A1044" s="66" t="s">
        <v>214</v>
      </c>
      <c r="B1044" s="66" t="s">
        <v>252</v>
      </c>
      <c r="C1044" s="67" t="s">
        <v>4454</v>
      </c>
      <c r="D1044" s="68">
        <v>5</v>
      </c>
      <c r="E1044" s="69"/>
      <c r="F1044" s="70">
        <v>20</v>
      </c>
      <c r="G1044" s="67"/>
      <c r="H1044" s="71"/>
      <c r="I1044" s="72"/>
      <c r="J1044" s="72"/>
      <c r="K1044" s="34" t="s">
        <v>66</v>
      </c>
      <c r="L1044" s="79">
        <v>1044</v>
      </c>
      <c r="M1044" s="79"/>
      <c r="N1044" s="74"/>
      <c r="O1044" s="81" t="s">
        <v>944</v>
      </c>
      <c r="P1044">
        <v>1</v>
      </c>
      <c r="Q1044" s="80" t="str">
        <f>REPLACE(INDEX(GroupVertices[Group],MATCH(Edges[[#This Row],[Vertex 1]],GroupVertices[Vertex],0)),1,1,"")</f>
        <v>1</v>
      </c>
      <c r="R1044" s="80" t="str">
        <f>REPLACE(INDEX(GroupVertices[Group],MATCH(Edges[[#This Row],[Vertex 2]],GroupVertices[Vertex],0)),1,1,"")</f>
        <v>1</v>
      </c>
      <c r="S1044" s="34"/>
      <c r="T1044" s="34"/>
      <c r="U1044" s="34"/>
      <c r="V1044" s="34"/>
      <c r="W1044" s="34"/>
      <c r="X1044" s="34"/>
      <c r="Y1044" s="34"/>
      <c r="Z1044" s="34"/>
      <c r="AA1044" s="34"/>
    </row>
    <row r="1045" spans="1:27" ht="15">
      <c r="A1045" s="66" t="s">
        <v>214</v>
      </c>
      <c r="B1045" s="66" t="s">
        <v>248</v>
      </c>
      <c r="C1045" s="67" t="s">
        <v>4454</v>
      </c>
      <c r="D1045" s="68">
        <v>5</v>
      </c>
      <c r="E1045" s="69"/>
      <c r="F1045" s="70">
        <v>20</v>
      </c>
      <c r="G1045" s="67"/>
      <c r="H1045" s="71"/>
      <c r="I1045" s="72"/>
      <c r="J1045" s="72"/>
      <c r="K1045" s="34" t="s">
        <v>66</v>
      </c>
      <c r="L1045" s="79">
        <v>1045</v>
      </c>
      <c r="M1045" s="79"/>
      <c r="N1045" s="74"/>
      <c r="O1045" s="81" t="s">
        <v>944</v>
      </c>
      <c r="P1045">
        <v>1</v>
      </c>
      <c r="Q1045" s="80" t="str">
        <f>REPLACE(INDEX(GroupVertices[Group],MATCH(Edges[[#This Row],[Vertex 1]],GroupVertices[Vertex],0)),1,1,"")</f>
        <v>1</v>
      </c>
      <c r="R1045" s="80" t="str">
        <f>REPLACE(INDEX(GroupVertices[Group],MATCH(Edges[[#This Row],[Vertex 2]],GroupVertices[Vertex],0)),1,1,"")</f>
        <v>1</v>
      </c>
      <c r="S1045" s="34"/>
      <c r="T1045" s="34"/>
      <c r="U1045" s="34"/>
      <c r="V1045" s="34"/>
      <c r="W1045" s="34"/>
      <c r="X1045" s="34"/>
      <c r="Y1045" s="34"/>
      <c r="Z1045" s="34"/>
      <c r="AA1045" s="34"/>
    </row>
    <row r="1046" spans="1:27" ht="15">
      <c r="A1046" s="66" t="s">
        <v>222</v>
      </c>
      <c r="B1046" s="66" t="s">
        <v>214</v>
      </c>
      <c r="C1046" s="67" t="s">
        <v>4454</v>
      </c>
      <c r="D1046" s="68">
        <v>5</v>
      </c>
      <c r="E1046" s="69"/>
      <c r="F1046" s="70">
        <v>20</v>
      </c>
      <c r="G1046" s="67"/>
      <c r="H1046" s="71"/>
      <c r="I1046" s="72"/>
      <c r="J1046" s="72"/>
      <c r="K1046" s="34" t="s">
        <v>65</v>
      </c>
      <c r="L1046" s="79">
        <v>1046</v>
      </c>
      <c r="M1046" s="79"/>
      <c r="N1046" s="74"/>
      <c r="O1046" s="81" t="s">
        <v>944</v>
      </c>
      <c r="P1046">
        <v>1</v>
      </c>
      <c r="Q1046" s="80" t="str">
        <f>REPLACE(INDEX(GroupVertices[Group],MATCH(Edges[[#This Row],[Vertex 1]],GroupVertices[Vertex],0)),1,1,"")</f>
        <v>2</v>
      </c>
      <c r="R1046" s="80" t="str">
        <f>REPLACE(INDEX(GroupVertices[Group],MATCH(Edges[[#This Row],[Vertex 2]],GroupVertices[Vertex],0)),1,1,"")</f>
        <v>1</v>
      </c>
      <c r="S1046" s="34"/>
      <c r="T1046" s="34"/>
      <c r="U1046" s="34"/>
      <c r="V1046" s="34"/>
      <c r="W1046" s="34"/>
      <c r="X1046" s="34"/>
      <c r="Y1046" s="34"/>
      <c r="Z1046" s="34"/>
      <c r="AA1046" s="34"/>
    </row>
    <row r="1047" spans="1:27" ht="15">
      <c r="A1047" s="66" t="s">
        <v>223</v>
      </c>
      <c r="B1047" s="66" t="s">
        <v>214</v>
      </c>
      <c r="C1047" s="67" t="s">
        <v>4454</v>
      </c>
      <c r="D1047" s="68">
        <v>5</v>
      </c>
      <c r="E1047" s="69"/>
      <c r="F1047" s="70">
        <v>20</v>
      </c>
      <c r="G1047" s="67"/>
      <c r="H1047" s="71"/>
      <c r="I1047" s="72"/>
      <c r="J1047" s="72"/>
      <c r="K1047" s="34" t="s">
        <v>65</v>
      </c>
      <c r="L1047" s="79">
        <v>1047</v>
      </c>
      <c r="M1047" s="79"/>
      <c r="N1047" s="74"/>
      <c r="O1047" s="81" t="s">
        <v>944</v>
      </c>
      <c r="P1047">
        <v>1</v>
      </c>
      <c r="Q1047" s="80" t="str">
        <f>REPLACE(INDEX(GroupVertices[Group],MATCH(Edges[[#This Row],[Vertex 1]],GroupVertices[Vertex],0)),1,1,"")</f>
        <v>3</v>
      </c>
      <c r="R1047" s="80" t="str">
        <f>REPLACE(INDEX(GroupVertices[Group],MATCH(Edges[[#This Row],[Vertex 2]],GroupVertices[Vertex],0)),1,1,"")</f>
        <v>1</v>
      </c>
      <c r="S1047" s="34"/>
      <c r="T1047" s="34"/>
      <c r="U1047" s="34"/>
      <c r="V1047" s="34"/>
      <c r="W1047" s="34"/>
      <c r="X1047" s="34"/>
      <c r="Y1047" s="34"/>
      <c r="Z1047" s="34"/>
      <c r="AA1047" s="34"/>
    </row>
    <row r="1048" spans="1:27" ht="15">
      <c r="A1048" s="66" t="s">
        <v>232</v>
      </c>
      <c r="B1048" s="66" t="s">
        <v>214</v>
      </c>
      <c r="C1048" s="67" t="s">
        <v>4454</v>
      </c>
      <c r="D1048" s="68">
        <v>5</v>
      </c>
      <c r="E1048" s="69"/>
      <c r="F1048" s="70">
        <v>20</v>
      </c>
      <c r="G1048" s="67"/>
      <c r="H1048" s="71"/>
      <c r="I1048" s="72"/>
      <c r="J1048" s="72"/>
      <c r="K1048" s="34" t="s">
        <v>65</v>
      </c>
      <c r="L1048" s="79">
        <v>1048</v>
      </c>
      <c r="M1048" s="79"/>
      <c r="N1048" s="74"/>
      <c r="O1048" s="81" t="s">
        <v>944</v>
      </c>
      <c r="P1048">
        <v>1</v>
      </c>
      <c r="Q1048" s="80" t="str">
        <f>REPLACE(INDEX(GroupVertices[Group],MATCH(Edges[[#This Row],[Vertex 1]],GroupVertices[Vertex],0)),1,1,"")</f>
        <v>1</v>
      </c>
      <c r="R1048" s="80" t="str">
        <f>REPLACE(INDEX(GroupVertices[Group],MATCH(Edges[[#This Row],[Vertex 2]],GroupVertices[Vertex],0)),1,1,"")</f>
        <v>1</v>
      </c>
      <c r="S1048" s="34"/>
      <c r="T1048" s="34"/>
      <c r="U1048" s="34"/>
      <c r="V1048" s="34"/>
      <c r="W1048" s="34"/>
      <c r="X1048" s="34"/>
      <c r="Y1048" s="34"/>
      <c r="Z1048" s="34"/>
      <c r="AA1048" s="34"/>
    </row>
    <row r="1049" spans="1:27" ht="15">
      <c r="A1049" s="66" t="s">
        <v>235</v>
      </c>
      <c r="B1049" s="66" t="s">
        <v>214</v>
      </c>
      <c r="C1049" s="67" t="s">
        <v>4454</v>
      </c>
      <c r="D1049" s="68">
        <v>5</v>
      </c>
      <c r="E1049" s="69"/>
      <c r="F1049" s="70">
        <v>20</v>
      </c>
      <c r="G1049" s="67"/>
      <c r="H1049" s="71"/>
      <c r="I1049" s="72"/>
      <c r="J1049" s="72"/>
      <c r="K1049" s="34" t="s">
        <v>65</v>
      </c>
      <c r="L1049" s="79">
        <v>1049</v>
      </c>
      <c r="M1049" s="79"/>
      <c r="N1049" s="74"/>
      <c r="O1049" s="81" t="s">
        <v>944</v>
      </c>
      <c r="P1049">
        <v>1</v>
      </c>
      <c r="Q1049" s="80" t="str">
        <f>REPLACE(INDEX(GroupVertices[Group],MATCH(Edges[[#This Row],[Vertex 1]],GroupVertices[Vertex],0)),1,1,"")</f>
        <v>2</v>
      </c>
      <c r="R1049" s="80" t="str">
        <f>REPLACE(INDEX(GroupVertices[Group],MATCH(Edges[[#This Row],[Vertex 2]],GroupVertices[Vertex],0)),1,1,"")</f>
        <v>1</v>
      </c>
      <c r="S1049" s="34"/>
      <c r="T1049" s="34"/>
      <c r="U1049" s="34"/>
      <c r="V1049" s="34"/>
      <c r="W1049" s="34"/>
      <c r="X1049" s="34"/>
      <c r="Y1049" s="34"/>
      <c r="Z1049" s="34"/>
      <c r="AA1049" s="34"/>
    </row>
    <row r="1050" spans="1:27" ht="15">
      <c r="A1050" s="66" t="s">
        <v>248</v>
      </c>
      <c r="B1050" s="66" t="s">
        <v>214</v>
      </c>
      <c r="C1050" s="67" t="s">
        <v>4454</v>
      </c>
      <c r="D1050" s="68">
        <v>5</v>
      </c>
      <c r="E1050" s="69"/>
      <c r="F1050" s="70">
        <v>20</v>
      </c>
      <c r="G1050" s="67"/>
      <c r="H1050" s="71"/>
      <c r="I1050" s="72"/>
      <c r="J1050" s="72"/>
      <c r="K1050" s="34" t="s">
        <v>66</v>
      </c>
      <c r="L1050" s="79">
        <v>1050</v>
      </c>
      <c r="M1050" s="79"/>
      <c r="N1050" s="74"/>
      <c r="O1050" s="81" t="s">
        <v>944</v>
      </c>
      <c r="P1050">
        <v>1</v>
      </c>
      <c r="Q1050" s="80" t="str">
        <f>REPLACE(INDEX(GroupVertices[Group],MATCH(Edges[[#This Row],[Vertex 1]],GroupVertices[Vertex],0)),1,1,"")</f>
        <v>1</v>
      </c>
      <c r="R1050" s="80" t="str">
        <f>REPLACE(INDEX(GroupVertices[Group],MATCH(Edges[[#This Row],[Vertex 2]],GroupVertices[Vertex],0)),1,1,"")</f>
        <v>1</v>
      </c>
      <c r="S1050" s="34"/>
      <c r="T1050" s="34"/>
      <c r="U1050" s="34"/>
      <c r="V1050" s="34"/>
      <c r="W1050" s="34"/>
      <c r="X1050" s="34"/>
      <c r="Y1050" s="34"/>
      <c r="Z1050" s="34"/>
      <c r="AA1050" s="34"/>
    </row>
    <row r="1051" spans="1:27" ht="15">
      <c r="A1051" s="66" t="s">
        <v>252</v>
      </c>
      <c r="B1051" s="66" t="s">
        <v>214</v>
      </c>
      <c r="C1051" s="67" t="s">
        <v>4454</v>
      </c>
      <c r="D1051" s="68">
        <v>5</v>
      </c>
      <c r="E1051" s="69"/>
      <c r="F1051" s="70">
        <v>20</v>
      </c>
      <c r="G1051" s="67"/>
      <c r="H1051" s="71"/>
      <c r="I1051" s="72"/>
      <c r="J1051" s="72"/>
      <c r="K1051" s="34" t="s">
        <v>66</v>
      </c>
      <c r="L1051" s="79">
        <v>1051</v>
      </c>
      <c r="M1051" s="79"/>
      <c r="N1051" s="74"/>
      <c r="O1051" s="81" t="s">
        <v>944</v>
      </c>
      <c r="P1051">
        <v>1</v>
      </c>
      <c r="Q1051" s="80" t="str">
        <f>REPLACE(INDEX(GroupVertices[Group],MATCH(Edges[[#This Row],[Vertex 1]],GroupVertices[Vertex],0)),1,1,"")</f>
        <v>1</v>
      </c>
      <c r="R1051" s="80" t="str">
        <f>REPLACE(INDEX(GroupVertices[Group],MATCH(Edges[[#This Row],[Vertex 2]],GroupVertices[Vertex],0)),1,1,"")</f>
        <v>1</v>
      </c>
      <c r="S1051" s="34"/>
      <c r="T1051" s="34"/>
      <c r="U1051" s="34"/>
      <c r="V1051" s="34"/>
      <c r="W1051" s="34"/>
      <c r="X1051" s="34"/>
      <c r="Y1051" s="34"/>
      <c r="Z1051" s="34"/>
      <c r="AA1051" s="34"/>
    </row>
    <row r="1052" spans="1:27" ht="15">
      <c r="A1052" s="66" t="s">
        <v>253</v>
      </c>
      <c r="B1052" s="66" t="s">
        <v>214</v>
      </c>
      <c r="C1052" s="67" t="s">
        <v>4454</v>
      </c>
      <c r="D1052" s="68">
        <v>5</v>
      </c>
      <c r="E1052" s="69"/>
      <c r="F1052" s="70">
        <v>20</v>
      </c>
      <c r="G1052" s="67"/>
      <c r="H1052" s="71"/>
      <c r="I1052" s="72"/>
      <c r="J1052" s="72"/>
      <c r="K1052" s="34" t="s">
        <v>65</v>
      </c>
      <c r="L1052" s="79">
        <v>1052</v>
      </c>
      <c r="M1052" s="79"/>
      <c r="N1052" s="74"/>
      <c r="O1052" s="81" t="s">
        <v>944</v>
      </c>
      <c r="P1052">
        <v>1</v>
      </c>
      <c r="Q1052" s="80" t="str">
        <f>REPLACE(INDEX(GroupVertices[Group],MATCH(Edges[[#This Row],[Vertex 1]],GroupVertices[Vertex],0)),1,1,"")</f>
        <v>1</v>
      </c>
      <c r="R1052" s="80" t="str">
        <f>REPLACE(INDEX(GroupVertices[Group],MATCH(Edges[[#This Row],[Vertex 2]],GroupVertices[Vertex],0)),1,1,"")</f>
        <v>1</v>
      </c>
      <c r="S1052" s="34"/>
      <c r="T1052" s="34"/>
      <c r="U1052" s="34"/>
      <c r="V1052" s="34"/>
      <c r="W1052" s="34"/>
      <c r="X1052" s="34"/>
      <c r="Y1052" s="34"/>
      <c r="Z1052" s="34"/>
      <c r="AA1052" s="34"/>
    </row>
    <row r="1053" spans="1:27" ht="15">
      <c r="A1053" s="66" t="s">
        <v>238</v>
      </c>
      <c r="B1053" s="66" t="s">
        <v>813</v>
      </c>
      <c r="C1053" s="67" t="s">
        <v>4454</v>
      </c>
      <c r="D1053" s="68">
        <v>5</v>
      </c>
      <c r="E1053" s="69"/>
      <c r="F1053" s="70">
        <v>20</v>
      </c>
      <c r="G1053" s="67"/>
      <c r="H1053" s="71"/>
      <c r="I1053" s="72"/>
      <c r="J1053" s="72"/>
      <c r="K1053" s="34" t="s">
        <v>65</v>
      </c>
      <c r="L1053" s="79">
        <v>1053</v>
      </c>
      <c r="M1053" s="79"/>
      <c r="N1053" s="74"/>
      <c r="O1053" s="81" t="s">
        <v>944</v>
      </c>
      <c r="P1053">
        <v>1</v>
      </c>
      <c r="Q1053" s="80" t="str">
        <f>REPLACE(INDEX(GroupVertices[Group],MATCH(Edges[[#This Row],[Vertex 1]],GroupVertices[Vertex],0)),1,1,"")</f>
        <v>2</v>
      </c>
      <c r="R1053" s="80" t="str">
        <f>REPLACE(INDEX(GroupVertices[Group],MATCH(Edges[[#This Row],[Vertex 2]],GroupVertices[Vertex],0)),1,1,"")</f>
        <v>2</v>
      </c>
      <c r="S1053" s="34"/>
      <c r="T1053" s="34"/>
      <c r="U1053" s="34"/>
      <c r="V1053" s="34"/>
      <c r="W1053" s="34"/>
      <c r="X1053" s="34"/>
      <c r="Y1053" s="34"/>
      <c r="Z1053" s="34"/>
      <c r="AA1053" s="34"/>
    </row>
    <row r="1054" spans="1:27" ht="15">
      <c r="A1054" s="66" t="s">
        <v>243</v>
      </c>
      <c r="B1054" s="66" t="s">
        <v>813</v>
      </c>
      <c r="C1054" s="67" t="s">
        <v>4454</v>
      </c>
      <c r="D1054" s="68">
        <v>5</v>
      </c>
      <c r="E1054" s="69"/>
      <c r="F1054" s="70">
        <v>20</v>
      </c>
      <c r="G1054" s="67"/>
      <c r="H1054" s="71"/>
      <c r="I1054" s="72"/>
      <c r="J1054" s="72"/>
      <c r="K1054" s="34" t="s">
        <v>65</v>
      </c>
      <c r="L1054" s="79">
        <v>1054</v>
      </c>
      <c r="M1054" s="79"/>
      <c r="N1054" s="74"/>
      <c r="O1054" s="81" t="s">
        <v>944</v>
      </c>
      <c r="P1054">
        <v>1</v>
      </c>
      <c r="Q1054" s="80" t="str">
        <f>REPLACE(INDEX(GroupVertices[Group],MATCH(Edges[[#This Row],[Vertex 1]],GroupVertices[Vertex],0)),1,1,"")</f>
        <v>2</v>
      </c>
      <c r="R1054" s="80" t="str">
        <f>REPLACE(INDEX(GroupVertices[Group],MATCH(Edges[[#This Row],[Vertex 2]],GroupVertices[Vertex],0)),1,1,"")</f>
        <v>2</v>
      </c>
      <c r="S1054" s="34"/>
      <c r="T1054" s="34"/>
      <c r="U1054" s="34"/>
      <c r="V1054" s="34"/>
      <c r="W1054" s="34"/>
      <c r="X1054" s="34"/>
      <c r="Y1054" s="34"/>
      <c r="Z1054" s="34"/>
      <c r="AA1054" s="34"/>
    </row>
    <row r="1055" spans="1:27" ht="15">
      <c r="A1055" s="66" t="s">
        <v>253</v>
      </c>
      <c r="B1055" s="66" t="s">
        <v>813</v>
      </c>
      <c r="C1055" s="67" t="s">
        <v>4454</v>
      </c>
      <c r="D1055" s="68">
        <v>5</v>
      </c>
      <c r="E1055" s="69"/>
      <c r="F1055" s="70">
        <v>20</v>
      </c>
      <c r="G1055" s="67"/>
      <c r="H1055" s="71"/>
      <c r="I1055" s="72"/>
      <c r="J1055" s="72"/>
      <c r="K1055" s="34" t="s">
        <v>65</v>
      </c>
      <c r="L1055" s="79">
        <v>1055</v>
      </c>
      <c r="M1055" s="79"/>
      <c r="N1055" s="74"/>
      <c r="O1055" s="81" t="s">
        <v>944</v>
      </c>
      <c r="P1055">
        <v>1</v>
      </c>
      <c r="Q1055" s="80" t="str">
        <f>REPLACE(INDEX(GroupVertices[Group],MATCH(Edges[[#This Row],[Vertex 1]],GroupVertices[Vertex],0)),1,1,"")</f>
        <v>1</v>
      </c>
      <c r="R1055" s="80" t="str">
        <f>REPLACE(INDEX(GroupVertices[Group],MATCH(Edges[[#This Row],[Vertex 2]],GroupVertices[Vertex],0)),1,1,"")</f>
        <v>2</v>
      </c>
      <c r="S1055" s="34"/>
      <c r="T1055" s="34"/>
      <c r="U1055" s="34"/>
      <c r="V1055" s="34"/>
      <c r="W1055" s="34"/>
      <c r="X1055" s="34"/>
      <c r="Y1055" s="34"/>
      <c r="Z1055" s="34"/>
      <c r="AA1055" s="34"/>
    </row>
    <row r="1056" spans="1:27" ht="15">
      <c r="A1056" s="66" t="s">
        <v>215</v>
      </c>
      <c r="B1056" s="66" t="s">
        <v>814</v>
      </c>
      <c r="C1056" s="67" t="s">
        <v>4454</v>
      </c>
      <c r="D1056" s="68">
        <v>5</v>
      </c>
      <c r="E1056" s="69"/>
      <c r="F1056" s="70">
        <v>20</v>
      </c>
      <c r="G1056" s="67"/>
      <c r="H1056" s="71"/>
      <c r="I1056" s="72"/>
      <c r="J1056" s="72"/>
      <c r="K1056" s="34" t="s">
        <v>65</v>
      </c>
      <c r="L1056" s="79">
        <v>1056</v>
      </c>
      <c r="M1056" s="79"/>
      <c r="N1056" s="74"/>
      <c r="O1056" s="81" t="s">
        <v>944</v>
      </c>
      <c r="P1056">
        <v>1</v>
      </c>
      <c r="Q1056" s="80" t="str">
        <f>REPLACE(INDEX(GroupVertices[Group],MATCH(Edges[[#This Row],[Vertex 1]],GroupVertices[Vertex],0)),1,1,"")</f>
        <v>3</v>
      </c>
      <c r="R1056" s="80" t="str">
        <f>REPLACE(INDEX(GroupVertices[Group],MATCH(Edges[[#This Row],[Vertex 2]],GroupVertices[Vertex],0)),1,1,"")</f>
        <v>3</v>
      </c>
      <c r="S1056" s="34"/>
      <c r="T1056" s="34"/>
      <c r="U1056" s="34"/>
      <c r="V1056" s="34"/>
      <c r="W1056" s="34"/>
      <c r="X1056" s="34"/>
      <c r="Y1056" s="34"/>
      <c r="Z1056" s="34"/>
      <c r="AA1056" s="34"/>
    </row>
    <row r="1057" spans="1:27" ht="15">
      <c r="A1057" s="66" t="s">
        <v>253</v>
      </c>
      <c r="B1057" s="66" t="s">
        <v>814</v>
      </c>
      <c r="C1057" s="67" t="s">
        <v>4454</v>
      </c>
      <c r="D1057" s="68">
        <v>5</v>
      </c>
      <c r="E1057" s="69"/>
      <c r="F1057" s="70">
        <v>20</v>
      </c>
      <c r="G1057" s="67"/>
      <c r="H1057" s="71"/>
      <c r="I1057" s="72"/>
      <c r="J1057" s="72"/>
      <c r="K1057" s="34" t="s">
        <v>65</v>
      </c>
      <c r="L1057" s="79">
        <v>1057</v>
      </c>
      <c r="M1057" s="79"/>
      <c r="N1057" s="74"/>
      <c r="O1057" s="81" t="s">
        <v>944</v>
      </c>
      <c r="P1057">
        <v>1</v>
      </c>
      <c r="Q1057" s="80" t="str">
        <f>REPLACE(INDEX(GroupVertices[Group],MATCH(Edges[[#This Row],[Vertex 1]],GroupVertices[Vertex],0)),1,1,"")</f>
        <v>1</v>
      </c>
      <c r="R1057" s="80" t="str">
        <f>REPLACE(INDEX(GroupVertices[Group],MATCH(Edges[[#This Row],[Vertex 2]],GroupVertices[Vertex],0)),1,1,"")</f>
        <v>3</v>
      </c>
      <c r="S1057" s="34"/>
      <c r="T1057" s="34"/>
      <c r="U1057" s="34"/>
      <c r="V1057" s="34"/>
      <c r="W1057" s="34"/>
      <c r="X1057" s="34"/>
      <c r="Y1057" s="34"/>
      <c r="Z1057" s="34"/>
      <c r="AA1057" s="34"/>
    </row>
    <row r="1058" spans="1:27" ht="15">
      <c r="A1058" s="66" t="s">
        <v>253</v>
      </c>
      <c r="B1058" s="66" t="s">
        <v>815</v>
      </c>
      <c r="C1058" s="67" t="s">
        <v>4454</v>
      </c>
      <c r="D1058" s="68">
        <v>5</v>
      </c>
      <c r="E1058" s="69"/>
      <c r="F1058" s="70">
        <v>20</v>
      </c>
      <c r="G1058" s="67"/>
      <c r="H1058" s="71"/>
      <c r="I1058" s="72"/>
      <c r="J1058" s="72"/>
      <c r="K1058" s="34"/>
      <c r="L1058" s="79">
        <v>1058</v>
      </c>
      <c r="M1058" s="79"/>
      <c r="N1058" s="74"/>
      <c r="O1058" s="81" t="s">
        <v>944</v>
      </c>
      <c r="P1058">
        <v>1</v>
      </c>
      <c r="Q1058" s="80" t="str">
        <f>REPLACE(INDEX(GroupVertices[Group],MATCH(Edges[[#This Row],[Vertex 1]],GroupVertices[Vertex],0)),1,1,"")</f>
        <v>1</v>
      </c>
      <c r="R1058" s="80" t="e">
        <f>REPLACE(INDEX(GroupVertices[Group],MATCH(Edges[[#This Row],[Vertex 2]],GroupVertices[Vertex],0)),1,1,"")</f>
        <v>#N/A</v>
      </c>
      <c r="S1058" s="34"/>
      <c r="T1058" s="34"/>
      <c r="U1058" s="34"/>
      <c r="V1058" s="34"/>
      <c r="W1058" s="34"/>
      <c r="X1058" s="34"/>
      <c r="Y1058" s="34"/>
      <c r="Z1058" s="34"/>
      <c r="AA1058" s="34"/>
    </row>
    <row r="1059" spans="1:27" ht="15">
      <c r="A1059" s="66" t="s">
        <v>253</v>
      </c>
      <c r="B1059" s="66" t="s">
        <v>816</v>
      </c>
      <c r="C1059" s="67" t="s">
        <v>4454</v>
      </c>
      <c r="D1059" s="68">
        <v>5</v>
      </c>
      <c r="E1059" s="69"/>
      <c r="F1059" s="70">
        <v>20</v>
      </c>
      <c r="G1059" s="67"/>
      <c r="H1059" s="71"/>
      <c r="I1059" s="72"/>
      <c r="J1059" s="72"/>
      <c r="K1059" s="34"/>
      <c r="L1059" s="79">
        <v>1059</v>
      </c>
      <c r="M1059" s="79"/>
      <c r="N1059" s="74"/>
      <c r="O1059" s="81" t="s">
        <v>944</v>
      </c>
      <c r="P1059">
        <v>1</v>
      </c>
      <c r="Q1059" s="80" t="str">
        <f>REPLACE(INDEX(GroupVertices[Group],MATCH(Edges[[#This Row],[Vertex 1]],GroupVertices[Vertex],0)),1,1,"")</f>
        <v>1</v>
      </c>
      <c r="R1059" s="80" t="e">
        <f>REPLACE(INDEX(GroupVertices[Group],MATCH(Edges[[#This Row],[Vertex 2]],GroupVertices[Vertex],0)),1,1,"")</f>
        <v>#N/A</v>
      </c>
      <c r="S1059" s="34"/>
      <c r="T1059" s="34"/>
      <c r="U1059" s="34"/>
      <c r="V1059" s="34"/>
      <c r="W1059" s="34"/>
      <c r="X1059" s="34"/>
      <c r="Y1059" s="34"/>
      <c r="Z1059" s="34"/>
      <c r="AA1059" s="34"/>
    </row>
    <row r="1060" spans="1:27" ht="15">
      <c r="A1060" s="66" t="s">
        <v>253</v>
      </c>
      <c r="B1060" s="66" t="s">
        <v>817</v>
      </c>
      <c r="C1060" s="67" t="s">
        <v>4454</v>
      </c>
      <c r="D1060" s="68">
        <v>5</v>
      </c>
      <c r="E1060" s="69"/>
      <c r="F1060" s="70">
        <v>20</v>
      </c>
      <c r="G1060" s="67"/>
      <c r="H1060" s="71"/>
      <c r="I1060" s="72"/>
      <c r="J1060" s="72"/>
      <c r="K1060" s="34"/>
      <c r="L1060" s="79">
        <v>1060</v>
      </c>
      <c r="M1060" s="79"/>
      <c r="N1060" s="74"/>
      <c r="O1060" s="81" t="s">
        <v>944</v>
      </c>
      <c r="P1060">
        <v>1</v>
      </c>
      <c r="Q1060" s="80" t="str">
        <f>REPLACE(INDEX(GroupVertices[Group],MATCH(Edges[[#This Row],[Vertex 1]],GroupVertices[Vertex],0)),1,1,"")</f>
        <v>1</v>
      </c>
      <c r="R1060" s="80" t="e">
        <f>REPLACE(INDEX(GroupVertices[Group],MATCH(Edges[[#This Row],[Vertex 2]],GroupVertices[Vertex],0)),1,1,"")</f>
        <v>#N/A</v>
      </c>
      <c r="S1060" s="34"/>
      <c r="T1060" s="34"/>
      <c r="U1060" s="34"/>
      <c r="V1060" s="34"/>
      <c r="W1060" s="34"/>
      <c r="X1060" s="34"/>
      <c r="Y1060" s="34"/>
      <c r="Z1060" s="34"/>
      <c r="AA1060" s="34"/>
    </row>
    <row r="1061" spans="1:27" ht="15">
      <c r="A1061" s="66" t="s">
        <v>253</v>
      </c>
      <c r="B1061" s="66" t="s">
        <v>818</v>
      </c>
      <c r="C1061" s="67" t="s">
        <v>4454</v>
      </c>
      <c r="D1061" s="68">
        <v>5</v>
      </c>
      <c r="E1061" s="69"/>
      <c r="F1061" s="70">
        <v>20</v>
      </c>
      <c r="G1061" s="67"/>
      <c r="H1061" s="71"/>
      <c r="I1061" s="72"/>
      <c r="J1061" s="72"/>
      <c r="K1061" s="34"/>
      <c r="L1061" s="79">
        <v>1061</v>
      </c>
      <c r="M1061" s="79"/>
      <c r="N1061" s="74"/>
      <c r="O1061" s="81" t="s">
        <v>944</v>
      </c>
      <c r="P1061">
        <v>1</v>
      </c>
      <c r="Q1061" s="80" t="str">
        <f>REPLACE(INDEX(GroupVertices[Group],MATCH(Edges[[#This Row],[Vertex 1]],GroupVertices[Vertex],0)),1,1,"")</f>
        <v>1</v>
      </c>
      <c r="R1061" s="80" t="e">
        <f>REPLACE(INDEX(GroupVertices[Group],MATCH(Edges[[#This Row],[Vertex 2]],GroupVertices[Vertex],0)),1,1,"")</f>
        <v>#N/A</v>
      </c>
      <c r="S1061" s="34"/>
      <c r="T1061" s="34"/>
      <c r="U1061" s="34"/>
      <c r="V1061" s="34"/>
      <c r="W1061" s="34"/>
      <c r="X1061" s="34"/>
      <c r="Y1061" s="34"/>
      <c r="Z1061" s="34"/>
      <c r="AA1061" s="34"/>
    </row>
    <row r="1062" spans="1:27" ht="15">
      <c r="A1062" s="66" t="s">
        <v>253</v>
      </c>
      <c r="B1062" s="66" t="s">
        <v>819</v>
      </c>
      <c r="C1062" s="67" t="s">
        <v>4454</v>
      </c>
      <c r="D1062" s="68">
        <v>5</v>
      </c>
      <c r="E1062" s="69"/>
      <c r="F1062" s="70">
        <v>20</v>
      </c>
      <c r="G1062" s="67"/>
      <c r="H1062" s="71"/>
      <c r="I1062" s="72"/>
      <c r="J1062" s="72"/>
      <c r="K1062" s="34"/>
      <c r="L1062" s="79">
        <v>1062</v>
      </c>
      <c r="M1062" s="79"/>
      <c r="N1062" s="74"/>
      <c r="O1062" s="81" t="s">
        <v>944</v>
      </c>
      <c r="P1062">
        <v>1</v>
      </c>
      <c r="Q1062" s="80" t="str">
        <f>REPLACE(INDEX(GroupVertices[Group],MATCH(Edges[[#This Row],[Vertex 1]],GroupVertices[Vertex],0)),1,1,"")</f>
        <v>1</v>
      </c>
      <c r="R1062" s="80" t="e">
        <f>REPLACE(INDEX(GroupVertices[Group],MATCH(Edges[[#This Row],[Vertex 2]],GroupVertices[Vertex],0)),1,1,"")</f>
        <v>#N/A</v>
      </c>
      <c r="S1062" s="34"/>
      <c r="T1062" s="34"/>
      <c r="U1062" s="34"/>
      <c r="V1062" s="34"/>
      <c r="W1062" s="34"/>
      <c r="X1062" s="34"/>
      <c r="Y1062" s="34"/>
      <c r="Z1062" s="34"/>
      <c r="AA1062" s="34"/>
    </row>
    <row r="1063" spans="1:27" ht="15">
      <c r="A1063" s="66" t="s">
        <v>253</v>
      </c>
      <c r="B1063" s="66" t="s">
        <v>820</v>
      </c>
      <c r="C1063" s="67" t="s">
        <v>4454</v>
      </c>
      <c r="D1063" s="68">
        <v>5</v>
      </c>
      <c r="E1063" s="69"/>
      <c r="F1063" s="70">
        <v>20</v>
      </c>
      <c r="G1063" s="67"/>
      <c r="H1063" s="71"/>
      <c r="I1063" s="72"/>
      <c r="J1063" s="72"/>
      <c r="K1063" s="34"/>
      <c r="L1063" s="79">
        <v>1063</v>
      </c>
      <c r="M1063" s="79"/>
      <c r="N1063" s="74"/>
      <c r="O1063" s="81" t="s">
        <v>944</v>
      </c>
      <c r="P1063">
        <v>1</v>
      </c>
      <c r="Q1063" s="80" t="str">
        <f>REPLACE(INDEX(GroupVertices[Group],MATCH(Edges[[#This Row],[Vertex 1]],GroupVertices[Vertex],0)),1,1,"")</f>
        <v>1</v>
      </c>
      <c r="R1063" s="80" t="e">
        <f>REPLACE(INDEX(GroupVertices[Group],MATCH(Edges[[#This Row],[Vertex 2]],GroupVertices[Vertex],0)),1,1,"")</f>
        <v>#N/A</v>
      </c>
      <c r="S1063" s="34"/>
      <c r="T1063" s="34"/>
      <c r="U1063" s="34"/>
      <c r="V1063" s="34"/>
      <c r="W1063" s="34"/>
      <c r="X1063" s="34"/>
      <c r="Y1063" s="34"/>
      <c r="Z1063" s="34"/>
      <c r="AA1063" s="34"/>
    </row>
    <row r="1064" spans="1:27" ht="15">
      <c r="A1064" s="66" t="s">
        <v>253</v>
      </c>
      <c r="B1064" s="66" t="s">
        <v>821</v>
      </c>
      <c r="C1064" s="67" t="s">
        <v>4454</v>
      </c>
      <c r="D1064" s="68">
        <v>5</v>
      </c>
      <c r="E1064" s="69"/>
      <c r="F1064" s="70">
        <v>20</v>
      </c>
      <c r="G1064" s="67"/>
      <c r="H1064" s="71"/>
      <c r="I1064" s="72"/>
      <c r="J1064" s="72"/>
      <c r="K1064" s="34"/>
      <c r="L1064" s="79">
        <v>1064</v>
      </c>
      <c r="M1064" s="79"/>
      <c r="N1064" s="74"/>
      <c r="O1064" s="81" t="s">
        <v>944</v>
      </c>
      <c r="P1064">
        <v>1</v>
      </c>
      <c r="Q1064" s="80" t="str">
        <f>REPLACE(INDEX(GroupVertices[Group],MATCH(Edges[[#This Row],[Vertex 1]],GroupVertices[Vertex],0)),1,1,"")</f>
        <v>1</v>
      </c>
      <c r="R1064" s="80" t="e">
        <f>REPLACE(INDEX(GroupVertices[Group],MATCH(Edges[[#This Row],[Vertex 2]],GroupVertices[Vertex],0)),1,1,"")</f>
        <v>#N/A</v>
      </c>
      <c r="S1064" s="34"/>
      <c r="T1064" s="34"/>
      <c r="U1064" s="34"/>
      <c r="V1064" s="34"/>
      <c r="W1064" s="34"/>
      <c r="X1064" s="34"/>
      <c r="Y1064" s="34"/>
      <c r="Z1064" s="34"/>
      <c r="AA1064" s="34"/>
    </row>
    <row r="1065" spans="1:27" ht="15">
      <c r="A1065" s="66" t="s">
        <v>253</v>
      </c>
      <c r="B1065" s="66" t="s">
        <v>822</v>
      </c>
      <c r="C1065" s="67" t="s">
        <v>4454</v>
      </c>
      <c r="D1065" s="68">
        <v>5</v>
      </c>
      <c r="E1065" s="69"/>
      <c r="F1065" s="70">
        <v>20</v>
      </c>
      <c r="G1065" s="67"/>
      <c r="H1065" s="71"/>
      <c r="I1065" s="72"/>
      <c r="J1065" s="72"/>
      <c r="K1065" s="34"/>
      <c r="L1065" s="79">
        <v>1065</v>
      </c>
      <c r="M1065" s="79"/>
      <c r="N1065" s="74"/>
      <c r="O1065" s="81" t="s">
        <v>944</v>
      </c>
      <c r="P1065">
        <v>1</v>
      </c>
      <c r="Q1065" s="80" t="str">
        <f>REPLACE(INDEX(GroupVertices[Group],MATCH(Edges[[#This Row],[Vertex 1]],GroupVertices[Vertex],0)),1,1,"")</f>
        <v>1</v>
      </c>
      <c r="R1065" s="80" t="e">
        <f>REPLACE(INDEX(GroupVertices[Group],MATCH(Edges[[#This Row],[Vertex 2]],GroupVertices[Vertex],0)),1,1,"")</f>
        <v>#N/A</v>
      </c>
      <c r="S1065" s="34"/>
      <c r="T1065" s="34"/>
      <c r="U1065" s="34"/>
      <c r="V1065" s="34"/>
      <c r="W1065" s="34"/>
      <c r="X1065" s="34"/>
      <c r="Y1065" s="34"/>
      <c r="Z1065" s="34"/>
      <c r="AA1065" s="34"/>
    </row>
    <row r="1066" spans="1:27" ht="15">
      <c r="A1066" s="66" t="s">
        <v>253</v>
      </c>
      <c r="B1066" s="66" t="s">
        <v>823</v>
      </c>
      <c r="C1066" s="67" t="s">
        <v>4454</v>
      </c>
      <c r="D1066" s="68">
        <v>5</v>
      </c>
      <c r="E1066" s="69"/>
      <c r="F1066" s="70">
        <v>20</v>
      </c>
      <c r="G1066" s="67"/>
      <c r="H1066" s="71"/>
      <c r="I1066" s="72"/>
      <c r="J1066" s="72"/>
      <c r="K1066" s="34"/>
      <c r="L1066" s="79">
        <v>1066</v>
      </c>
      <c r="M1066" s="79"/>
      <c r="N1066" s="74"/>
      <c r="O1066" s="81" t="s">
        <v>944</v>
      </c>
      <c r="P1066">
        <v>1</v>
      </c>
      <c r="Q1066" s="80" t="str">
        <f>REPLACE(INDEX(GroupVertices[Group],MATCH(Edges[[#This Row],[Vertex 1]],GroupVertices[Vertex],0)),1,1,"")</f>
        <v>1</v>
      </c>
      <c r="R1066" s="80" t="e">
        <f>REPLACE(INDEX(GroupVertices[Group],MATCH(Edges[[#This Row],[Vertex 2]],GroupVertices[Vertex],0)),1,1,"")</f>
        <v>#N/A</v>
      </c>
      <c r="S1066" s="34"/>
      <c r="T1066" s="34"/>
      <c r="U1066" s="34"/>
      <c r="V1066" s="34"/>
      <c r="W1066" s="34"/>
      <c r="X1066" s="34"/>
      <c r="Y1066" s="34"/>
      <c r="Z1066" s="34"/>
      <c r="AA1066" s="34"/>
    </row>
    <row r="1067" spans="1:27" ht="15">
      <c r="A1067" s="66" t="s">
        <v>254</v>
      </c>
      <c r="B1067" s="66" t="s">
        <v>824</v>
      </c>
      <c r="C1067" s="67" t="s">
        <v>4454</v>
      </c>
      <c r="D1067" s="68">
        <v>5</v>
      </c>
      <c r="E1067" s="69"/>
      <c r="F1067" s="70">
        <v>20</v>
      </c>
      <c r="G1067" s="67"/>
      <c r="H1067" s="71"/>
      <c r="I1067" s="72"/>
      <c r="J1067" s="72"/>
      <c r="K1067" s="34"/>
      <c r="L1067" s="79">
        <v>1067</v>
      </c>
      <c r="M1067" s="79"/>
      <c r="N1067" s="74"/>
      <c r="O1067" s="81" t="s">
        <v>944</v>
      </c>
      <c r="P1067">
        <v>1</v>
      </c>
      <c r="Q1067" s="80" t="str">
        <f>REPLACE(INDEX(GroupVertices[Group],MATCH(Edges[[#This Row],[Vertex 1]],GroupVertices[Vertex],0)),1,1,"")</f>
        <v>3</v>
      </c>
      <c r="R1067" s="80" t="e">
        <f>REPLACE(INDEX(GroupVertices[Group],MATCH(Edges[[#This Row],[Vertex 2]],GroupVertices[Vertex],0)),1,1,"")</f>
        <v>#N/A</v>
      </c>
      <c r="S1067" s="34"/>
      <c r="T1067" s="34"/>
      <c r="U1067" s="34"/>
      <c r="V1067" s="34"/>
      <c r="W1067" s="34"/>
      <c r="X1067" s="34"/>
      <c r="Y1067" s="34"/>
      <c r="Z1067" s="34"/>
      <c r="AA1067" s="34"/>
    </row>
    <row r="1068" spans="1:27" ht="15">
      <c r="A1068" s="66" t="s">
        <v>223</v>
      </c>
      <c r="B1068" s="66" t="s">
        <v>825</v>
      </c>
      <c r="C1068" s="67" t="s">
        <v>4454</v>
      </c>
      <c r="D1068" s="68">
        <v>5</v>
      </c>
      <c r="E1068" s="69"/>
      <c r="F1068" s="70">
        <v>20</v>
      </c>
      <c r="G1068" s="67"/>
      <c r="H1068" s="71"/>
      <c r="I1068" s="72"/>
      <c r="J1068" s="72"/>
      <c r="K1068" s="34" t="s">
        <v>65</v>
      </c>
      <c r="L1068" s="79">
        <v>1068</v>
      </c>
      <c r="M1068" s="79"/>
      <c r="N1068" s="74"/>
      <c r="O1068" s="81" t="s">
        <v>944</v>
      </c>
      <c r="P1068">
        <v>1</v>
      </c>
      <c r="Q1068" s="80" t="str">
        <f>REPLACE(INDEX(GroupVertices[Group],MATCH(Edges[[#This Row],[Vertex 1]],GroupVertices[Vertex],0)),1,1,"")</f>
        <v>3</v>
      </c>
      <c r="R1068" s="80" t="str">
        <f>REPLACE(INDEX(GroupVertices[Group],MATCH(Edges[[#This Row],[Vertex 2]],GroupVertices[Vertex],0)),1,1,"")</f>
        <v>3</v>
      </c>
      <c r="S1068" s="34"/>
      <c r="T1068" s="34"/>
      <c r="U1068" s="34"/>
      <c r="V1068" s="34"/>
      <c r="W1068" s="34"/>
      <c r="X1068" s="34"/>
      <c r="Y1068" s="34"/>
      <c r="Z1068" s="34"/>
      <c r="AA1068" s="34"/>
    </row>
    <row r="1069" spans="1:27" ht="15">
      <c r="A1069" s="66" t="s">
        <v>254</v>
      </c>
      <c r="B1069" s="66" t="s">
        <v>825</v>
      </c>
      <c r="C1069" s="67" t="s">
        <v>4454</v>
      </c>
      <c r="D1069" s="68">
        <v>5</v>
      </c>
      <c r="E1069" s="69"/>
      <c r="F1069" s="70">
        <v>20</v>
      </c>
      <c r="G1069" s="67"/>
      <c r="H1069" s="71"/>
      <c r="I1069" s="72"/>
      <c r="J1069" s="72"/>
      <c r="K1069" s="34" t="s">
        <v>65</v>
      </c>
      <c r="L1069" s="79">
        <v>1069</v>
      </c>
      <c r="M1069" s="79"/>
      <c r="N1069" s="74"/>
      <c r="O1069" s="81" t="s">
        <v>944</v>
      </c>
      <c r="P1069">
        <v>1</v>
      </c>
      <c r="Q1069" s="80" t="str">
        <f>REPLACE(INDEX(GroupVertices[Group],MATCH(Edges[[#This Row],[Vertex 1]],GroupVertices[Vertex],0)),1,1,"")</f>
        <v>3</v>
      </c>
      <c r="R1069" s="80" t="str">
        <f>REPLACE(INDEX(GroupVertices[Group],MATCH(Edges[[#This Row],[Vertex 2]],GroupVertices[Vertex],0)),1,1,"")</f>
        <v>3</v>
      </c>
      <c r="S1069" s="34"/>
      <c r="T1069" s="34"/>
      <c r="U1069" s="34"/>
      <c r="V1069" s="34"/>
      <c r="W1069" s="34"/>
      <c r="X1069" s="34"/>
      <c r="Y1069" s="34"/>
      <c r="Z1069" s="34"/>
      <c r="AA1069" s="34"/>
    </row>
    <row r="1070" spans="1:27" ht="15">
      <c r="A1070" s="66" t="s">
        <v>223</v>
      </c>
      <c r="B1070" s="66" t="s">
        <v>826</v>
      </c>
      <c r="C1070" s="67" t="s">
        <v>4454</v>
      </c>
      <c r="D1070" s="68">
        <v>5</v>
      </c>
      <c r="E1070" s="69"/>
      <c r="F1070" s="70">
        <v>20</v>
      </c>
      <c r="G1070" s="67"/>
      <c r="H1070" s="71"/>
      <c r="I1070" s="72"/>
      <c r="J1070" s="72"/>
      <c r="K1070" s="34" t="s">
        <v>65</v>
      </c>
      <c r="L1070" s="79">
        <v>1070</v>
      </c>
      <c r="M1070" s="79"/>
      <c r="N1070" s="74"/>
      <c r="O1070" s="81" t="s">
        <v>944</v>
      </c>
      <c r="P1070">
        <v>1</v>
      </c>
      <c r="Q1070" s="80" t="str">
        <f>REPLACE(INDEX(GroupVertices[Group],MATCH(Edges[[#This Row],[Vertex 1]],GroupVertices[Vertex],0)),1,1,"")</f>
        <v>3</v>
      </c>
      <c r="R1070" s="80" t="str">
        <f>REPLACE(INDEX(GroupVertices[Group],MATCH(Edges[[#This Row],[Vertex 2]],GroupVertices[Vertex],0)),1,1,"")</f>
        <v>3</v>
      </c>
      <c r="S1070" s="34"/>
      <c r="T1070" s="34"/>
      <c r="U1070" s="34"/>
      <c r="V1070" s="34"/>
      <c r="W1070" s="34"/>
      <c r="X1070" s="34"/>
      <c r="Y1070" s="34"/>
      <c r="Z1070" s="34"/>
      <c r="AA1070" s="34"/>
    </row>
    <row r="1071" spans="1:27" ht="15">
      <c r="A1071" s="66" t="s">
        <v>254</v>
      </c>
      <c r="B1071" s="66" t="s">
        <v>826</v>
      </c>
      <c r="C1071" s="67" t="s">
        <v>4454</v>
      </c>
      <c r="D1071" s="68">
        <v>5</v>
      </c>
      <c r="E1071" s="69"/>
      <c r="F1071" s="70">
        <v>20</v>
      </c>
      <c r="G1071" s="67"/>
      <c r="H1071" s="71"/>
      <c r="I1071" s="72"/>
      <c r="J1071" s="72"/>
      <c r="K1071" s="34" t="s">
        <v>65</v>
      </c>
      <c r="L1071" s="79">
        <v>1071</v>
      </c>
      <c r="M1071" s="79"/>
      <c r="N1071" s="74"/>
      <c r="O1071" s="81" t="s">
        <v>944</v>
      </c>
      <c r="P1071">
        <v>1</v>
      </c>
      <c r="Q1071" s="80" t="str">
        <f>REPLACE(INDEX(GroupVertices[Group],MATCH(Edges[[#This Row],[Vertex 1]],GroupVertices[Vertex],0)),1,1,"")</f>
        <v>3</v>
      </c>
      <c r="R1071" s="80" t="str">
        <f>REPLACE(INDEX(GroupVertices[Group],MATCH(Edges[[#This Row],[Vertex 2]],GroupVertices[Vertex],0)),1,1,"")</f>
        <v>3</v>
      </c>
      <c r="S1071" s="34"/>
      <c r="T1071" s="34"/>
      <c r="U1071" s="34"/>
      <c r="V1071" s="34"/>
      <c r="W1071" s="34"/>
      <c r="X1071" s="34"/>
      <c r="Y1071" s="34"/>
      <c r="Z1071" s="34"/>
      <c r="AA1071" s="34"/>
    </row>
    <row r="1072" spans="1:27" ht="15">
      <c r="A1072" s="66" t="s">
        <v>254</v>
      </c>
      <c r="B1072" s="66" t="s">
        <v>827</v>
      </c>
      <c r="C1072" s="67" t="s">
        <v>4454</v>
      </c>
      <c r="D1072" s="68">
        <v>5</v>
      </c>
      <c r="E1072" s="69"/>
      <c r="F1072" s="70">
        <v>20</v>
      </c>
      <c r="G1072" s="67"/>
      <c r="H1072" s="71"/>
      <c r="I1072" s="72"/>
      <c r="J1072" s="72"/>
      <c r="K1072" s="34"/>
      <c r="L1072" s="79">
        <v>1072</v>
      </c>
      <c r="M1072" s="79"/>
      <c r="N1072" s="74"/>
      <c r="O1072" s="81" t="s">
        <v>944</v>
      </c>
      <c r="P1072">
        <v>1</v>
      </c>
      <c r="Q1072" s="80" t="str">
        <f>REPLACE(INDEX(GroupVertices[Group],MATCH(Edges[[#This Row],[Vertex 1]],GroupVertices[Vertex],0)),1,1,"")</f>
        <v>3</v>
      </c>
      <c r="R1072" s="80" t="e">
        <f>REPLACE(INDEX(GroupVertices[Group],MATCH(Edges[[#This Row],[Vertex 2]],GroupVertices[Vertex],0)),1,1,"")</f>
        <v>#N/A</v>
      </c>
      <c r="S1072" s="34"/>
      <c r="T1072" s="34"/>
      <c r="U1072" s="34"/>
      <c r="V1072" s="34"/>
      <c r="W1072" s="34"/>
      <c r="X1072" s="34"/>
      <c r="Y1072" s="34"/>
      <c r="Z1072" s="34"/>
      <c r="AA1072" s="34"/>
    </row>
    <row r="1073" spans="1:27" ht="15">
      <c r="A1073" s="66" t="s">
        <v>254</v>
      </c>
      <c r="B1073" s="66" t="s">
        <v>828</v>
      </c>
      <c r="C1073" s="67" t="s">
        <v>4454</v>
      </c>
      <c r="D1073" s="68">
        <v>5</v>
      </c>
      <c r="E1073" s="69"/>
      <c r="F1073" s="70">
        <v>20</v>
      </c>
      <c r="G1073" s="67"/>
      <c r="H1073" s="71"/>
      <c r="I1073" s="72"/>
      <c r="J1073" s="72"/>
      <c r="K1073" s="34"/>
      <c r="L1073" s="79">
        <v>1073</v>
      </c>
      <c r="M1073" s="79"/>
      <c r="N1073" s="74"/>
      <c r="O1073" s="81" t="s">
        <v>944</v>
      </c>
      <c r="P1073">
        <v>1</v>
      </c>
      <c r="Q1073" s="80" t="str">
        <f>REPLACE(INDEX(GroupVertices[Group],MATCH(Edges[[#This Row],[Vertex 1]],GroupVertices[Vertex],0)),1,1,"")</f>
        <v>3</v>
      </c>
      <c r="R1073" s="80" t="e">
        <f>REPLACE(INDEX(GroupVertices[Group],MATCH(Edges[[#This Row],[Vertex 2]],GroupVertices[Vertex],0)),1,1,"")</f>
        <v>#N/A</v>
      </c>
      <c r="S1073" s="34"/>
      <c r="T1073" s="34"/>
      <c r="U1073" s="34"/>
      <c r="V1073" s="34"/>
      <c r="W1073" s="34"/>
      <c r="X1073" s="34"/>
      <c r="Y1073" s="34"/>
      <c r="Z1073" s="34"/>
      <c r="AA1073" s="34"/>
    </row>
    <row r="1074" spans="1:27" ht="15">
      <c r="A1074" s="66" t="s">
        <v>223</v>
      </c>
      <c r="B1074" s="66" t="s">
        <v>829</v>
      </c>
      <c r="C1074" s="67" t="s">
        <v>4454</v>
      </c>
      <c r="D1074" s="68">
        <v>5</v>
      </c>
      <c r="E1074" s="69"/>
      <c r="F1074" s="70">
        <v>20</v>
      </c>
      <c r="G1074" s="67"/>
      <c r="H1074" s="71"/>
      <c r="I1074" s="72"/>
      <c r="J1074" s="72"/>
      <c r="K1074" s="34" t="s">
        <v>65</v>
      </c>
      <c r="L1074" s="79">
        <v>1074</v>
      </c>
      <c r="M1074" s="79"/>
      <c r="N1074" s="74"/>
      <c r="O1074" s="81" t="s">
        <v>944</v>
      </c>
      <c r="P1074">
        <v>1</v>
      </c>
      <c r="Q1074" s="80" t="str">
        <f>REPLACE(INDEX(GroupVertices[Group],MATCH(Edges[[#This Row],[Vertex 1]],GroupVertices[Vertex],0)),1,1,"")</f>
        <v>3</v>
      </c>
      <c r="R1074" s="80" t="str">
        <f>REPLACE(INDEX(GroupVertices[Group],MATCH(Edges[[#This Row],[Vertex 2]],GroupVertices[Vertex],0)),1,1,"")</f>
        <v>3</v>
      </c>
      <c r="S1074" s="34"/>
      <c r="T1074" s="34"/>
      <c r="U1074" s="34"/>
      <c r="V1074" s="34"/>
      <c r="W1074" s="34"/>
      <c r="X1074" s="34"/>
      <c r="Y1074" s="34"/>
      <c r="Z1074" s="34"/>
      <c r="AA1074" s="34"/>
    </row>
    <row r="1075" spans="1:27" ht="15">
      <c r="A1075" s="66" t="s">
        <v>254</v>
      </c>
      <c r="B1075" s="66" t="s">
        <v>829</v>
      </c>
      <c r="C1075" s="67" t="s">
        <v>4454</v>
      </c>
      <c r="D1075" s="68">
        <v>5</v>
      </c>
      <c r="E1075" s="69"/>
      <c r="F1075" s="70">
        <v>20</v>
      </c>
      <c r="G1075" s="67"/>
      <c r="H1075" s="71"/>
      <c r="I1075" s="72"/>
      <c r="J1075" s="72"/>
      <c r="K1075" s="34" t="s">
        <v>65</v>
      </c>
      <c r="L1075" s="79">
        <v>1075</v>
      </c>
      <c r="M1075" s="79"/>
      <c r="N1075" s="74"/>
      <c r="O1075" s="81" t="s">
        <v>944</v>
      </c>
      <c r="P1075">
        <v>1</v>
      </c>
      <c r="Q1075" s="80" t="str">
        <f>REPLACE(INDEX(GroupVertices[Group],MATCH(Edges[[#This Row],[Vertex 1]],GroupVertices[Vertex],0)),1,1,"")</f>
        <v>3</v>
      </c>
      <c r="R1075" s="80" t="str">
        <f>REPLACE(INDEX(GroupVertices[Group],MATCH(Edges[[#This Row],[Vertex 2]],GroupVertices[Vertex],0)),1,1,"")</f>
        <v>3</v>
      </c>
      <c r="S1075" s="34"/>
      <c r="T1075" s="34"/>
      <c r="U1075" s="34"/>
      <c r="V1075" s="34"/>
      <c r="W1075" s="34"/>
      <c r="X1075" s="34"/>
      <c r="Y1075" s="34"/>
      <c r="Z1075" s="34"/>
      <c r="AA1075" s="34"/>
    </row>
    <row r="1076" spans="1:27" ht="15">
      <c r="A1076" s="66" t="s">
        <v>215</v>
      </c>
      <c r="B1076" s="66" t="s">
        <v>830</v>
      </c>
      <c r="C1076" s="67" t="s">
        <v>4454</v>
      </c>
      <c r="D1076" s="68">
        <v>5</v>
      </c>
      <c r="E1076" s="69"/>
      <c r="F1076" s="70">
        <v>20</v>
      </c>
      <c r="G1076" s="67"/>
      <c r="H1076" s="71"/>
      <c r="I1076" s="72"/>
      <c r="J1076" s="72"/>
      <c r="K1076" s="34" t="s">
        <v>65</v>
      </c>
      <c r="L1076" s="79">
        <v>1076</v>
      </c>
      <c r="M1076" s="79"/>
      <c r="N1076" s="74"/>
      <c r="O1076" s="81" t="s">
        <v>944</v>
      </c>
      <c r="P1076">
        <v>1</v>
      </c>
      <c r="Q1076" s="80" t="str">
        <f>REPLACE(INDEX(GroupVertices[Group],MATCH(Edges[[#This Row],[Vertex 1]],GroupVertices[Vertex],0)),1,1,"")</f>
        <v>3</v>
      </c>
      <c r="R1076" s="80" t="str">
        <f>REPLACE(INDEX(GroupVertices[Group],MATCH(Edges[[#This Row],[Vertex 2]],GroupVertices[Vertex],0)),1,1,"")</f>
        <v>3</v>
      </c>
      <c r="S1076" s="34"/>
      <c r="T1076" s="34"/>
      <c r="U1076" s="34"/>
      <c r="V1076" s="34"/>
      <c r="W1076" s="34"/>
      <c r="X1076" s="34"/>
      <c r="Y1076" s="34"/>
      <c r="Z1076" s="34"/>
      <c r="AA1076" s="34"/>
    </row>
    <row r="1077" spans="1:27" ht="15">
      <c r="A1077" s="66" t="s">
        <v>223</v>
      </c>
      <c r="B1077" s="66" t="s">
        <v>830</v>
      </c>
      <c r="C1077" s="67" t="s">
        <v>4454</v>
      </c>
      <c r="D1077" s="68">
        <v>5</v>
      </c>
      <c r="E1077" s="69"/>
      <c r="F1077" s="70">
        <v>20</v>
      </c>
      <c r="G1077" s="67"/>
      <c r="H1077" s="71"/>
      <c r="I1077" s="72"/>
      <c r="J1077" s="72"/>
      <c r="K1077" s="34" t="s">
        <v>65</v>
      </c>
      <c r="L1077" s="79">
        <v>1077</v>
      </c>
      <c r="M1077" s="79"/>
      <c r="N1077" s="74"/>
      <c r="O1077" s="81" t="s">
        <v>944</v>
      </c>
      <c r="P1077">
        <v>1</v>
      </c>
      <c r="Q1077" s="80" t="str">
        <f>REPLACE(INDEX(GroupVertices[Group],MATCH(Edges[[#This Row],[Vertex 1]],GroupVertices[Vertex],0)),1,1,"")</f>
        <v>3</v>
      </c>
      <c r="R1077" s="80" t="str">
        <f>REPLACE(INDEX(GroupVertices[Group],MATCH(Edges[[#This Row],[Vertex 2]],GroupVertices[Vertex],0)),1,1,"")</f>
        <v>3</v>
      </c>
      <c r="S1077" s="34"/>
      <c r="T1077" s="34"/>
      <c r="U1077" s="34"/>
      <c r="V1077" s="34"/>
      <c r="W1077" s="34"/>
      <c r="X1077" s="34"/>
      <c r="Y1077" s="34"/>
      <c r="Z1077" s="34"/>
      <c r="AA1077" s="34"/>
    </row>
    <row r="1078" spans="1:27" ht="15">
      <c r="A1078" s="66" t="s">
        <v>239</v>
      </c>
      <c r="B1078" s="66" t="s">
        <v>830</v>
      </c>
      <c r="C1078" s="67" t="s">
        <v>4454</v>
      </c>
      <c r="D1078" s="68">
        <v>5</v>
      </c>
      <c r="E1078" s="69"/>
      <c r="F1078" s="70">
        <v>20</v>
      </c>
      <c r="G1078" s="67"/>
      <c r="H1078" s="71"/>
      <c r="I1078" s="72"/>
      <c r="J1078" s="72"/>
      <c r="K1078" s="34" t="s">
        <v>65</v>
      </c>
      <c r="L1078" s="79">
        <v>1078</v>
      </c>
      <c r="M1078" s="79"/>
      <c r="N1078" s="74"/>
      <c r="O1078" s="81" t="s">
        <v>944</v>
      </c>
      <c r="P1078">
        <v>1</v>
      </c>
      <c r="Q1078" s="80" t="str">
        <f>REPLACE(INDEX(GroupVertices[Group],MATCH(Edges[[#This Row],[Vertex 1]],GroupVertices[Vertex],0)),1,1,"")</f>
        <v>3</v>
      </c>
      <c r="R1078" s="80" t="str">
        <f>REPLACE(INDEX(GroupVertices[Group],MATCH(Edges[[#This Row],[Vertex 2]],GroupVertices[Vertex],0)),1,1,"")</f>
        <v>3</v>
      </c>
      <c r="S1078" s="34"/>
      <c r="T1078" s="34"/>
      <c r="U1078" s="34"/>
      <c r="V1078" s="34"/>
      <c r="W1078" s="34"/>
      <c r="X1078" s="34"/>
      <c r="Y1078" s="34"/>
      <c r="Z1078" s="34"/>
      <c r="AA1078" s="34"/>
    </row>
    <row r="1079" spans="1:27" ht="15">
      <c r="A1079" s="66" t="s">
        <v>254</v>
      </c>
      <c r="B1079" s="66" t="s">
        <v>830</v>
      </c>
      <c r="C1079" s="67" t="s">
        <v>4454</v>
      </c>
      <c r="D1079" s="68">
        <v>5</v>
      </c>
      <c r="E1079" s="69"/>
      <c r="F1079" s="70">
        <v>20</v>
      </c>
      <c r="G1079" s="67"/>
      <c r="H1079" s="71"/>
      <c r="I1079" s="72"/>
      <c r="J1079" s="72"/>
      <c r="K1079" s="34" t="s">
        <v>65</v>
      </c>
      <c r="L1079" s="79">
        <v>1079</v>
      </c>
      <c r="M1079" s="79"/>
      <c r="N1079" s="74"/>
      <c r="O1079" s="81" t="s">
        <v>944</v>
      </c>
      <c r="P1079">
        <v>1</v>
      </c>
      <c r="Q1079" s="80" t="str">
        <f>REPLACE(INDEX(GroupVertices[Group],MATCH(Edges[[#This Row],[Vertex 1]],GroupVertices[Vertex],0)),1,1,"")</f>
        <v>3</v>
      </c>
      <c r="R1079" s="80" t="str">
        <f>REPLACE(INDEX(GroupVertices[Group],MATCH(Edges[[#This Row],[Vertex 2]],GroupVertices[Vertex],0)),1,1,"")</f>
        <v>3</v>
      </c>
      <c r="S1079" s="34"/>
      <c r="T1079" s="34"/>
      <c r="U1079" s="34"/>
      <c r="V1079" s="34"/>
      <c r="W1079" s="34"/>
      <c r="X1079" s="34"/>
      <c r="Y1079" s="34"/>
      <c r="Z1079" s="34"/>
      <c r="AA1079" s="34"/>
    </row>
    <row r="1080" spans="1:27" ht="15">
      <c r="A1080" s="66" t="s">
        <v>216</v>
      </c>
      <c r="B1080" s="66" t="s">
        <v>738</v>
      </c>
      <c r="C1080" s="67" t="s">
        <v>4454</v>
      </c>
      <c r="D1080" s="68">
        <v>5</v>
      </c>
      <c r="E1080" s="69"/>
      <c r="F1080" s="70">
        <v>20</v>
      </c>
      <c r="G1080" s="67"/>
      <c r="H1080" s="71"/>
      <c r="I1080" s="72"/>
      <c r="J1080" s="72"/>
      <c r="K1080" s="34" t="s">
        <v>65</v>
      </c>
      <c r="L1080" s="79">
        <v>1080</v>
      </c>
      <c r="M1080" s="79"/>
      <c r="N1080" s="74"/>
      <c r="O1080" s="81" t="s">
        <v>944</v>
      </c>
      <c r="P1080">
        <v>1</v>
      </c>
      <c r="Q1080" s="80" t="str">
        <f>REPLACE(INDEX(GroupVertices[Group],MATCH(Edges[[#This Row],[Vertex 1]],GroupVertices[Vertex],0)),1,1,"")</f>
        <v>3</v>
      </c>
      <c r="R1080" s="80" t="str">
        <f>REPLACE(INDEX(GroupVertices[Group],MATCH(Edges[[#This Row],[Vertex 2]],GroupVertices[Vertex],0)),1,1,"")</f>
        <v>1</v>
      </c>
      <c r="S1080" s="34"/>
      <c r="T1080" s="34"/>
      <c r="U1080" s="34"/>
      <c r="V1080" s="34"/>
      <c r="W1080" s="34"/>
      <c r="X1080" s="34"/>
      <c r="Y1080" s="34"/>
      <c r="Z1080" s="34"/>
      <c r="AA1080" s="34"/>
    </row>
    <row r="1081" spans="1:27" ht="15">
      <c r="A1081" s="66" t="s">
        <v>228</v>
      </c>
      <c r="B1081" s="66" t="s">
        <v>738</v>
      </c>
      <c r="C1081" s="67" t="s">
        <v>4454</v>
      </c>
      <c r="D1081" s="68">
        <v>5</v>
      </c>
      <c r="E1081" s="69"/>
      <c r="F1081" s="70">
        <v>20</v>
      </c>
      <c r="G1081" s="67"/>
      <c r="H1081" s="71"/>
      <c r="I1081" s="72"/>
      <c r="J1081" s="72"/>
      <c r="K1081" s="34" t="s">
        <v>65</v>
      </c>
      <c r="L1081" s="79">
        <v>1081</v>
      </c>
      <c r="M1081" s="79"/>
      <c r="N1081" s="74"/>
      <c r="O1081" s="81" t="s">
        <v>944</v>
      </c>
      <c r="P1081">
        <v>1</v>
      </c>
      <c r="Q1081" s="80" t="str">
        <f>REPLACE(INDEX(GroupVertices[Group],MATCH(Edges[[#This Row],[Vertex 1]],GroupVertices[Vertex],0)),1,1,"")</f>
        <v>3</v>
      </c>
      <c r="R1081" s="80" t="str">
        <f>REPLACE(INDEX(GroupVertices[Group],MATCH(Edges[[#This Row],[Vertex 2]],GroupVertices[Vertex],0)),1,1,"")</f>
        <v>1</v>
      </c>
      <c r="S1081" s="34"/>
      <c r="T1081" s="34"/>
      <c r="U1081" s="34"/>
      <c r="V1081" s="34"/>
      <c r="W1081" s="34"/>
      <c r="X1081" s="34"/>
      <c r="Y1081" s="34"/>
      <c r="Z1081" s="34"/>
      <c r="AA1081" s="34"/>
    </row>
    <row r="1082" spans="1:27" ht="15">
      <c r="A1082" s="66" t="s">
        <v>231</v>
      </c>
      <c r="B1082" s="66" t="s">
        <v>738</v>
      </c>
      <c r="C1082" s="67" t="s">
        <v>4454</v>
      </c>
      <c r="D1082" s="68">
        <v>5</v>
      </c>
      <c r="E1082" s="69"/>
      <c r="F1082" s="70">
        <v>20</v>
      </c>
      <c r="G1082" s="67"/>
      <c r="H1082" s="71"/>
      <c r="I1082" s="72"/>
      <c r="J1082" s="72"/>
      <c r="K1082" s="34" t="s">
        <v>65</v>
      </c>
      <c r="L1082" s="79">
        <v>1082</v>
      </c>
      <c r="M1082" s="79"/>
      <c r="N1082" s="74"/>
      <c r="O1082" s="81" t="s">
        <v>944</v>
      </c>
      <c r="P1082">
        <v>1</v>
      </c>
      <c r="Q1082" s="80" t="str">
        <f>REPLACE(INDEX(GroupVertices[Group],MATCH(Edges[[#This Row],[Vertex 1]],GroupVertices[Vertex],0)),1,1,"")</f>
        <v>1</v>
      </c>
      <c r="R1082" s="80" t="str">
        <f>REPLACE(INDEX(GroupVertices[Group],MATCH(Edges[[#This Row],[Vertex 2]],GroupVertices[Vertex],0)),1,1,"")</f>
        <v>1</v>
      </c>
      <c r="S1082" s="34"/>
      <c r="T1082" s="34"/>
      <c r="U1082" s="34"/>
      <c r="V1082" s="34"/>
      <c r="W1082" s="34"/>
      <c r="X1082" s="34"/>
      <c r="Y1082" s="34"/>
      <c r="Z1082" s="34"/>
      <c r="AA1082" s="34"/>
    </row>
    <row r="1083" spans="1:27" ht="15">
      <c r="A1083" s="66" t="s">
        <v>236</v>
      </c>
      <c r="B1083" s="66" t="s">
        <v>738</v>
      </c>
      <c r="C1083" s="67" t="s">
        <v>4454</v>
      </c>
      <c r="D1083" s="68">
        <v>5</v>
      </c>
      <c r="E1083" s="69"/>
      <c r="F1083" s="70">
        <v>20</v>
      </c>
      <c r="G1083" s="67"/>
      <c r="H1083" s="71"/>
      <c r="I1083" s="72"/>
      <c r="J1083" s="72"/>
      <c r="K1083" s="34" t="s">
        <v>65</v>
      </c>
      <c r="L1083" s="79">
        <v>1083</v>
      </c>
      <c r="M1083" s="79"/>
      <c r="N1083" s="74"/>
      <c r="O1083" s="81" t="s">
        <v>944</v>
      </c>
      <c r="P1083">
        <v>1</v>
      </c>
      <c r="Q1083" s="80" t="str">
        <f>REPLACE(INDEX(GroupVertices[Group],MATCH(Edges[[#This Row],[Vertex 1]],GroupVertices[Vertex],0)),1,1,"")</f>
        <v>1</v>
      </c>
      <c r="R1083" s="80" t="str">
        <f>REPLACE(INDEX(GroupVertices[Group],MATCH(Edges[[#This Row],[Vertex 2]],GroupVertices[Vertex],0)),1,1,"")</f>
        <v>1</v>
      </c>
      <c r="S1083" s="34"/>
      <c r="T1083" s="34"/>
      <c r="U1083" s="34"/>
      <c r="V1083" s="34"/>
      <c r="W1083" s="34"/>
      <c r="X1083" s="34"/>
      <c r="Y1083" s="34"/>
      <c r="Z1083" s="34"/>
      <c r="AA1083" s="34"/>
    </row>
    <row r="1084" spans="1:27" ht="15">
      <c r="A1084" s="66" t="s">
        <v>248</v>
      </c>
      <c r="B1084" s="66" t="s">
        <v>738</v>
      </c>
      <c r="C1084" s="67" t="s">
        <v>4454</v>
      </c>
      <c r="D1084" s="68">
        <v>5</v>
      </c>
      <c r="E1084" s="69"/>
      <c r="F1084" s="70">
        <v>20</v>
      </c>
      <c r="G1084" s="67"/>
      <c r="H1084" s="71"/>
      <c r="I1084" s="72"/>
      <c r="J1084" s="72"/>
      <c r="K1084" s="34" t="s">
        <v>65</v>
      </c>
      <c r="L1084" s="79">
        <v>1084</v>
      </c>
      <c r="M1084" s="79"/>
      <c r="N1084" s="74"/>
      <c r="O1084" s="81" t="s">
        <v>944</v>
      </c>
      <c r="P1084">
        <v>1</v>
      </c>
      <c r="Q1084" s="80" t="str">
        <f>REPLACE(INDEX(GroupVertices[Group],MATCH(Edges[[#This Row],[Vertex 1]],GroupVertices[Vertex],0)),1,1,"")</f>
        <v>1</v>
      </c>
      <c r="R1084" s="80" t="str">
        <f>REPLACE(INDEX(GroupVertices[Group],MATCH(Edges[[#This Row],[Vertex 2]],GroupVertices[Vertex],0)),1,1,"")</f>
        <v>1</v>
      </c>
      <c r="S1084" s="34"/>
      <c r="T1084" s="34"/>
      <c r="U1084" s="34"/>
      <c r="V1084" s="34"/>
      <c r="W1084" s="34"/>
      <c r="X1084" s="34"/>
      <c r="Y1084" s="34"/>
      <c r="Z1084" s="34"/>
      <c r="AA1084" s="34"/>
    </row>
    <row r="1085" spans="1:27" ht="15">
      <c r="A1085" s="66" t="s">
        <v>254</v>
      </c>
      <c r="B1085" s="66" t="s">
        <v>738</v>
      </c>
      <c r="C1085" s="67" t="s">
        <v>4454</v>
      </c>
      <c r="D1085" s="68">
        <v>5</v>
      </c>
      <c r="E1085" s="69"/>
      <c r="F1085" s="70">
        <v>20</v>
      </c>
      <c r="G1085" s="67"/>
      <c r="H1085" s="71"/>
      <c r="I1085" s="72"/>
      <c r="J1085" s="72"/>
      <c r="K1085" s="34" t="s">
        <v>65</v>
      </c>
      <c r="L1085" s="79">
        <v>1085</v>
      </c>
      <c r="M1085" s="79"/>
      <c r="N1085" s="74"/>
      <c r="O1085" s="81" t="s">
        <v>944</v>
      </c>
      <c r="P1085">
        <v>1</v>
      </c>
      <c r="Q1085" s="80" t="str">
        <f>REPLACE(INDEX(GroupVertices[Group],MATCH(Edges[[#This Row],[Vertex 1]],GroupVertices[Vertex],0)),1,1,"")</f>
        <v>3</v>
      </c>
      <c r="R1085" s="80" t="str">
        <f>REPLACE(INDEX(GroupVertices[Group],MATCH(Edges[[#This Row],[Vertex 2]],GroupVertices[Vertex],0)),1,1,"")</f>
        <v>1</v>
      </c>
      <c r="S1085" s="34"/>
      <c r="T1085" s="34"/>
      <c r="U1085" s="34"/>
      <c r="V1085" s="34"/>
      <c r="W1085" s="34"/>
      <c r="X1085" s="34"/>
      <c r="Y1085" s="34"/>
      <c r="Z1085" s="34"/>
      <c r="AA1085" s="34"/>
    </row>
    <row r="1086" spans="1:27" ht="15">
      <c r="A1086" s="66" t="s">
        <v>227</v>
      </c>
      <c r="B1086" s="66" t="s">
        <v>831</v>
      </c>
      <c r="C1086" s="67" t="s">
        <v>4454</v>
      </c>
      <c r="D1086" s="68">
        <v>5</v>
      </c>
      <c r="E1086" s="69"/>
      <c r="F1086" s="70">
        <v>20</v>
      </c>
      <c r="G1086" s="67"/>
      <c r="H1086" s="71"/>
      <c r="I1086" s="72"/>
      <c r="J1086" s="72"/>
      <c r="K1086" s="34" t="s">
        <v>65</v>
      </c>
      <c r="L1086" s="79">
        <v>1086</v>
      </c>
      <c r="M1086" s="79"/>
      <c r="N1086" s="74"/>
      <c r="O1086" s="81" t="s">
        <v>944</v>
      </c>
      <c r="P1086">
        <v>1</v>
      </c>
      <c r="Q1086" s="80" t="str">
        <f>REPLACE(INDEX(GroupVertices[Group],MATCH(Edges[[#This Row],[Vertex 1]],GroupVertices[Vertex],0)),1,1,"")</f>
        <v>3</v>
      </c>
      <c r="R1086" s="80" t="str">
        <f>REPLACE(INDEX(GroupVertices[Group],MATCH(Edges[[#This Row],[Vertex 2]],GroupVertices[Vertex],0)),1,1,"")</f>
        <v>3</v>
      </c>
      <c r="S1086" s="34"/>
      <c r="T1086" s="34"/>
      <c r="U1086" s="34"/>
      <c r="V1086" s="34"/>
      <c r="W1086" s="34"/>
      <c r="X1086" s="34"/>
      <c r="Y1086" s="34"/>
      <c r="Z1086" s="34"/>
      <c r="AA1086" s="34"/>
    </row>
    <row r="1087" spans="1:27" ht="15">
      <c r="A1087" s="66" t="s">
        <v>248</v>
      </c>
      <c r="B1087" s="66" t="s">
        <v>831</v>
      </c>
      <c r="C1087" s="67" t="s">
        <v>4454</v>
      </c>
      <c r="D1087" s="68">
        <v>5</v>
      </c>
      <c r="E1087" s="69"/>
      <c r="F1087" s="70">
        <v>20</v>
      </c>
      <c r="G1087" s="67"/>
      <c r="H1087" s="71"/>
      <c r="I1087" s="72"/>
      <c r="J1087" s="72"/>
      <c r="K1087" s="34" t="s">
        <v>65</v>
      </c>
      <c r="L1087" s="79">
        <v>1087</v>
      </c>
      <c r="M1087" s="79"/>
      <c r="N1087" s="74"/>
      <c r="O1087" s="81" t="s">
        <v>944</v>
      </c>
      <c r="P1087">
        <v>1</v>
      </c>
      <c r="Q1087" s="80" t="str">
        <f>REPLACE(INDEX(GroupVertices[Group],MATCH(Edges[[#This Row],[Vertex 1]],GroupVertices[Vertex],0)),1,1,"")</f>
        <v>1</v>
      </c>
      <c r="R1087" s="80" t="str">
        <f>REPLACE(INDEX(GroupVertices[Group],MATCH(Edges[[#This Row],[Vertex 2]],GroupVertices[Vertex],0)),1,1,"")</f>
        <v>3</v>
      </c>
      <c r="S1087" s="34"/>
      <c r="T1087" s="34"/>
      <c r="U1087" s="34"/>
      <c r="V1087" s="34"/>
      <c r="W1087" s="34"/>
      <c r="X1087" s="34"/>
      <c r="Y1087" s="34"/>
      <c r="Z1087" s="34"/>
      <c r="AA1087" s="34"/>
    </row>
    <row r="1088" spans="1:27" ht="15">
      <c r="A1088" s="66" t="s">
        <v>254</v>
      </c>
      <c r="B1088" s="66" t="s">
        <v>831</v>
      </c>
      <c r="C1088" s="67" t="s">
        <v>4454</v>
      </c>
      <c r="D1088" s="68">
        <v>5</v>
      </c>
      <c r="E1088" s="69"/>
      <c r="F1088" s="70">
        <v>20</v>
      </c>
      <c r="G1088" s="67"/>
      <c r="H1088" s="71"/>
      <c r="I1088" s="72"/>
      <c r="J1088" s="72"/>
      <c r="K1088" s="34" t="s">
        <v>65</v>
      </c>
      <c r="L1088" s="79">
        <v>1088</v>
      </c>
      <c r="M1088" s="79"/>
      <c r="N1088" s="74"/>
      <c r="O1088" s="81" t="s">
        <v>944</v>
      </c>
      <c r="P1088">
        <v>1</v>
      </c>
      <c r="Q1088" s="80" t="str">
        <f>REPLACE(INDEX(GroupVertices[Group],MATCH(Edges[[#This Row],[Vertex 1]],GroupVertices[Vertex],0)),1,1,"")</f>
        <v>3</v>
      </c>
      <c r="R1088" s="80" t="str">
        <f>REPLACE(INDEX(GroupVertices[Group],MATCH(Edges[[#This Row],[Vertex 2]],GroupVertices[Vertex],0)),1,1,"")</f>
        <v>3</v>
      </c>
      <c r="S1088" s="34"/>
      <c r="T1088" s="34"/>
      <c r="U1088" s="34"/>
      <c r="V1088" s="34"/>
      <c r="W1088" s="34"/>
      <c r="X1088" s="34"/>
      <c r="Y1088" s="34"/>
      <c r="Z1088" s="34"/>
      <c r="AA1088" s="34"/>
    </row>
    <row r="1089" spans="1:27" ht="15">
      <c r="A1089" s="66" t="s">
        <v>217</v>
      </c>
      <c r="B1089" s="66" t="s">
        <v>832</v>
      </c>
      <c r="C1089" s="67" t="s">
        <v>4454</v>
      </c>
      <c r="D1089" s="68">
        <v>5</v>
      </c>
      <c r="E1089" s="69"/>
      <c r="F1089" s="70">
        <v>20</v>
      </c>
      <c r="G1089" s="67"/>
      <c r="H1089" s="71"/>
      <c r="I1089" s="72"/>
      <c r="J1089" s="72"/>
      <c r="K1089" s="34" t="s">
        <v>65</v>
      </c>
      <c r="L1089" s="79">
        <v>1089</v>
      </c>
      <c r="M1089" s="79"/>
      <c r="N1089" s="74"/>
      <c r="O1089" s="81" t="s">
        <v>944</v>
      </c>
      <c r="P1089">
        <v>1</v>
      </c>
      <c r="Q1089" s="80" t="str">
        <f>REPLACE(INDEX(GroupVertices[Group],MATCH(Edges[[#This Row],[Vertex 1]],GroupVertices[Vertex],0)),1,1,"")</f>
        <v>4</v>
      </c>
      <c r="R1089" s="80" t="str">
        <f>REPLACE(INDEX(GroupVertices[Group],MATCH(Edges[[#This Row],[Vertex 2]],GroupVertices[Vertex],0)),1,1,"")</f>
        <v>4</v>
      </c>
      <c r="S1089" s="34"/>
      <c r="T1089" s="34"/>
      <c r="U1089" s="34"/>
      <c r="V1089" s="34"/>
      <c r="W1089" s="34"/>
      <c r="X1089" s="34"/>
      <c r="Y1089" s="34"/>
      <c r="Z1089" s="34"/>
      <c r="AA1089" s="34"/>
    </row>
    <row r="1090" spans="1:27" ht="15">
      <c r="A1090" s="66" t="s">
        <v>253</v>
      </c>
      <c r="B1090" s="66" t="s">
        <v>832</v>
      </c>
      <c r="C1090" s="67" t="s">
        <v>4454</v>
      </c>
      <c r="D1090" s="68">
        <v>5</v>
      </c>
      <c r="E1090" s="69"/>
      <c r="F1090" s="70">
        <v>20</v>
      </c>
      <c r="G1090" s="67"/>
      <c r="H1090" s="71"/>
      <c r="I1090" s="72"/>
      <c r="J1090" s="72"/>
      <c r="K1090" s="34" t="s">
        <v>65</v>
      </c>
      <c r="L1090" s="79">
        <v>1090</v>
      </c>
      <c r="M1090" s="79"/>
      <c r="N1090" s="74"/>
      <c r="O1090" s="81" t="s">
        <v>944</v>
      </c>
      <c r="P1090">
        <v>1</v>
      </c>
      <c r="Q1090" s="80" t="str">
        <f>REPLACE(INDEX(GroupVertices[Group],MATCH(Edges[[#This Row],[Vertex 1]],GroupVertices[Vertex],0)),1,1,"")</f>
        <v>1</v>
      </c>
      <c r="R1090" s="80" t="str">
        <f>REPLACE(INDEX(GroupVertices[Group],MATCH(Edges[[#This Row],[Vertex 2]],GroupVertices[Vertex],0)),1,1,"")</f>
        <v>4</v>
      </c>
      <c r="S1090" s="34"/>
      <c r="T1090" s="34"/>
      <c r="U1090" s="34"/>
      <c r="V1090" s="34"/>
      <c r="W1090" s="34"/>
      <c r="X1090" s="34"/>
      <c r="Y1090" s="34"/>
      <c r="Z1090" s="34"/>
      <c r="AA1090" s="34"/>
    </row>
    <row r="1091" spans="1:27" ht="15">
      <c r="A1091" s="66" t="s">
        <v>254</v>
      </c>
      <c r="B1091" s="66" t="s">
        <v>832</v>
      </c>
      <c r="C1091" s="67" t="s">
        <v>4454</v>
      </c>
      <c r="D1091" s="68">
        <v>5</v>
      </c>
      <c r="E1091" s="69"/>
      <c r="F1091" s="70">
        <v>20</v>
      </c>
      <c r="G1091" s="67"/>
      <c r="H1091" s="71"/>
      <c r="I1091" s="72"/>
      <c r="J1091" s="72"/>
      <c r="K1091" s="34" t="s">
        <v>65</v>
      </c>
      <c r="L1091" s="79">
        <v>1091</v>
      </c>
      <c r="M1091" s="79"/>
      <c r="N1091" s="74"/>
      <c r="O1091" s="81" t="s">
        <v>944</v>
      </c>
      <c r="P1091">
        <v>1</v>
      </c>
      <c r="Q1091" s="80" t="str">
        <f>REPLACE(INDEX(GroupVertices[Group],MATCH(Edges[[#This Row],[Vertex 1]],GroupVertices[Vertex],0)),1,1,"")</f>
        <v>3</v>
      </c>
      <c r="R1091" s="80" t="str">
        <f>REPLACE(INDEX(GroupVertices[Group],MATCH(Edges[[#This Row],[Vertex 2]],GroupVertices[Vertex],0)),1,1,"")</f>
        <v>4</v>
      </c>
      <c r="S1091" s="34"/>
      <c r="T1091" s="34"/>
      <c r="U1091" s="34"/>
      <c r="V1091" s="34"/>
      <c r="W1091" s="34"/>
      <c r="X1091" s="34"/>
      <c r="Y1091" s="34"/>
      <c r="Z1091" s="34"/>
      <c r="AA1091" s="34"/>
    </row>
    <row r="1092" spans="1:27" ht="15">
      <c r="A1092" s="66" t="s">
        <v>242</v>
      </c>
      <c r="B1092" s="66" t="s">
        <v>833</v>
      </c>
      <c r="C1092" s="67" t="s">
        <v>4454</v>
      </c>
      <c r="D1092" s="68">
        <v>5</v>
      </c>
      <c r="E1092" s="69"/>
      <c r="F1092" s="70">
        <v>20</v>
      </c>
      <c r="G1092" s="67"/>
      <c r="H1092" s="71"/>
      <c r="I1092" s="72"/>
      <c r="J1092" s="72"/>
      <c r="K1092" s="34" t="s">
        <v>65</v>
      </c>
      <c r="L1092" s="79">
        <v>1092</v>
      </c>
      <c r="M1092" s="79"/>
      <c r="N1092" s="74"/>
      <c r="O1092" s="81" t="s">
        <v>944</v>
      </c>
      <c r="P1092">
        <v>1</v>
      </c>
      <c r="Q1092" s="80" t="str">
        <f>REPLACE(INDEX(GroupVertices[Group],MATCH(Edges[[#This Row],[Vertex 1]],GroupVertices[Vertex],0)),1,1,"")</f>
        <v>1</v>
      </c>
      <c r="R1092" s="80" t="str">
        <f>REPLACE(INDEX(GroupVertices[Group],MATCH(Edges[[#This Row],[Vertex 2]],GroupVertices[Vertex],0)),1,1,"")</f>
        <v>3</v>
      </c>
      <c r="S1092" s="34"/>
      <c r="T1092" s="34"/>
      <c r="U1092" s="34"/>
      <c r="V1092" s="34"/>
      <c r="W1092" s="34"/>
      <c r="X1092" s="34"/>
      <c r="Y1092" s="34"/>
      <c r="Z1092" s="34"/>
      <c r="AA1092" s="34"/>
    </row>
    <row r="1093" spans="1:27" ht="15">
      <c r="A1093" s="66" t="s">
        <v>254</v>
      </c>
      <c r="B1093" s="66" t="s">
        <v>833</v>
      </c>
      <c r="C1093" s="67" t="s">
        <v>4454</v>
      </c>
      <c r="D1093" s="68">
        <v>5</v>
      </c>
      <c r="E1093" s="69"/>
      <c r="F1093" s="70">
        <v>20</v>
      </c>
      <c r="G1093" s="67"/>
      <c r="H1093" s="71"/>
      <c r="I1093" s="72"/>
      <c r="J1093" s="72"/>
      <c r="K1093" s="34" t="s">
        <v>65</v>
      </c>
      <c r="L1093" s="79">
        <v>1093</v>
      </c>
      <c r="M1093" s="79"/>
      <c r="N1093" s="74"/>
      <c r="O1093" s="81" t="s">
        <v>944</v>
      </c>
      <c r="P1093">
        <v>1</v>
      </c>
      <c r="Q1093" s="80" t="str">
        <f>REPLACE(INDEX(GroupVertices[Group],MATCH(Edges[[#This Row],[Vertex 1]],GroupVertices[Vertex],0)),1,1,"")</f>
        <v>3</v>
      </c>
      <c r="R1093" s="80" t="str">
        <f>REPLACE(INDEX(GroupVertices[Group],MATCH(Edges[[#This Row],[Vertex 2]],GroupVertices[Vertex],0)),1,1,"")</f>
        <v>3</v>
      </c>
      <c r="S1093" s="34"/>
      <c r="T1093" s="34"/>
      <c r="U1093" s="34"/>
      <c r="V1093" s="34"/>
      <c r="W1093" s="34"/>
      <c r="X1093" s="34"/>
      <c r="Y1093" s="34"/>
      <c r="Z1093" s="34"/>
      <c r="AA1093" s="34"/>
    </row>
    <row r="1094" spans="1:27" ht="15">
      <c r="A1094" s="66" t="s">
        <v>254</v>
      </c>
      <c r="B1094" s="66" t="s">
        <v>834</v>
      </c>
      <c r="C1094" s="67" t="s">
        <v>4454</v>
      </c>
      <c r="D1094" s="68">
        <v>5</v>
      </c>
      <c r="E1094" s="69"/>
      <c r="F1094" s="70">
        <v>20</v>
      </c>
      <c r="G1094" s="67"/>
      <c r="H1094" s="71"/>
      <c r="I1094" s="72"/>
      <c r="J1094" s="72"/>
      <c r="K1094" s="34"/>
      <c r="L1094" s="79">
        <v>1094</v>
      </c>
      <c r="M1094" s="79"/>
      <c r="N1094" s="74"/>
      <c r="O1094" s="81" t="s">
        <v>944</v>
      </c>
      <c r="P1094">
        <v>1</v>
      </c>
      <c r="Q1094" s="80" t="str">
        <f>REPLACE(INDEX(GroupVertices[Group],MATCH(Edges[[#This Row],[Vertex 1]],GroupVertices[Vertex],0)),1,1,"")</f>
        <v>3</v>
      </c>
      <c r="R1094" s="80" t="e">
        <f>REPLACE(INDEX(GroupVertices[Group],MATCH(Edges[[#This Row],[Vertex 2]],GroupVertices[Vertex],0)),1,1,"")</f>
        <v>#N/A</v>
      </c>
      <c r="S1094" s="34"/>
      <c r="T1094" s="34"/>
      <c r="U1094" s="34"/>
      <c r="V1094" s="34"/>
      <c r="W1094" s="34"/>
      <c r="X1094" s="34"/>
      <c r="Y1094" s="34"/>
      <c r="Z1094" s="34"/>
      <c r="AA1094" s="34"/>
    </row>
    <row r="1095" spans="1:27" ht="15">
      <c r="A1095" s="66" t="s">
        <v>254</v>
      </c>
      <c r="B1095" s="66" t="s">
        <v>835</v>
      </c>
      <c r="C1095" s="67" t="s">
        <v>4454</v>
      </c>
      <c r="D1095" s="68">
        <v>5</v>
      </c>
      <c r="E1095" s="69"/>
      <c r="F1095" s="70">
        <v>20</v>
      </c>
      <c r="G1095" s="67"/>
      <c r="H1095" s="71"/>
      <c r="I1095" s="72"/>
      <c r="J1095" s="72"/>
      <c r="K1095" s="34"/>
      <c r="L1095" s="79">
        <v>1095</v>
      </c>
      <c r="M1095" s="79"/>
      <c r="N1095" s="74"/>
      <c r="O1095" s="81" t="s">
        <v>944</v>
      </c>
      <c r="P1095">
        <v>1</v>
      </c>
      <c r="Q1095" s="80" t="str">
        <f>REPLACE(INDEX(GroupVertices[Group],MATCH(Edges[[#This Row],[Vertex 1]],GroupVertices[Vertex],0)),1,1,"")</f>
        <v>3</v>
      </c>
      <c r="R1095" s="80" t="e">
        <f>REPLACE(INDEX(GroupVertices[Group],MATCH(Edges[[#This Row],[Vertex 2]],GroupVertices[Vertex],0)),1,1,"")</f>
        <v>#N/A</v>
      </c>
      <c r="S1095" s="34"/>
      <c r="T1095" s="34"/>
      <c r="U1095" s="34"/>
      <c r="V1095" s="34"/>
      <c r="W1095" s="34"/>
      <c r="X1095" s="34"/>
      <c r="Y1095" s="34"/>
      <c r="Z1095" s="34"/>
      <c r="AA1095" s="34"/>
    </row>
    <row r="1096" spans="1:27" ht="15">
      <c r="A1096" s="66" t="s">
        <v>254</v>
      </c>
      <c r="B1096" s="66" t="s">
        <v>836</v>
      </c>
      <c r="C1096" s="67" t="s">
        <v>4454</v>
      </c>
      <c r="D1096" s="68">
        <v>5</v>
      </c>
      <c r="E1096" s="69"/>
      <c r="F1096" s="70">
        <v>20</v>
      </c>
      <c r="G1096" s="67"/>
      <c r="H1096" s="71"/>
      <c r="I1096" s="72"/>
      <c r="J1096" s="72"/>
      <c r="K1096" s="34"/>
      <c r="L1096" s="79">
        <v>1096</v>
      </c>
      <c r="M1096" s="79"/>
      <c r="N1096" s="74"/>
      <c r="O1096" s="81" t="s">
        <v>944</v>
      </c>
      <c r="P1096">
        <v>1</v>
      </c>
      <c r="Q1096" s="80" t="str">
        <f>REPLACE(INDEX(GroupVertices[Group],MATCH(Edges[[#This Row],[Vertex 1]],GroupVertices[Vertex],0)),1,1,"")</f>
        <v>3</v>
      </c>
      <c r="R1096" s="80" t="e">
        <f>REPLACE(INDEX(GroupVertices[Group],MATCH(Edges[[#This Row],[Vertex 2]],GroupVertices[Vertex],0)),1,1,"")</f>
        <v>#N/A</v>
      </c>
      <c r="S1096" s="34"/>
      <c r="T1096" s="34"/>
      <c r="U1096" s="34"/>
      <c r="V1096" s="34"/>
      <c r="W1096" s="34"/>
      <c r="X1096" s="34"/>
      <c r="Y1096" s="34"/>
      <c r="Z1096" s="34"/>
      <c r="AA1096" s="34"/>
    </row>
    <row r="1097" spans="1:27" ht="15">
      <c r="A1097" s="66" t="s">
        <v>253</v>
      </c>
      <c r="B1097" s="66" t="s">
        <v>837</v>
      </c>
      <c r="C1097" s="67" t="s">
        <v>4454</v>
      </c>
      <c r="D1097" s="68">
        <v>5</v>
      </c>
      <c r="E1097" s="69"/>
      <c r="F1097" s="70">
        <v>20</v>
      </c>
      <c r="G1097" s="67"/>
      <c r="H1097" s="71"/>
      <c r="I1097" s="72"/>
      <c r="J1097" s="72"/>
      <c r="K1097" s="34" t="s">
        <v>65</v>
      </c>
      <c r="L1097" s="79">
        <v>1097</v>
      </c>
      <c r="M1097" s="79"/>
      <c r="N1097" s="74"/>
      <c r="O1097" s="81" t="s">
        <v>944</v>
      </c>
      <c r="P1097">
        <v>1</v>
      </c>
      <c r="Q1097" s="80" t="str">
        <f>REPLACE(INDEX(GroupVertices[Group],MATCH(Edges[[#This Row],[Vertex 1]],GroupVertices[Vertex],0)),1,1,"")</f>
        <v>1</v>
      </c>
      <c r="R1097" s="80" t="str">
        <f>REPLACE(INDEX(GroupVertices[Group],MATCH(Edges[[#This Row],[Vertex 2]],GroupVertices[Vertex],0)),1,1,"")</f>
        <v>3</v>
      </c>
      <c r="S1097" s="34"/>
      <c r="T1097" s="34"/>
      <c r="U1097" s="34"/>
      <c r="V1097" s="34"/>
      <c r="W1097" s="34"/>
      <c r="X1097" s="34"/>
      <c r="Y1097" s="34"/>
      <c r="Z1097" s="34"/>
      <c r="AA1097" s="34"/>
    </row>
    <row r="1098" spans="1:27" ht="15">
      <c r="A1098" s="66" t="s">
        <v>254</v>
      </c>
      <c r="B1098" s="66" t="s">
        <v>837</v>
      </c>
      <c r="C1098" s="67" t="s">
        <v>4454</v>
      </c>
      <c r="D1098" s="68">
        <v>5</v>
      </c>
      <c r="E1098" s="69"/>
      <c r="F1098" s="70">
        <v>20</v>
      </c>
      <c r="G1098" s="67"/>
      <c r="H1098" s="71"/>
      <c r="I1098" s="72"/>
      <c r="J1098" s="72"/>
      <c r="K1098" s="34" t="s">
        <v>65</v>
      </c>
      <c r="L1098" s="79">
        <v>1098</v>
      </c>
      <c r="M1098" s="79"/>
      <c r="N1098" s="74"/>
      <c r="O1098" s="81" t="s">
        <v>944</v>
      </c>
      <c r="P1098">
        <v>1</v>
      </c>
      <c r="Q1098" s="80" t="str">
        <f>REPLACE(INDEX(GroupVertices[Group],MATCH(Edges[[#This Row],[Vertex 1]],GroupVertices[Vertex],0)),1,1,"")</f>
        <v>3</v>
      </c>
      <c r="R1098" s="80" t="str">
        <f>REPLACE(INDEX(GroupVertices[Group],MATCH(Edges[[#This Row],[Vertex 2]],GroupVertices[Vertex],0)),1,1,"")</f>
        <v>3</v>
      </c>
      <c r="S1098" s="34"/>
      <c r="T1098" s="34"/>
      <c r="U1098" s="34"/>
      <c r="V1098" s="34"/>
      <c r="W1098" s="34"/>
      <c r="X1098" s="34"/>
      <c r="Y1098" s="34"/>
      <c r="Z1098" s="34"/>
      <c r="AA1098" s="34"/>
    </row>
    <row r="1099" spans="1:27" ht="15">
      <c r="A1099" s="66" t="s">
        <v>254</v>
      </c>
      <c r="B1099" s="66" t="s">
        <v>838</v>
      </c>
      <c r="C1099" s="67" t="s">
        <v>4454</v>
      </c>
      <c r="D1099" s="68">
        <v>5</v>
      </c>
      <c r="E1099" s="69"/>
      <c r="F1099" s="70">
        <v>20</v>
      </c>
      <c r="G1099" s="67"/>
      <c r="H1099" s="71"/>
      <c r="I1099" s="72"/>
      <c r="J1099" s="72"/>
      <c r="K1099" s="34"/>
      <c r="L1099" s="79">
        <v>1099</v>
      </c>
      <c r="M1099" s="79"/>
      <c r="N1099" s="74"/>
      <c r="O1099" s="81" t="s">
        <v>944</v>
      </c>
      <c r="P1099">
        <v>1</v>
      </c>
      <c r="Q1099" s="80" t="str">
        <f>REPLACE(INDEX(GroupVertices[Group],MATCH(Edges[[#This Row],[Vertex 1]],GroupVertices[Vertex],0)),1,1,"")</f>
        <v>3</v>
      </c>
      <c r="R1099" s="80" t="e">
        <f>REPLACE(INDEX(GroupVertices[Group],MATCH(Edges[[#This Row],[Vertex 2]],GroupVertices[Vertex],0)),1,1,"")</f>
        <v>#N/A</v>
      </c>
      <c r="S1099" s="34"/>
      <c r="T1099" s="34"/>
      <c r="U1099" s="34"/>
      <c r="V1099" s="34"/>
      <c r="W1099" s="34"/>
      <c r="X1099" s="34"/>
      <c r="Y1099" s="34"/>
      <c r="Z1099" s="34"/>
      <c r="AA1099" s="34"/>
    </row>
    <row r="1100" spans="1:27" ht="15">
      <c r="A1100" s="66" t="s">
        <v>254</v>
      </c>
      <c r="B1100" s="66" t="s">
        <v>839</v>
      </c>
      <c r="C1100" s="67" t="s">
        <v>4454</v>
      </c>
      <c r="D1100" s="68">
        <v>5</v>
      </c>
      <c r="E1100" s="69"/>
      <c r="F1100" s="70">
        <v>20</v>
      </c>
      <c r="G1100" s="67"/>
      <c r="H1100" s="71"/>
      <c r="I1100" s="72"/>
      <c r="J1100" s="72"/>
      <c r="K1100" s="34"/>
      <c r="L1100" s="79">
        <v>1100</v>
      </c>
      <c r="M1100" s="79"/>
      <c r="N1100" s="74"/>
      <c r="O1100" s="81" t="s">
        <v>944</v>
      </c>
      <c r="P1100">
        <v>1</v>
      </c>
      <c r="Q1100" s="80" t="str">
        <f>REPLACE(INDEX(GroupVertices[Group],MATCH(Edges[[#This Row],[Vertex 1]],GroupVertices[Vertex],0)),1,1,"")</f>
        <v>3</v>
      </c>
      <c r="R1100" s="80" t="e">
        <f>REPLACE(INDEX(GroupVertices[Group],MATCH(Edges[[#This Row],[Vertex 2]],GroupVertices[Vertex],0)),1,1,"")</f>
        <v>#N/A</v>
      </c>
      <c r="S1100" s="34"/>
      <c r="T1100" s="34"/>
      <c r="U1100" s="34"/>
      <c r="V1100" s="34"/>
      <c r="W1100" s="34"/>
      <c r="X1100" s="34"/>
      <c r="Y1100" s="34"/>
      <c r="Z1100" s="34"/>
      <c r="AA1100" s="34"/>
    </row>
    <row r="1101" spans="1:27" ht="15">
      <c r="A1101" s="66" t="s">
        <v>254</v>
      </c>
      <c r="B1101" s="66" t="s">
        <v>840</v>
      </c>
      <c r="C1101" s="67" t="s">
        <v>4454</v>
      </c>
      <c r="D1101" s="68">
        <v>5</v>
      </c>
      <c r="E1101" s="69"/>
      <c r="F1101" s="70">
        <v>20</v>
      </c>
      <c r="G1101" s="67"/>
      <c r="H1101" s="71"/>
      <c r="I1101" s="72"/>
      <c r="J1101" s="72"/>
      <c r="K1101" s="34"/>
      <c r="L1101" s="79">
        <v>1101</v>
      </c>
      <c r="M1101" s="79"/>
      <c r="N1101" s="74"/>
      <c r="O1101" s="81" t="s">
        <v>944</v>
      </c>
      <c r="P1101">
        <v>1</v>
      </c>
      <c r="Q1101" s="80" t="str">
        <f>REPLACE(INDEX(GroupVertices[Group],MATCH(Edges[[#This Row],[Vertex 1]],GroupVertices[Vertex],0)),1,1,"")</f>
        <v>3</v>
      </c>
      <c r="R1101" s="80" t="e">
        <f>REPLACE(INDEX(GroupVertices[Group],MATCH(Edges[[#This Row],[Vertex 2]],GroupVertices[Vertex],0)),1,1,"")</f>
        <v>#N/A</v>
      </c>
      <c r="S1101" s="34"/>
      <c r="T1101" s="34"/>
      <c r="U1101" s="34"/>
      <c r="V1101" s="34"/>
      <c r="W1101" s="34"/>
      <c r="X1101" s="34"/>
      <c r="Y1101" s="34"/>
      <c r="Z1101" s="34"/>
      <c r="AA1101" s="34"/>
    </row>
    <row r="1102" spans="1:27" ht="15">
      <c r="A1102" s="66" t="s">
        <v>215</v>
      </c>
      <c r="B1102" s="66" t="s">
        <v>841</v>
      </c>
      <c r="C1102" s="67" t="s">
        <v>4454</v>
      </c>
      <c r="D1102" s="68">
        <v>5</v>
      </c>
      <c r="E1102" s="69"/>
      <c r="F1102" s="70">
        <v>20</v>
      </c>
      <c r="G1102" s="67"/>
      <c r="H1102" s="71"/>
      <c r="I1102" s="72"/>
      <c r="J1102" s="72"/>
      <c r="K1102" s="34" t="s">
        <v>65</v>
      </c>
      <c r="L1102" s="79">
        <v>1102</v>
      </c>
      <c r="M1102" s="79"/>
      <c r="N1102" s="74"/>
      <c r="O1102" s="81" t="s">
        <v>944</v>
      </c>
      <c r="P1102">
        <v>1</v>
      </c>
      <c r="Q1102" s="80" t="str">
        <f>REPLACE(INDEX(GroupVertices[Group],MATCH(Edges[[#This Row],[Vertex 1]],GroupVertices[Vertex],0)),1,1,"")</f>
        <v>3</v>
      </c>
      <c r="R1102" s="80" t="str">
        <f>REPLACE(INDEX(GroupVertices[Group],MATCH(Edges[[#This Row],[Vertex 2]],GroupVertices[Vertex],0)),1,1,"")</f>
        <v>3</v>
      </c>
      <c r="S1102" s="34"/>
      <c r="T1102" s="34"/>
      <c r="U1102" s="34"/>
      <c r="V1102" s="34"/>
      <c r="W1102" s="34"/>
      <c r="X1102" s="34"/>
      <c r="Y1102" s="34"/>
      <c r="Z1102" s="34"/>
      <c r="AA1102" s="34"/>
    </row>
    <row r="1103" spans="1:27" ht="15">
      <c r="A1103" s="66" t="s">
        <v>222</v>
      </c>
      <c r="B1103" s="66" t="s">
        <v>841</v>
      </c>
      <c r="C1103" s="67" t="s">
        <v>4454</v>
      </c>
      <c r="D1103" s="68">
        <v>5</v>
      </c>
      <c r="E1103" s="69"/>
      <c r="F1103" s="70">
        <v>20</v>
      </c>
      <c r="G1103" s="67"/>
      <c r="H1103" s="71"/>
      <c r="I1103" s="72"/>
      <c r="J1103" s="72"/>
      <c r="K1103" s="34" t="s">
        <v>65</v>
      </c>
      <c r="L1103" s="79">
        <v>1103</v>
      </c>
      <c r="M1103" s="79"/>
      <c r="N1103" s="74"/>
      <c r="O1103" s="81" t="s">
        <v>944</v>
      </c>
      <c r="P1103">
        <v>1</v>
      </c>
      <c r="Q1103" s="80" t="str">
        <f>REPLACE(INDEX(GroupVertices[Group],MATCH(Edges[[#This Row],[Vertex 1]],GroupVertices[Vertex],0)),1,1,"")</f>
        <v>2</v>
      </c>
      <c r="R1103" s="80" t="str">
        <f>REPLACE(INDEX(GroupVertices[Group],MATCH(Edges[[#This Row],[Vertex 2]],GroupVertices[Vertex],0)),1,1,"")</f>
        <v>3</v>
      </c>
      <c r="S1103" s="34"/>
      <c r="T1103" s="34"/>
      <c r="U1103" s="34"/>
      <c r="V1103" s="34"/>
      <c r="W1103" s="34"/>
      <c r="X1103" s="34"/>
      <c r="Y1103" s="34"/>
      <c r="Z1103" s="34"/>
      <c r="AA1103" s="34"/>
    </row>
    <row r="1104" spans="1:27" ht="15">
      <c r="A1104" s="66" t="s">
        <v>223</v>
      </c>
      <c r="B1104" s="66" t="s">
        <v>841</v>
      </c>
      <c r="C1104" s="67" t="s">
        <v>4454</v>
      </c>
      <c r="D1104" s="68">
        <v>5</v>
      </c>
      <c r="E1104" s="69"/>
      <c r="F1104" s="70">
        <v>20</v>
      </c>
      <c r="G1104" s="67"/>
      <c r="H1104" s="71"/>
      <c r="I1104" s="72"/>
      <c r="J1104" s="72"/>
      <c r="K1104" s="34" t="s">
        <v>65</v>
      </c>
      <c r="L1104" s="79">
        <v>1104</v>
      </c>
      <c r="M1104" s="79"/>
      <c r="N1104" s="74"/>
      <c r="O1104" s="81" t="s">
        <v>944</v>
      </c>
      <c r="P1104">
        <v>1</v>
      </c>
      <c r="Q1104" s="80" t="str">
        <f>REPLACE(INDEX(GroupVertices[Group],MATCH(Edges[[#This Row],[Vertex 1]],GroupVertices[Vertex],0)),1,1,"")</f>
        <v>3</v>
      </c>
      <c r="R1104" s="80" t="str">
        <f>REPLACE(INDEX(GroupVertices[Group],MATCH(Edges[[#This Row],[Vertex 2]],GroupVertices[Vertex],0)),1,1,"")</f>
        <v>3</v>
      </c>
      <c r="S1104" s="34"/>
      <c r="T1104" s="34"/>
      <c r="U1104" s="34"/>
      <c r="V1104" s="34"/>
      <c r="W1104" s="34"/>
      <c r="X1104" s="34"/>
      <c r="Y1104" s="34"/>
      <c r="Z1104" s="34"/>
      <c r="AA1104" s="34"/>
    </row>
    <row r="1105" spans="1:27" ht="15">
      <c r="A1105" s="66" t="s">
        <v>227</v>
      </c>
      <c r="B1105" s="66" t="s">
        <v>841</v>
      </c>
      <c r="C1105" s="67" t="s">
        <v>4454</v>
      </c>
      <c r="D1105" s="68">
        <v>5</v>
      </c>
      <c r="E1105" s="69"/>
      <c r="F1105" s="70">
        <v>20</v>
      </c>
      <c r="G1105" s="67"/>
      <c r="H1105" s="71"/>
      <c r="I1105" s="72"/>
      <c r="J1105" s="72"/>
      <c r="K1105" s="34" t="s">
        <v>65</v>
      </c>
      <c r="L1105" s="79">
        <v>1105</v>
      </c>
      <c r="M1105" s="79"/>
      <c r="N1105" s="74"/>
      <c r="O1105" s="81" t="s">
        <v>944</v>
      </c>
      <c r="P1105">
        <v>1</v>
      </c>
      <c r="Q1105" s="80" t="str">
        <f>REPLACE(INDEX(GroupVertices[Group],MATCH(Edges[[#This Row],[Vertex 1]],GroupVertices[Vertex],0)),1,1,"")</f>
        <v>3</v>
      </c>
      <c r="R1105" s="80" t="str">
        <f>REPLACE(INDEX(GroupVertices[Group],MATCH(Edges[[#This Row],[Vertex 2]],GroupVertices[Vertex],0)),1,1,"")</f>
        <v>3</v>
      </c>
      <c r="S1105" s="34"/>
      <c r="T1105" s="34"/>
      <c r="U1105" s="34"/>
      <c r="V1105" s="34"/>
      <c r="W1105" s="34"/>
      <c r="X1105" s="34"/>
      <c r="Y1105" s="34"/>
      <c r="Z1105" s="34"/>
      <c r="AA1105" s="34"/>
    </row>
    <row r="1106" spans="1:27" ht="15">
      <c r="A1106" s="66" t="s">
        <v>228</v>
      </c>
      <c r="B1106" s="66" t="s">
        <v>841</v>
      </c>
      <c r="C1106" s="67" t="s">
        <v>4454</v>
      </c>
      <c r="D1106" s="68">
        <v>5</v>
      </c>
      <c r="E1106" s="69"/>
      <c r="F1106" s="70">
        <v>20</v>
      </c>
      <c r="G1106" s="67"/>
      <c r="H1106" s="71"/>
      <c r="I1106" s="72"/>
      <c r="J1106" s="72"/>
      <c r="K1106" s="34" t="s">
        <v>65</v>
      </c>
      <c r="L1106" s="79">
        <v>1106</v>
      </c>
      <c r="M1106" s="79"/>
      <c r="N1106" s="74"/>
      <c r="O1106" s="81" t="s">
        <v>944</v>
      </c>
      <c r="P1106">
        <v>1</v>
      </c>
      <c r="Q1106" s="80" t="str">
        <f>REPLACE(INDEX(GroupVertices[Group],MATCH(Edges[[#This Row],[Vertex 1]],GroupVertices[Vertex],0)),1,1,"")</f>
        <v>3</v>
      </c>
      <c r="R1106" s="80" t="str">
        <f>REPLACE(INDEX(GroupVertices[Group],MATCH(Edges[[#This Row],[Vertex 2]],GroupVertices[Vertex],0)),1,1,"")</f>
        <v>3</v>
      </c>
      <c r="S1106" s="34"/>
      <c r="T1106" s="34"/>
      <c r="U1106" s="34"/>
      <c r="V1106" s="34"/>
      <c r="W1106" s="34"/>
      <c r="X1106" s="34"/>
      <c r="Y1106" s="34"/>
      <c r="Z1106" s="34"/>
      <c r="AA1106" s="34"/>
    </row>
    <row r="1107" spans="1:27" ht="15">
      <c r="A1107" s="66" t="s">
        <v>233</v>
      </c>
      <c r="B1107" s="66" t="s">
        <v>841</v>
      </c>
      <c r="C1107" s="67" t="s">
        <v>4454</v>
      </c>
      <c r="D1107" s="68">
        <v>5</v>
      </c>
      <c r="E1107" s="69"/>
      <c r="F1107" s="70">
        <v>20</v>
      </c>
      <c r="G1107" s="67"/>
      <c r="H1107" s="71"/>
      <c r="I1107" s="72"/>
      <c r="J1107" s="72"/>
      <c r="K1107" s="34" t="s">
        <v>65</v>
      </c>
      <c r="L1107" s="79">
        <v>1107</v>
      </c>
      <c r="M1107" s="79"/>
      <c r="N1107" s="74"/>
      <c r="O1107" s="81" t="s">
        <v>944</v>
      </c>
      <c r="P1107">
        <v>1</v>
      </c>
      <c r="Q1107" s="80" t="str">
        <f>REPLACE(INDEX(GroupVertices[Group],MATCH(Edges[[#This Row],[Vertex 1]],GroupVertices[Vertex],0)),1,1,"")</f>
        <v>2</v>
      </c>
      <c r="R1107" s="80" t="str">
        <f>REPLACE(INDEX(GroupVertices[Group],MATCH(Edges[[#This Row],[Vertex 2]],GroupVertices[Vertex],0)),1,1,"")</f>
        <v>3</v>
      </c>
      <c r="S1107" s="34"/>
      <c r="T1107" s="34"/>
      <c r="U1107" s="34"/>
      <c r="V1107" s="34"/>
      <c r="W1107" s="34"/>
      <c r="X1107" s="34"/>
      <c r="Y1107" s="34"/>
      <c r="Z1107" s="34"/>
      <c r="AA1107" s="34"/>
    </row>
    <row r="1108" spans="1:27" ht="15">
      <c r="A1108" s="66" t="s">
        <v>239</v>
      </c>
      <c r="B1108" s="66" t="s">
        <v>841</v>
      </c>
      <c r="C1108" s="67" t="s">
        <v>4454</v>
      </c>
      <c r="D1108" s="68">
        <v>5</v>
      </c>
      <c r="E1108" s="69"/>
      <c r="F1108" s="70">
        <v>20</v>
      </c>
      <c r="G1108" s="67"/>
      <c r="H1108" s="71"/>
      <c r="I1108" s="72"/>
      <c r="J1108" s="72"/>
      <c r="K1108" s="34" t="s">
        <v>65</v>
      </c>
      <c r="L1108" s="79">
        <v>1108</v>
      </c>
      <c r="M1108" s="79"/>
      <c r="N1108" s="74"/>
      <c r="O1108" s="81" t="s">
        <v>944</v>
      </c>
      <c r="P1108">
        <v>1</v>
      </c>
      <c r="Q1108" s="80" t="str">
        <f>REPLACE(INDEX(GroupVertices[Group],MATCH(Edges[[#This Row],[Vertex 1]],GroupVertices[Vertex],0)),1,1,"")</f>
        <v>3</v>
      </c>
      <c r="R1108" s="80" t="str">
        <f>REPLACE(INDEX(GroupVertices[Group],MATCH(Edges[[#This Row],[Vertex 2]],GroupVertices[Vertex],0)),1,1,"")</f>
        <v>3</v>
      </c>
      <c r="S1108" s="34"/>
      <c r="T1108" s="34"/>
      <c r="U1108" s="34"/>
      <c r="V1108" s="34"/>
      <c r="W1108" s="34"/>
      <c r="X1108" s="34"/>
      <c r="Y1108" s="34"/>
      <c r="Z1108" s="34"/>
      <c r="AA1108" s="34"/>
    </row>
    <row r="1109" spans="1:27" ht="15">
      <c r="A1109" s="66" t="s">
        <v>246</v>
      </c>
      <c r="B1109" s="66" t="s">
        <v>841</v>
      </c>
      <c r="C1109" s="67" t="s">
        <v>4454</v>
      </c>
      <c r="D1109" s="68">
        <v>5</v>
      </c>
      <c r="E1109" s="69"/>
      <c r="F1109" s="70">
        <v>20</v>
      </c>
      <c r="G1109" s="67"/>
      <c r="H1109" s="71"/>
      <c r="I1109" s="72"/>
      <c r="J1109" s="72"/>
      <c r="K1109" s="34" t="s">
        <v>65</v>
      </c>
      <c r="L1109" s="79">
        <v>1109</v>
      </c>
      <c r="M1109" s="79"/>
      <c r="N1109" s="74"/>
      <c r="O1109" s="81" t="s">
        <v>944</v>
      </c>
      <c r="P1109">
        <v>1</v>
      </c>
      <c r="Q1109" s="80" t="str">
        <f>REPLACE(INDEX(GroupVertices[Group],MATCH(Edges[[#This Row],[Vertex 1]],GroupVertices[Vertex],0)),1,1,"")</f>
        <v>2</v>
      </c>
      <c r="R1109" s="80" t="str">
        <f>REPLACE(INDEX(GroupVertices[Group],MATCH(Edges[[#This Row],[Vertex 2]],GroupVertices[Vertex],0)),1,1,"")</f>
        <v>3</v>
      </c>
      <c r="S1109" s="34"/>
      <c r="T1109" s="34"/>
      <c r="U1109" s="34"/>
      <c r="V1109" s="34"/>
      <c r="W1109" s="34"/>
      <c r="X1109" s="34"/>
      <c r="Y1109" s="34"/>
      <c r="Z1109" s="34"/>
      <c r="AA1109" s="34"/>
    </row>
    <row r="1110" spans="1:27" ht="15">
      <c r="A1110" s="66" t="s">
        <v>249</v>
      </c>
      <c r="B1110" s="66" t="s">
        <v>841</v>
      </c>
      <c r="C1110" s="67" t="s">
        <v>4454</v>
      </c>
      <c r="D1110" s="68">
        <v>5</v>
      </c>
      <c r="E1110" s="69"/>
      <c r="F1110" s="70">
        <v>20</v>
      </c>
      <c r="G1110" s="67"/>
      <c r="H1110" s="71"/>
      <c r="I1110" s="72"/>
      <c r="J1110" s="72"/>
      <c r="K1110" s="34" t="s">
        <v>65</v>
      </c>
      <c r="L1110" s="79">
        <v>1110</v>
      </c>
      <c r="M1110" s="79"/>
      <c r="N1110" s="74"/>
      <c r="O1110" s="81" t="s">
        <v>944</v>
      </c>
      <c r="P1110">
        <v>1</v>
      </c>
      <c r="Q1110" s="80" t="str">
        <f>REPLACE(INDEX(GroupVertices[Group],MATCH(Edges[[#This Row],[Vertex 1]],GroupVertices[Vertex],0)),1,1,"")</f>
        <v>2</v>
      </c>
      <c r="R1110" s="80" t="str">
        <f>REPLACE(INDEX(GroupVertices[Group],MATCH(Edges[[#This Row],[Vertex 2]],GroupVertices[Vertex],0)),1,1,"")</f>
        <v>3</v>
      </c>
      <c r="S1110" s="34"/>
      <c r="T1110" s="34"/>
      <c r="U1110" s="34"/>
      <c r="V1110" s="34"/>
      <c r="W1110" s="34"/>
      <c r="X1110" s="34"/>
      <c r="Y1110" s="34"/>
      <c r="Z1110" s="34"/>
      <c r="AA1110" s="34"/>
    </row>
    <row r="1111" spans="1:27" ht="15">
      <c r="A1111" s="66" t="s">
        <v>253</v>
      </c>
      <c r="B1111" s="66" t="s">
        <v>841</v>
      </c>
      <c r="C1111" s="67" t="s">
        <v>4454</v>
      </c>
      <c r="D1111" s="68">
        <v>5</v>
      </c>
      <c r="E1111" s="69"/>
      <c r="F1111" s="70">
        <v>20</v>
      </c>
      <c r="G1111" s="67"/>
      <c r="H1111" s="71"/>
      <c r="I1111" s="72"/>
      <c r="J1111" s="72"/>
      <c r="K1111" s="34" t="s">
        <v>65</v>
      </c>
      <c r="L1111" s="79">
        <v>1111</v>
      </c>
      <c r="M1111" s="79"/>
      <c r="N1111" s="74"/>
      <c r="O1111" s="81" t="s">
        <v>944</v>
      </c>
      <c r="P1111">
        <v>1</v>
      </c>
      <c r="Q1111" s="80" t="str">
        <f>REPLACE(INDEX(GroupVertices[Group],MATCH(Edges[[#This Row],[Vertex 1]],GroupVertices[Vertex],0)),1,1,"")</f>
        <v>1</v>
      </c>
      <c r="R1111" s="80" t="str">
        <f>REPLACE(INDEX(GroupVertices[Group],MATCH(Edges[[#This Row],[Vertex 2]],GroupVertices[Vertex],0)),1,1,"")</f>
        <v>3</v>
      </c>
      <c r="S1111" s="34"/>
      <c r="T1111" s="34"/>
      <c r="U1111" s="34"/>
      <c r="V1111" s="34"/>
      <c r="W1111" s="34"/>
      <c r="X1111" s="34"/>
      <c r="Y1111" s="34"/>
      <c r="Z1111" s="34"/>
      <c r="AA1111" s="34"/>
    </row>
    <row r="1112" spans="1:27" ht="15">
      <c r="A1112" s="66" t="s">
        <v>254</v>
      </c>
      <c r="B1112" s="66" t="s">
        <v>841</v>
      </c>
      <c r="C1112" s="67" t="s">
        <v>4454</v>
      </c>
      <c r="D1112" s="68">
        <v>5</v>
      </c>
      <c r="E1112" s="69"/>
      <c r="F1112" s="70">
        <v>20</v>
      </c>
      <c r="G1112" s="67"/>
      <c r="H1112" s="71"/>
      <c r="I1112" s="72"/>
      <c r="J1112" s="72"/>
      <c r="K1112" s="34" t="s">
        <v>65</v>
      </c>
      <c r="L1112" s="79">
        <v>1112</v>
      </c>
      <c r="M1112" s="79"/>
      <c r="N1112" s="74"/>
      <c r="O1112" s="81" t="s">
        <v>944</v>
      </c>
      <c r="P1112">
        <v>1</v>
      </c>
      <c r="Q1112" s="80" t="str">
        <f>REPLACE(INDEX(GroupVertices[Group],MATCH(Edges[[#This Row],[Vertex 1]],GroupVertices[Vertex],0)),1,1,"")</f>
        <v>3</v>
      </c>
      <c r="R1112" s="80" t="str">
        <f>REPLACE(INDEX(GroupVertices[Group],MATCH(Edges[[#This Row],[Vertex 2]],GroupVertices[Vertex],0)),1,1,"")</f>
        <v>3</v>
      </c>
      <c r="S1112" s="34"/>
      <c r="T1112" s="34"/>
      <c r="U1112" s="34"/>
      <c r="V1112" s="34"/>
      <c r="W1112" s="34"/>
      <c r="X1112" s="34"/>
      <c r="Y1112" s="34"/>
      <c r="Z1112" s="34"/>
      <c r="AA1112" s="34"/>
    </row>
    <row r="1113" spans="1:27" ht="15">
      <c r="A1113" s="66" t="s">
        <v>223</v>
      </c>
      <c r="B1113" s="66" t="s">
        <v>842</v>
      </c>
      <c r="C1113" s="67" t="s">
        <v>4454</v>
      </c>
      <c r="D1113" s="68">
        <v>5</v>
      </c>
      <c r="E1113" s="69"/>
      <c r="F1113" s="70">
        <v>20</v>
      </c>
      <c r="G1113" s="67"/>
      <c r="H1113" s="71"/>
      <c r="I1113" s="72"/>
      <c r="J1113" s="72"/>
      <c r="K1113" s="34" t="s">
        <v>65</v>
      </c>
      <c r="L1113" s="79">
        <v>1113</v>
      </c>
      <c r="M1113" s="79"/>
      <c r="N1113" s="74"/>
      <c r="O1113" s="81" t="s">
        <v>944</v>
      </c>
      <c r="P1113">
        <v>1</v>
      </c>
      <c r="Q1113" s="80" t="str">
        <f>REPLACE(INDEX(GroupVertices[Group],MATCH(Edges[[#This Row],[Vertex 1]],GroupVertices[Vertex],0)),1,1,"")</f>
        <v>3</v>
      </c>
      <c r="R1113" s="80" t="str">
        <f>REPLACE(INDEX(GroupVertices[Group],MATCH(Edges[[#This Row],[Vertex 2]],GroupVertices[Vertex],0)),1,1,"")</f>
        <v>3</v>
      </c>
      <c r="S1113" s="34"/>
      <c r="T1113" s="34"/>
      <c r="U1113" s="34"/>
      <c r="V1113" s="34"/>
      <c r="W1113" s="34"/>
      <c r="X1113" s="34"/>
      <c r="Y1113" s="34"/>
      <c r="Z1113" s="34"/>
      <c r="AA1113" s="34"/>
    </row>
    <row r="1114" spans="1:27" ht="15">
      <c r="A1114" s="66" t="s">
        <v>254</v>
      </c>
      <c r="B1114" s="66" t="s">
        <v>842</v>
      </c>
      <c r="C1114" s="67" t="s">
        <v>4454</v>
      </c>
      <c r="D1114" s="68">
        <v>5</v>
      </c>
      <c r="E1114" s="69"/>
      <c r="F1114" s="70">
        <v>20</v>
      </c>
      <c r="G1114" s="67"/>
      <c r="H1114" s="71"/>
      <c r="I1114" s="72"/>
      <c r="J1114" s="72"/>
      <c r="K1114" s="34" t="s">
        <v>65</v>
      </c>
      <c r="L1114" s="79">
        <v>1114</v>
      </c>
      <c r="M1114" s="79"/>
      <c r="N1114" s="74"/>
      <c r="O1114" s="81" t="s">
        <v>944</v>
      </c>
      <c r="P1114">
        <v>1</v>
      </c>
      <c r="Q1114" s="80" t="str">
        <f>REPLACE(INDEX(GroupVertices[Group],MATCH(Edges[[#This Row],[Vertex 1]],GroupVertices[Vertex],0)),1,1,"")</f>
        <v>3</v>
      </c>
      <c r="R1114" s="80" t="str">
        <f>REPLACE(INDEX(GroupVertices[Group],MATCH(Edges[[#This Row],[Vertex 2]],GroupVertices[Vertex],0)),1,1,"")</f>
        <v>3</v>
      </c>
      <c r="S1114" s="34"/>
      <c r="T1114" s="34"/>
      <c r="U1114" s="34"/>
      <c r="V1114" s="34"/>
      <c r="W1114" s="34"/>
      <c r="X1114" s="34"/>
      <c r="Y1114" s="34"/>
      <c r="Z1114" s="34"/>
      <c r="AA1114" s="34"/>
    </row>
    <row r="1115" spans="1:27" ht="15">
      <c r="A1115" s="66" t="s">
        <v>239</v>
      </c>
      <c r="B1115" s="66" t="s">
        <v>843</v>
      </c>
      <c r="C1115" s="67" t="s">
        <v>4454</v>
      </c>
      <c r="D1115" s="68">
        <v>5</v>
      </c>
      <c r="E1115" s="69"/>
      <c r="F1115" s="70">
        <v>20</v>
      </c>
      <c r="G1115" s="67"/>
      <c r="H1115" s="71"/>
      <c r="I1115" s="72"/>
      <c r="J1115" s="72"/>
      <c r="K1115" s="34" t="s">
        <v>65</v>
      </c>
      <c r="L1115" s="79">
        <v>1115</v>
      </c>
      <c r="M1115" s="79"/>
      <c r="N1115" s="74"/>
      <c r="O1115" s="81" t="s">
        <v>944</v>
      </c>
      <c r="P1115">
        <v>1</v>
      </c>
      <c r="Q1115" s="80" t="str">
        <f>REPLACE(INDEX(GroupVertices[Group],MATCH(Edges[[#This Row],[Vertex 1]],GroupVertices[Vertex],0)),1,1,"")</f>
        <v>3</v>
      </c>
      <c r="R1115" s="80" t="str">
        <f>REPLACE(INDEX(GroupVertices[Group],MATCH(Edges[[#This Row],[Vertex 2]],GroupVertices[Vertex],0)),1,1,"")</f>
        <v>3</v>
      </c>
      <c r="S1115" s="34"/>
      <c r="T1115" s="34"/>
      <c r="U1115" s="34"/>
      <c r="V1115" s="34"/>
      <c r="W1115" s="34"/>
      <c r="X1115" s="34"/>
      <c r="Y1115" s="34"/>
      <c r="Z1115" s="34"/>
      <c r="AA1115" s="34"/>
    </row>
    <row r="1116" spans="1:27" ht="15">
      <c r="A1116" s="66" t="s">
        <v>253</v>
      </c>
      <c r="B1116" s="66" t="s">
        <v>843</v>
      </c>
      <c r="C1116" s="67" t="s">
        <v>4454</v>
      </c>
      <c r="D1116" s="68">
        <v>5</v>
      </c>
      <c r="E1116" s="69"/>
      <c r="F1116" s="70">
        <v>20</v>
      </c>
      <c r="G1116" s="67"/>
      <c r="H1116" s="71"/>
      <c r="I1116" s="72"/>
      <c r="J1116" s="72"/>
      <c r="K1116" s="34" t="s">
        <v>65</v>
      </c>
      <c r="L1116" s="79">
        <v>1116</v>
      </c>
      <c r="M1116" s="79"/>
      <c r="N1116" s="74"/>
      <c r="O1116" s="81" t="s">
        <v>944</v>
      </c>
      <c r="P1116">
        <v>1</v>
      </c>
      <c r="Q1116" s="80" t="str">
        <f>REPLACE(INDEX(GroupVertices[Group],MATCH(Edges[[#This Row],[Vertex 1]],GroupVertices[Vertex],0)),1,1,"")</f>
        <v>1</v>
      </c>
      <c r="R1116" s="80" t="str">
        <f>REPLACE(INDEX(GroupVertices[Group],MATCH(Edges[[#This Row],[Vertex 2]],GroupVertices[Vertex],0)),1,1,"")</f>
        <v>3</v>
      </c>
      <c r="S1116" s="34"/>
      <c r="T1116" s="34"/>
      <c r="U1116" s="34"/>
      <c r="V1116" s="34"/>
      <c r="W1116" s="34"/>
      <c r="X1116" s="34"/>
      <c r="Y1116" s="34"/>
      <c r="Z1116" s="34"/>
      <c r="AA1116" s="34"/>
    </row>
    <row r="1117" spans="1:27" ht="15">
      <c r="A1117" s="66" t="s">
        <v>254</v>
      </c>
      <c r="B1117" s="66" t="s">
        <v>843</v>
      </c>
      <c r="C1117" s="67" t="s">
        <v>4454</v>
      </c>
      <c r="D1117" s="68">
        <v>5</v>
      </c>
      <c r="E1117" s="69"/>
      <c r="F1117" s="70">
        <v>20</v>
      </c>
      <c r="G1117" s="67"/>
      <c r="H1117" s="71"/>
      <c r="I1117" s="72"/>
      <c r="J1117" s="72"/>
      <c r="K1117" s="34" t="s">
        <v>65</v>
      </c>
      <c r="L1117" s="79">
        <v>1117</v>
      </c>
      <c r="M1117" s="79"/>
      <c r="N1117" s="74"/>
      <c r="O1117" s="81" t="s">
        <v>944</v>
      </c>
      <c r="P1117">
        <v>1</v>
      </c>
      <c r="Q1117" s="80" t="str">
        <f>REPLACE(INDEX(GroupVertices[Group],MATCH(Edges[[#This Row],[Vertex 1]],GroupVertices[Vertex],0)),1,1,"")</f>
        <v>3</v>
      </c>
      <c r="R1117" s="80" t="str">
        <f>REPLACE(INDEX(GroupVertices[Group],MATCH(Edges[[#This Row],[Vertex 2]],GroupVertices[Vertex],0)),1,1,"")</f>
        <v>3</v>
      </c>
      <c r="S1117" s="34"/>
      <c r="T1117" s="34"/>
      <c r="U1117" s="34"/>
      <c r="V1117" s="34"/>
      <c r="W1117" s="34"/>
      <c r="X1117" s="34"/>
      <c r="Y1117" s="34"/>
      <c r="Z1117" s="34"/>
      <c r="AA1117" s="34"/>
    </row>
    <row r="1118" spans="1:27" ht="15">
      <c r="A1118" s="66" t="s">
        <v>215</v>
      </c>
      <c r="B1118" s="66" t="s">
        <v>844</v>
      </c>
      <c r="C1118" s="67" t="s">
        <v>4454</v>
      </c>
      <c r="D1118" s="68">
        <v>5</v>
      </c>
      <c r="E1118" s="69"/>
      <c r="F1118" s="70">
        <v>20</v>
      </c>
      <c r="G1118" s="67"/>
      <c r="H1118" s="71"/>
      <c r="I1118" s="72"/>
      <c r="J1118" s="72"/>
      <c r="K1118" s="34" t="s">
        <v>65</v>
      </c>
      <c r="L1118" s="79">
        <v>1118</v>
      </c>
      <c r="M1118" s="79"/>
      <c r="N1118" s="74"/>
      <c r="O1118" s="81" t="s">
        <v>944</v>
      </c>
      <c r="P1118">
        <v>1</v>
      </c>
      <c r="Q1118" s="80" t="str">
        <f>REPLACE(INDEX(GroupVertices[Group],MATCH(Edges[[#This Row],[Vertex 1]],GroupVertices[Vertex],0)),1,1,"")</f>
        <v>3</v>
      </c>
      <c r="R1118" s="80" t="str">
        <f>REPLACE(INDEX(GroupVertices[Group],MATCH(Edges[[#This Row],[Vertex 2]],GroupVertices[Vertex],0)),1,1,"")</f>
        <v>3</v>
      </c>
      <c r="S1118" s="34"/>
      <c r="T1118" s="34"/>
      <c r="U1118" s="34"/>
      <c r="V1118" s="34"/>
      <c r="W1118" s="34"/>
      <c r="X1118" s="34"/>
      <c r="Y1118" s="34"/>
      <c r="Z1118" s="34"/>
      <c r="AA1118" s="34"/>
    </row>
    <row r="1119" spans="1:27" ht="15">
      <c r="A1119" s="66" t="s">
        <v>222</v>
      </c>
      <c r="B1119" s="66" t="s">
        <v>844</v>
      </c>
      <c r="C1119" s="67" t="s">
        <v>4454</v>
      </c>
      <c r="D1119" s="68">
        <v>5</v>
      </c>
      <c r="E1119" s="69"/>
      <c r="F1119" s="70">
        <v>20</v>
      </c>
      <c r="G1119" s="67"/>
      <c r="H1119" s="71"/>
      <c r="I1119" s="72"/>
      <c r="J1119" s="72"/>
      <c r="K1119" s="34" t="s">
        <v>65</v>
      </c>
      <c r="L1119" s="79">
        <v>1119</v>
      </c>
      <c r="M1119" s="79"/>
      <c r="N1119" s="74"/>
      <c r="O1119" s="81" t="s">
        <v>944</v>
      </c>
      <c r="P1119">
        <v>1</v>
      </c>
      <c r="Q1119" s="80" t="str">
        <f>REPLACE(INDEX(GroupVertices[Group],MATCH(Edges[[#This Row],[Vertex 1]],GroupVertices[Vertex],0)),1,1,"")</f>
        <v>2</v>
      </c>
      <c r="R1119" s="80" t="str">
        <f>REPLACE(INDEX(GroupVertices[Group],MATCH(Edges[[#This Row],[Vertex 2]],GroupVertices[Vertex],0)),1,1,"")</f>
        <v>3</v>
      </c>
      <c r="S1119" s="34"/>
      <c r="T1119" s="34"/>
      <c r="U1119" s="34"/>
      <c r="V1119" s="34"/>
      <c r="W1119" s="34"/>
      <c r="X1119" s="34"/>
      <c r="Y1119" s="34"/>
      <c r="Z1119" s="34"/>
      <c r="AA1119" s="34"/>
    </row>
    <row r="1120" spans="1:27" ht="15">
      <c r="A1120" s="66" t="s">
        <v>223</v>
      </c>
      <c r="B1120" s="66" t="s">
        <v>844</v>
      </c>
      <c r="C1120" s="67" t="s">
        <v>4454</v>
      </c>
      <c r="D1120" s="68">
        <v>5</v>
      </c>
      <c r="E1120" s="69"/>
      <c r="F1120" s="70">
        <v>20</v>
      </c>
      <c r="G1120" s="67"/>
      <c r="H1120" s="71"/>
      <c r="I1120" s="72"/>
      <c r="J1120" s="72"/>
      <c r="K1120" s="34" t="s">
        <v>65</v>
      </c>
      <c r="L1120" s="79">
        <v>1120</v>
      </c>
      <c r="M1120" s="79"/>
      <c r="N1120" s="74"/>
      <c r="O1120" s="81" t="s">
        <v>944</v>
      </c>
      <c r="P1120">
        <v>1</v>
      </c>
      <c r="Q1120" s="80" t="str">
        <f>REPLACE(INDEX(GroupVertices[Group],MATCH(Edges[[#This Row],[Vertex 1]],GroupVertices[Vertex],0)),1,1,"")</f>
        <v>3</v>
      </c>
      <c r="R1120" s="80" t="str">
        <f>REPLACE(INDEX(GroupVertices[Group],MATCH(Edges[[#This Row],[Vertex 2]],GroupVertices[Vertex],0)),1,1,"")</f>
        <v>3</v>
      </c>
      <c r="S1120" s="34"/>
      <c r="T1120" s="34"/>
      <c r="U1120" s="34"/>
      <c r="V1120" s="34"/>
      <c r="W1120" s="34"/>
      <c r="X1120" s="34"/>
      <c r="Y1120" s="34"/>
      <c r="Z1120" s="34"/>
      <c r="AA1120" s="34"/>
    </row>
    <row r="1121" spans="1:27" ht="15">
      <c r="A1121" s="66" t="s">
        <v>227</v>
      </c>
      <c r="B1121" s="66" t="s">
        <v>844</v>
      </c>
      <c r="C1121" s="67" t="s">
        <v>4454</v>
      </c>
      <c r="D1121" s="68">
        <v>5</v>
      </c>
      <c r="E1121" s="69"/>
      <c r="F1121" s="70">
        <v>20</v>
      </c>
      <c r="G1121" s="67"/>
      <c r="H1121" s="71"/>
      <c r="I1121" s="72"/>
      <c r="J1121" s="72"/>
      <c r="K1121" s="34" t="s">
        <v>65</v>
      </c>
      <c r="L1121" s="79">
        <v>1121</v>
      </c>
      <c r="M1121" s="79"/>
      <c r="N1121" s="74"/>
      <c r="O1121" s="81" t="s">
        <v>944</v>
      </c>
      <c r="P1121">
        <v>1</v>
      </c>
      <c r="Q1121" s="80" t="str">
        <f>REPLACE(INDEX(GroupVertices[Group],MATCH(Edges[[#This Row],[Vertex 1]],GroupVertices[Vertex],0)),1,1,"")</f>
        <v>3</v>
      </c>
      <c r="R1121" s="80" t="str">
        <f>REPLACE(INDEX(GroupVertices[Group],MATCH(Edges[[#This Row],[Vertex 2]],GroupVertices[Vertex],0)),1,1,"")</f>
        <v>3</v>
      </c>
      <c r="S1121" s="34"/>
      <c r="T1121" s="34"/>
      <c r="U1121" s="34"/>
      <c r="V1121" s="34"/>
      <c r="W1121" s="34"/>
      <c r="X1121" s="34"/>
      <c r="Y1121" s="34"/>
      <c r="Z1121" s="34"/>
      <c r="AA1121" s="34"/>
    </row>
    <row r="1122" spans="1:27" ht="15">
      <c r="A1122" s="66" t="s">
        <v>228</v>
      </c>
      <c r="B1122" s="66" t="s">
        <v>844</v>
      </c>
      <c r="C1122" s="67" t="s">
        <v>4454</v>
      </c>
      <c r="D1122" s="68">
        <v>5</v>
      </c>
      <c r="E1122" s="69"/>
      <c r="F1122" s="70">
        <v>20</v>
      </c>
      <c r="G1122" s="67"/>
      <c r="H1122" s="71"/>
      <c r="I1122" s="72"/>
      <c r="J1122" s="72"/>
      <c r="K1122" s="34" t="s">
        <v>65</v>
      </c>
      <c r="L1122" s="79">
        <v>1122</v>
      </c>
      <c r="M1122" s="79"/>
      <c r="N1122" s="74"/>
      <c r="O1122" s="81" t="s">
        <v>944</v>
      </c>
      <c r="P1122">
        <v>1</v>
      </c>
      <c r="Q1122" s="80" t="str">
        <f>REPLACE(INDEX(GroupVertices[Group],MATCH(Edges[[#This Row],[Vertex 1]],GroupVertices[Vertex],0)),1,1,"")</f>
        <v>3</v>
      </c>
      <c r="R1122" s="80" t="str">
        <f>REPLACE(INDEX(GroupVertices[Group],MATCH(Edges[[#This Row],[Vertex 2]],GroupVertices[Vertex],0)),1,1,"")</f>
        <v>3</v>
      </c>
      <c r="S1122" s="34"/>
      <c r="T1122" s="34"/>
      <c r="U1122" s="34"/>
      <c r="V1122" s="34"/>
      <c r="W1122" s="34"/>
      <c r="X1122" s="34"/>
      <c r="Y1122" s="34"/>
      <c r="Z1122" s="34"/>
      <c r="AA1122" s="34"/>
    </row>
    <row r="1123" spans="1:27" ht="15">
      <c r="A1123" s="66" t="s">
        <v>233</v>
      </c>
      <c r="B1123" s="66" t="s">
        <v>844</v>
      </c>
      <c r="C1123" s="67" t="s">
        <v>4454</v>
      </c>
      <c r="D1123" s="68">
        <v>5</v>
      </c>
      <c r="E1123" s="69"/>
      <c r="F1123" s="70">
        <v>20</v>
      </c>
      <c r="G1123" s="67"/>
      <c r="H1123" s="71"/>
      <c r="I1123" s="72"/>
      <c r="J1123" s="72"/>
      <c r="K1123" s="34" t="s">
        <v>65</v>
      </c>
      <c r="L1123" s="79">
        <v>1123</v>
      </c>
      <c r="M1123" s="79"/>
      <c r="N1123" s="74"/>
      <c r="O1123" s="81" t="s">
        <v>944</v>
      </c>
      <c r="P1123">
        <v>1</v>
      </c>
      <c r="Q1123" s="80" t="str">
        <f>REPLACE(INDEX(GroupVertices[Group],MATCH(Edges[[#This Row],[Vertex 1]],GroupVertices[Vertex],0)),1,1,"")</f>
        <v>2</v>
      </c>
      <c r="R1123" s="80" t="str">
        <f>REPLACE(INDEX(GroupVertices[Group],MATCH(Edges[[#This Row],[Vertex 2]],GroupVertices[Vertex],0)),1,1,"")</f>
        <v>3</v>
      </c>
      <c r="S1123" s="34"/>
      <c r="T1123" s="34"/>
      <c r="U1123" s="34"/>
      <c r="V1123" s="34"/>
      <c r="W1123" s="34"/>
      <c r="X1123" s="34"/>
      <c r="Y1123" s="34"/>
      <c r="Z1123" s="34"/>
      <c r="AA1123" s="34"/>
    </row>
    <row r="1124" spans="1:27" ht="15">
      <c r="A1124" s="66" t="s">
        <v>239</v>
      </c>
      <c r="B1124" s="66" t="s">
        <v>844</v>
      </c>
      <c r="C1124" s="67" t="s">
        <v>4454</v>
      </c>
      <c r="D1124" s="68">
        <v>5</v>
      </c>
      <c r="E1124" s="69"/>
      <c r="F1124" s="70">
        <v>20</v>
      </c>
      <c r="G1124" s="67"/>
      <c r="H1124" s="71"/>
      <c r="I1124" s="72"/>
      <c r="J1124" s="72"/>
      <c r="K1124" s="34" t="s">
        <v>65</v>
      </c>
      <c r="L1124" s="79">
        <v>1124</v>
      </c>
      <c r="M1124" s="79"/>
      <c r="N1124" s="74"/>
      <c r="O1124" s="81" t="s">
        <v>944</v>
      </c>
      <c r="P1124">
        <v>1</v>
      </c>
      <c r="Q1124" s="80" t="str">
        <f>REPLACE(INDEX(GroupVertices[Group],MATCH(Edges[[#This Row],[Vertex 1]],GroupVertices[Vertex],0)),1,1,"")</f>
        <v>3</v>
      </c>
      <c r="R1124" s="80" t="str">
        <f>REPLACE(INDEX(GroupVertices[Group],MATCH(Edges[[#This Row],[Vertex 2]],GroupVertices[Vertex],0)),1,1,"")</f>
        <v>3</v>
      </c>
      <c r="S1124" s="34"/>
      <c r="T1124" s="34"/>
      <c r="U1124" s="34"/>
      <c r="V1124" s="34"/>
      <c r="W1124" s="34"/>
      <c r="X1124" s="34"/>
      <c r="Y1124" s="34"/>
      <c r="Z1124" s="34"/>
      <c r="AA1124" s="34"/>
    </row>
    <row r="1125" spans="1:27" ht="15">
      <c r="A1125" s="66" t="s">
        <v>249</v>
      </c>
      <c r="B1125" s="66" t="s">
        <v>844</v>
      </c>
      <c r="C1125" s="67" t="s">
        <v>4454</v>
      </c>
      <c r="D1125" s="68">
        <v>5</v>
      </c>
      <c r="E1125" s="69"/>
      <c r="F1125" s="70">
        <v>20</v>
      </c>
      <c r="G1125" s="67"/>
      <c r="H1125" s="71"/>
      <c r="I1125" s="72"/>
      <c r="J1125" s="72"/>
      <c r="K1125" s="34" t="s">
        <v>65</v>
      </c>
      <c r="L1125" s="79">
        <v>1125</v>
      </c>
      <c r="M1125" s="79"/>
      <c r="N1125" s="74"/>
      <c r="O1125" s="81" t="s">
        <v>944</v>
      </c>
      <c r="P1125">
        <v>1</v>
      </c>
      <c r="Q1125" s="80" t="str">
        <f>REPLACE(INDEX(GroupVertices[Group],MATCH(Edges[[#This Row],[Vertex 1]],GroupVertices[Vertex],0)),1,1,"")</f>
        <v>2</v>
      </c>
      <c r="R1125" s="80" t="str">
        <f>REPLACE(INDEX(GroupVertices[Group],MATCH(Edges[[#This Row],[Vertex 2]],GroupVertices[Vertex],0)),1,1,"")</f>
        <v>3</v>
      </c>
      <c r="S1125" s="34"/>
      <c r="T1125" s="34"/>
      <c r="U1125" s="34"/>
      <c r="V1125" s="34"/>
      <c r="W1125" s="34"/>
      <c r="X1125" s="34"/>
      <c r="Y1125" s="34"/>
      <c r="Z1125" s="34"/>
      <c r="AA1125" s="34"/>
    </row>
    <row r="1126" spans="1:27" ht="15">
      <c r="A1126" s="66" t="s">
        <v>250</v>
      </c>
      <c r="B1126" s="66" t="s">
        <v>844</v>
      </c>
      <c r="C1126" s="67" t="s">
        <v>4454</v>
      </c>
      <c r="D1126" s="68">
        <v>5</v>
      </c>
      <c r="E1126" s="69"/>
      <c r="F1126" s="70">
        <v>20</v>
      </c>
      <c r="G1126" s="67"/>
      <c r="H1126" s="71"/>
      <c r="I1126" s="72"/>
      <c r="J1126" s="72"/>
      <c r="K1126" s="34" t="s">
        <v>65</v>
      </c>
      <c r="L1126" s="79">
        <v>1126</v>
      </c>
      <c r="M1126" s="79"/>
      <c r="N1126" s="74"/>
      <c r="O1126" s="81" t="s">
        <v>944</v>
      </c>
      <c r="P1126">
        <v>1</v>
      </c>
      <c r="Q1126" s="80" t="str">
        <f>REPLACE(INDEX(GroupVertices[Group],MATCH(Edges[[#This Row],[Vertex 1]],GroupVertices[Vertex],0)),1,1,"")</f>
        <v>2</v>
      </c>
      <c r="R1126" s="80" t="str">
        <f>REPLACE(INDEX(GroupVertices[Group],MATCH(Edges[[#This Row],[Vertex 2]],GroupVertices[Vertex],0)),1,1,"")</f>
        <v>3</v>
      </c>
      <c r="S1126" s="34"/>
      <c r="T1126" s="34"/>
      <c r="U1126" s="34"/>
      <c r="V1126" s="34"/>
      <c r="W1126" s="34"/>
      <c r="X1126" s="34"/>
      <c r="Y1126" s="34"/>
      <c r="Z1126" s="34"/>
      <c r="AA1126" s="34"/>
    </row>
    <row r="1127" spans="1:27" ht="15">
      <c r="A1127" s="66" t="s">
        <v>254</v>
      </c>
      <c r="B1127" s="66" t="s">
        <v>844</v>
      </c>
      <c r="C1127" s="67" t="s">
        <v>4454</v>
      </c>
      <c r="D1127" s="68">
        <v>5</v>
      </c>
      <c r="E1127" s="69"/>
      <c r="F1127" s="70">
        <v>20</v>
      </c>
      <c r="G1127" s="67"/>
      <c r="H1127" s="71"/>
      <c r="I1127" s="72"/>
      <c r="J1127" s="72"/>
      <c r="K1127" s="34" t="s">
        <v>65</v>
      </c>
      <c r="L1127" s="79">
        <v>1127</v>
      </c>
      <c r="M1127" s="79"/>
      <c r="N1127" s="74"/>
      <c r="O1127" s="81" t="s">
        <v>944</v>
      </c>
      <c r="P1127">
        <v>1</v>
      </c>
      <c r="Q1127" s="80" t="str">
        <f>REPLACE(INDEX(GroupVertices[Group],MATCH(Edges[[#This Row],[Vertex 1]],GroupVertices[Vertex],0)),1,1,"")</f>
        <v>3</v>
      </c>
      <c r="R1127" s="80" t="str">
        <f>REPLACE(INDEX(GroupVertices[Group],MATCH(Edges[[#This Row],[Vertex 2]],GroupVertices[Vertex],0)),1,1,"")</f>
        <v>3</v>
      </c>
      <c r="S1127" s="34"/>
      <c r="T1127" s="34"/>
      <c r="U1127" s="34"/>
      <c r="V1127" s="34"/>
      <c r="W1127" s="34"/>
      <c r="X1127" s="34"/>
      <c r="Y1127" s="34"/>
      <c r="Z1127" s="34"/>
      <c r="AA1127" s="34"/>
    </row>
    <row r="1128" spans="1:27" ht="15">
      <c r="A1128" s="66" t="s">
        <v>254</v>
      </c>
      <c r="B1128" s="66" t="s">
        <v>845</v>
      </c>
      <c r="C1128" s="67" t="s">
        <v>4454</v>
      </c>
      <c r="D1128" s="68">
        <v>5</v>
      </c>
      <c r="E1128" s="69"/>
      <c r="F1128" s="70">
        <v>20</v>
      </c>
      <c r="G1128" s="67"/>
      <c r="H1128" s="71"/>
      <c r="I1128" s="72"/>
      <c r="J1128" s="72"/>
      <c r="K1128" s="34"/>
      <c r="L1128" s="79">
        <v>1128</v>
      </c>
      <c r="M1128" s="79"/>
      <c r="N1128" s="74"/>
      <c r="O1128" s="81" t="s">
        <v>944</v>
      </c>
      <c r="P1128">
        <v>1</v>
      </c>
      <c r="Q1128" s="80" t="str">
        <f>REPLACE(INDEX(GroupVertices[Group],MATCH(Edges[[#This Row],[Vertex 1]],GroupVertices[Vertex],0)),1,1,"")</f>
        <v>3</v>
      </c>
      <c r="R1128" s="80" t="e">
        <f>REPLACE(INDEX(GroupVertices[Group],MATCH(Edges[[#This Row],[Vertex 2]],GroupVertices[Vertex],0)),1,1,"")</f>
        <v>#N/A</v>
      </c>
      <c r="S1128" s="34"/>
      <c r="T1128" s="34"/>
      <c r="U1128" s="34"/>
      <c r="V1128" s="34"/>
      <c r="W1128" s="34"/>
      <c r="X1128" s="34"/>
      <c r="Y1128" s="34"/>
      <c r="Z1128" s="34"/>
      <c r="AA1128" s="34"/>
    </row>
    <row r="1129" spans="1:27" ht="15">
      <c r="A1129" s="66" t="s">
        <v>215</v>
      </c>
      <c r="B1129" s="66" t="s">
        <v>227</v>
      </c>
      <c r="C1129" s="67" t="s">
        <v>4454</v>
      </c>
      <c r="D1129" s="68">
        <v>5</v>
      </c>
      <c r="E1129" s="69"/>
      <c r="F1129" s="70">
        <v>20</v>
      </c>
      <c r="G1129" s="67"/>
      <c r="H1129" s="71"/>
      <c r="I1129" s="72"/>
      <c r="J1129" s="72"/>
      <c r="K1129" s="34" t="s">
        <v>66</v>
      </c>
      <c r="L1129" s="79">
        <v>1129</v>
      </c>
      <c r="M1129" s="79"/>
      <c r="N1129" s="74"/>
      <c r="O1129" s="81" t="s">
        <v>944</v>
      </c>
      <c r="P1129">
        <v>1</v>
      </c>
      <c r="Q1129" s="80" t="str">
        <f>REPLACE(INDEX(GroupVertices[Group],MATCH(Edges[[#This Row],[Vertex 1]],GroupVertices[Vertex],0)),1,1,"")</f>
        <v>3</v>
      </c>
      <c r="R1129" s="80" t="str">
        <f>REPLACE(INDEX(GroupVertices[Group],MATCH(Edges[[#This Row],[Vertex 2]],GroupVertices[Vertex],0)),1,1,"")</f>
        <v>3</v>
      </c>
      <c r="S1129" s="34"/>
      <c r="T1129" s="34"/>
      <c r="U1129" s="34"/>
      <c r="V1129" s="34"/>
      <c r="W1129" s="34"/>
      <c r="X1129" s="34"/>
      <c r="Y1129" s="34"/>
      <c r="Z1129" s="34"/>
      <c r="AA1129" s="34"/>
    </row>
    <row r="1130" spans="1:27" ht="15">
      <c r="A1130" s="66" t="s">
        <v>216</v>
      </c>
      <c r="B1130" s="66" t="s">
        <v>227</v>
      </c>
      <c r="C1130" s="67" t="s">
        <v>4454</v>
      </c>
      <c r="D1130" s="68">
        <v>5</v>
      </c>
      <c r="E1130" s="69"/>
      <c r="F1130" s="70">
        <v>20</v>
      </c>
      <c r="G1130" s="67"/>
      <c r="H1130" s="71"/>
      <c r="I1130" s="72"/>
      <c r="J1130" s="72"/>
      <c r="K1130" s="34" t="s">
        <v>65</v>
      </c>
      <c r="L1130" s="79">
        <v>1130</v>
      </c>
      <c r="M1130" s="79"/>
      <c r="N1130" s="74"/>
      <c r="O1130" s="81" t="s">
        <v>944</v>
      </c>
      <c r="P1130">
        <v>1</v>
      </c>
      <c r="Q1130" s="80" t="str">
        <f>REPLACE(INDEX(GroupVertices[Group],MATCH(Edges[[#This Row],[Vertex 1]],GroupVertices[Vertex],0)),1,1,"")</f>
        <v>3</v>
      </c>
      <c r="R1130" s="80" t="str">
        <f>REPLACE(INDEX(GroupVertices[Group],MATCH(Edges[[#This Row],[Vertex 2]],GroupVertices[Vertex],0)),1,1,"")</f>
        <v>3</v>
      </c>
      <c r="S1130" s="34"/>
      <c r="T1130" s="34"/>
      <c r="U1130" s="34"/>
      <c r="V1130" s="34"/>
      <c r="W1130" s="34"/>
      <c r="X1130" s="34"/>
      <c r="Y1130" s="34"/>
      <c r="Z1130" s="34"/>
      <c r="AA1130" s="34"/>
    </row>
    <row r="1131" spans="1:27" ht="15">
      <c r="A1131" s="66" t="s">
        <v>227</v>
      </c>
      <c r="B1131" s="66" t="s">
        <v>247</v>
      </c>
      <c r="C1131" s="67" t="s">
        <v>4454</v>
      </c>
      <c r="D1131" s="68">
        <v>5</v>
      </c>
      <c r="E1131" s="69"/>
      <c r="F1131" s="70">
        <v>20</v>
      </c>
      <c r="G1131" s="67"/>
      <c r="H1131" s="71"/>
      <c r="I1131" s="72"/>
      <c r="J1131" s="72"/>
      <c r="K1131" s="34" t="s">
        <v>65</v>
      </c>
      <c r="L1131" s="79">
        <v>1131</v>
      </c>
      <c r="M1131" s="79"/>
      <c r="N1131" s="74"/>
      <c r="O1131" s="81" t="s">
        <v>944</v>
      </c>
      <c r="P1131">
        <v>1</v>
      </c>
      <c r="Q1131" s="80" t="str">
        <f>REPLACE(INDEX(GroupVertices[Group],MATCH(Edges[[#This Row],[Vertex 1]],GroupVertices[Vertex],0)),1,1,"")</f>
        <v>3</v>
      </c>
      <c r="R1131" s="80" t="str">
        <f>REPLACE(INDEX(GroupVertices[Group],MATCH(Edges[[#This Row],[Vertex 2]],GroupVertices[Vertex],0)),1,1,"")</f>
        <v>2</v>
      </c>
      <c r="S1131" s="34"/>
      <c r="T1131" s="34"/>
      <c r="U1131" s="34"/>
      <c r="V1131" s="34"/>
      <c r="W1131" s="34"/>
      <c r="X1131" s="34"/>
      <c r="Y1131" s="34"/>
      <c r="Z1131" s="34"/>
      <c r="AA1131" s="34"/>
    </row>
    <row r="1132" spans="1:27" ht="15">
      <c r="A1132" s="66" t="s">
        <v>227</v>
      </c>
      <c r="B1132" s="66" t="s">
        <v>480</v>
      </c>
      <c r="C1132" s="67" t="s">
        <v>4454</v>
      </c>
      <c r="D1132" s="68">
        <v>5</v>
      </c>
      <c r="E1132" s="69"/>
      <c r="F1132" s="70">
        <v>20</v>
      </c>
      <c r="G1132" s="67"/>
      <c r="H1132" s="71"/>
      <c r="I1132" s="72"/>
      <c r="J1132" s="72"/>
      <c r="K1132" s="34" t="s">
        <v>65</v>
      </c>
      <c r="L1132" s="79">
        <v>1132</v>
      </c>
      <c r="M1132" s="79"/>
      <c r="N1132" s="74"/>
      <c r="O1132" s="81" t="s">
        <v>944</v>
      </c>
      <c r="P1132">
        <v>1</v>
      </c>
      <c r="Q1132" s="80" t="str">
        <f>REPLACE(INDEX(GroupVertices[Group],MATCH(Edges[[#This Row],[Vertex 1]],GroupVertices[Vertex],0)),1,1,"")</f>
        <v>3</v>
      </c>
      <c r="R1132" s="80" t="str">
        <f>REPLACE(INDEX(GroupVertices[Group],MATCH(Edges[[#This Row],[Vertex 2]],GroupVertices[Vertex],0)),1,1,"")</f>
        <v>1</v>
      </c>
      <c r="S1132" s="34"/>
      <c r="T1132" s="34"/>
      <c r="U1132" s="34"/>
      <c r="V1132" s="34"/>
      <c r="W1132" s="34"/>
      <c r="X1132" s="34"/>
      <c r="Y1132" s="34"/>
      <c r="Z1132" s="34"/>
      <c r="AA1132" s="34"/>
    </row>
    <row r="1133" spans="1:27" ht="15">
      <c r="A1133" s="66" t="s">
        <v>227</v>
      </c>
      <c r="B1133" s="66" t="s">
        <v>242</v>
      </c>
      <c r="C1133" s="67" t="s">
        <v>4454</v>
      </c>
      <c r="D1133" s="68">
        <v>5</v>
      </c>
      <c r="E1133" s="69"/>
      <c r="F1133" s="70">
        <v>20</v>
      </c>
      <c r="G1133" s="67"/>
      <c r="H1133" s="71"/>
      <c r="I1133" s="72"/>
      <c r="J1133" s="72"/>
      <c r="K1133" s="34" t="s">
        <v>65</v>
      </c>
      <c r="L1133" s="79">
        <v>1133</v>
      </c>
      <c r="M1133" s="79"/>
      <c r="N1133" s="74"/>
      <c r="O1133" s="81" t="s">
        <v>944</v>
      </c>
      <c r="P1133">
        <v>1</v>
      </c>
      <c r="Q1133" s="80" t="str">
        <f>REPLACE(INDEX(GroupVertices[Group],MATCH(Edges[[#This Row],[Vertex 1]],GroupVertices[Vertex],0)),1,1,"")</f>
        <v>3</v>
      </c>
      <c r="R1133" s="80" t="str">
        <f>REPLACE(INDEX(GroupVertices[Group],MATCH(Edges[[#This Row],[Vertex 2]],GroupVertices[Vertex],0)),1,1,"")</f>
        <v>1</v>
      </c>
      <c r="S1133" s="34"/>
      <c r="T1133" s="34"/>
      <c r="U1133" s="34"/>
      <c r="V1133" s="34"/>
      <c r="W1133" s="34"/>
      <c r="X1133" s="34"/>
      <c r="Y1133" s="34"/>
      <c r="Z1133" s="34"/>
      <c r="AA1133" s="34"/>
    </row>
    <row r="1134" spans="1:27" ht="15">
      <c r="A1134" s="66" t="s">
        <v>227</v>
      </c>
      <c r="B1134" s="66" t="s">
        <v>663</v>
      </c>
      <c r="C1134" s="67" t="s">
        <v>4454</v>
      </c>
      <c r="D1134" s="68">
        <v>5</v>
      </c>
      <c r="E1134" s="69"/>
      <c r="F1134" s="70">
        <v>20</v>
      </c>
      <c r="G1134" s="67"/>
      <c r="H1134" s="71"/>
      <c r="I1134" s="72"/>
      <c r="J1134" s="72"/>
      <c r="K1134" s="34" t="s">
        <v>65</v>
      </c>
      <c r="L1134" s="79">
        <v>1134</v>
      </c>
      <c r="M1134" s="79"/>
      <c r="N1134" s="74"/>
      <c r="O1134" s="81" t="s">
        <v>944</v>
      </c>
      <c r="P1134">
        <v>1</v>
      </c>
      <c r="Q1134" s="80" t="str">
        <f>REPLACE(INDEX(GroupVertices[Group],MATCH(Edges[[#This Row],[Vertex 1]],GroupVertices[Vertex],0)),1,1,"")</f>
        <v>3</v>
      </c>
      <c r="R1134" s="80" t="str">
        <f>REPLACE(INDEX(GroupVertices[Group],MATCH(Edges[[#This Row],[Vertex 2]],GroupVertices[Vertex],0)),1,1,"")</f>
        <v>1</v>
      </c>
      <c r="S1134" s="34"/>
      <c r="T1134" s="34"/>
      <c r="U1134" s="34"/>
      <c r="V1134" s="34"/>
      <c r="W1134" s="34"/>
      <c r="X1134" s="34"/>
      <c r="Y1134" s="34"/>
      <c r="Z1134" s="34"/>
      <c r="AA1134" s="34"/>
    </row>
    <row r="1135" spans="1:27" ht="15">
      <c r="A1135" s="66" t="s">
        <v>227</v>
      </c>
      <c r="B1135" s="66" t="s">
        <v>846</v>
      </c>
      <c r="C1135" s="67" t="s">
        <v>4454</v>
      </c>
      <c r="D1135" s="68">
        <v>5</v>
      </c>
      <c r="E1135" s="69"/>
      <c r="F1135" s="70">
        <v>20</v>
      </c>
      <c r="G1135" s="67"/>
      <c r="H1135" s="71"/>
      <c r="I1135" s="72"/>
      <c r="J1135" s="72"/>
      <c r="K1135" s="34" t="s">
        <v>65</v>
      </c>
      <c r="L1135" s="79">
        <v>1135</v>
      </c>
      <c r="M1135" s="79"/>
      <c r="N1135" s="74"/>
      <c r="O1135" s="81" t="s">
        <v>944</v>
      </c>
      <c r="P1135">
        <v>1</v>
      </c>
      <c r="Q1135" s="80" t="str">
        <f>REPLACE(INDEX(GroupVertices[Group],MATCH(Edges[[#This Row],[Vertex 1]],GroupVertices[Vertex],0)),1,1,"")</f>
        <v>3</v>
      </c>
      <c r="R1135" s="80" t="str">
        <f>REPLACE(INDEX(GroupVertices[Group],MATCH(Edges[[#This Row],[Vertex 2]],GroupVertices[Vertex],0)),1,1,"")</f>
        <v>1</v>
      </c>
      <c r="S1135" s="34"/>
      <c r="T1135" s="34"/>
      <c r="U1135" s="34"/>
      <c r="V1135" s="34"/>
      <c r="W1135" s="34"/>
      <c r="X1135" s="34"/>
      <c r="Y1135" s="34"/>
      <c r="Z1135" s="34"/>
      <c r="AA1135" s="34"/>
    </row>
    <row r="1136" spans="1:27" ht="15">
      <c r="A1136" s="66" t="s">
        <v>227</v>
      </c>
      <c r="B1136" s="66" t="s">
        <v>258</v>
      </c>
      <c r="C1136" s="67" t="s">
        <v>4454</v>
      </c>
      <c r="D1136" s="68">
        <v>5</v>
      </c>
      <c r="E1136" s="69"/>
      <c r="F1136" s="70">
        <v>20</v>
      </c>
      <c r="G1136" s="67"/>
      <c r="H1136" s="71"/>
      <c r="I1136" s="72"/>
      <c r="J1136" s="72"/>
      <c r="K1136" s="34" t="s">
        <v>65</v>
      </c>
      <c r="L1136" s="79">
        <v>1136</v>
      </c>
      <c r="M1136" s="79"/>
      <c r="N1136" s="74"/>
      <c r="O1136" s="81" t="s">
        <v>944</v>
      </c>
      <c r="P1136">
        <v>1</v>
      </c>
      <c r="Q1136" s="80" t="str">
        <f>REPLACE(INDEX(GroupVertices[Group],MATCH(Edges[[#This Row],[Vertex 1]],GroupVertices[Vertex],0)),1,1,"")</f>
        <v>3</v>
      </c>
      <c r="R1136" s="80" t="str">
        <f>REPLACE(INDEX(GroupVertices[Group],MATCH(Edges[[#This Row],[Vertex 2]],GroupVertices[Vertex],0)),1,1,"")</f>
        <v>1</v>
      </c>
      <c r="S1136" s="34"/>
      <c r="T1136" s="34"/>
      <c r="U1136" s="34"/>
      <c r="V1136" s="34"/>
      <c r="W1136" s="34"/>
      <c r="X1136" s="34"/>
      <c r="Y1136" s="34"/>
      <c r="Z1136" s="34"/>
      <c r="AA1136" s="34"/>
    </row>
    <row r="1137" spans="1:27" ht="15">
      <c r="A1137" s="66" t="s">
        <v>227</v>
      </c>
      <c r="B1137" s="66" t="s">
        <v>257</v>
      </c>
      <c r="C1137" s="67" t="s">
        <v>4454</v>
      </c>
      <c r="D1137" s="68">
        <v>5</v>
      </c>
      <c r="E1137" s="69"/>
      <c r="F1137" s="70">
        <v>20</v>
      </c>
      <c r="G1137" s="67"/>
      <c r="H1137" s="71"/>
      <c r="I1137" s="72"/>
      <c r="J1137" s="72"/>
      <c r="K1137" s="34" t="s">
        <v>65</v>
      </c>
      <c r="L1137" s="79">
        <v>1137</v>
      </c>
      <c r="M1137" s="79"/>
      <c r="N1137" s="74"/>
      <c r="O1137" s="81" t="s">
        <v>944</v>
      </c>
      <c r="P1137">
        <v>1</v>
      </c>
      <c r="Q1137" s="80" t="str">
        <f>REPLACE(INDEX(GroupVertices[Group],MATCH(Edges[[#This Row],[Vertex 1]],GroupVertices[Vertex],0)),1,1,"")</f>
        <v>3</v>
      </c>
      <c r="R1137" s="80" t="str">
        <f>REPLACE(INDEX(GroupVertices[Group],MATCH(Edges[[#This Row],[Vertex 2]],GroupVertices[Vertex],0)),1,1,"")</f>
        <v>2</v>
      </c>
      <c r="S1137" s="34"/>
      <c r="T1137" s="34"/>
      <c r="U1137" s="34"/>
      <c r="V1137" s="34"/>
      <c r="W1137" s="34"/>
      <c r="X1137" s="34"/>
      <c r="Y1137" s="34"/>
      <c r="Z1137" s="34"/>
      <c r="AA1137" s="34"/>
    </row>
    <row r="1138" spans="1:27" ht="15">
      <c r="A1138" s="66" t="s">
        <v>227</v>
      </c>
      <c r="B1138" s="66" t="s">
        <v>812</v>
      </c>
      <c r="C1138" s="67" t="s">
        <v>4454</v>
      </c>
      <c r="D1138" s="68">
        <v>5</v>
      </c>
      <c r="E1138" s="69"/>
      <c r="F1138" s="70">
        <v>20</v>
      </c>
      <c r="G1138" s="67"/>
      <c r="H1138" s="71"/>
      <c r="I1138" s="72"/>
      <c r="J1138" s="72"/>
      <c r="K1138" s="34" t="s">
        <v>65</v>
      </c>
      <c r="L1138" s="79">
        <v>1138</v>
      </c>
      <c r="M1138" s="79"/>
      <c r="N1138" s="74"/>
      <c r="O1138" s="81" t="s">
        <v>944</v>
      </c>
      <c r="P1138">
        <v>1</v>
      </c>
      <c r="Q1138" s="80" t="str">
        <f>REPLACE(INDEX(GroupVertices[Group],MATCH(Edges[[#This Row],[Vertex 1]],GroupVertices[Vertex],0)),1,1,"")</f>
        <v>3</v>
      </c>
      <c r="R1138" s="80" t="str">
        <f>REPLACE(INDEX(GroupVertices[Group],MATCH(Edges[[#This Row],[Vertex 2]],GroupVertices[Vertex],0)),1,1,"")</f>
        <v>3</v>
      </c>
      <c r="S1138" s="34"/>
      <c r="T1138" s="34"/>
      <c r="U1138" s="34"/>
      <c r="V1138" s="34"/>
      <c r="W1138" s="34"/>
      <c r="X1138" s="34"/>
      <c r="Y1138" s="34"/>
      <c r="Z1138" s="34"/>
      <c r="AA1138" s="34"/>
    </row>
    <row r="1139" spans="1:27" ht="15">
      <c r="A1139" s="66" t="s">
        <v>227</v>
      </c>
      <c r="B1139" s="66" t="s">
        <v>236</v>
      </c>
      <c r="C1139" s="67" t="s">
        <v>4454</v>
      </c>
      <c r="D1139" s="68">
        <v>5</v>
      </c>
      <c r="E1139" s="69"/>
      <c r="F1139" s="70">
        <v>20</v>
      </c>
      <c r="G1139" s="67"/>
      <c r="H1139" s="71"/>
      <c r="I1139" s="72"/>
      <c r="J1139" s="72"/>
      <c r="K1139" s="34" t="s">
        <v>65</v>
      </c>
      <c r="L1139" s="79">
        <v>1139</v>
      </c>
      <c r="M1139" s="79"/>
      <c r="N1139" s="74"/>
      <c r="O1139" s="81" t="s">
        <v>944</v>
      </c>
      <c r="P1139">
        <v>1</v>
      </c>
      <c r="Q1139" s="80" t="str">
        <f>REPLACE(INDEX(GroupVertices[Group],MATCH(Edges[[#This Row],[Vertex 1]],GroupVertices[Vertex],0)),1,1,"")</f>
        <v>3</v>
      </c>
      <c r="R1139" s="80" t="str">
        <f>REPLACE(INDEX(GroupVertices[Group],MATCH(Edges[[#This Row],[Vertex 2]],GroupVertices[Vertex],0)),1,1,"")</f>
        <v>1</v>
      </c>
      <c r="S1139" s="34"/>
      <c r="T1139" s="34"/>
      <c r="U1139" s="34"/>
      <c r="V1139" s="34"/>
      <c r="W1139" s="34"/>
      <c r="X1139" s="34"/>
      <c r="Y1139" s="34"/>
      <c r="Z1139" s="34"/>
      <c r="AA1139" s="34"/>
    </row>
    <row r="1140" spans="1:27" ht="15">
      <c r="A1140" s="66" t="s">
        <v>227</v>
      </c>
      <c r="B1140" s="66" t="s">
        <v>222</v>
      </c>
      <c r="C1140" s="67" t="s">
        <v>4454</v>
      </c>
      <c r="D1140" s="68">
        <v>5</v>
      </c>
      <c r="E1140" s="69"/>
      <c r="F1140" s="70">
        <v>20</v>
      </c>
      <c r="G1140" s="67"/>
      <c r="H1140" s="71"/>
      <c r="I1140" s="72"/>
      <c r="J1140" s="72"/>
      <c r="K1140" s="34" t="s">
        <v>65</v>
      </c>
      <c r="L1140" s="79">
        <v>1140</v>
      </c>
      <c r="M1140" s="79"/>
      <c r="N1140" s="74"/>
      <c r="O1140" s="81" t="s">
        <v>944</v>
      </c>
      <c r="P1140">
        <v>1</v>
      </c>
      <c r="Q1140" s="80" t="str">
        <f>REPLACE(INDEX(GroupVertices[Group],MATCH(Edges[[#This Row],[Vertex 1]],GroupVertices[Vertex],0)),1,1,"")</f>
        <v>3</v>
      </c>
      <c r="R1140" s="80" t="str">
        <f>REPLACE(INDEX(GroupVertices[Group],MATCH(Edges[[#This Row],[Vertex 2]],GroupVertices[Vertex],0)),1,1,"")</f>
        <v>2</v>
      </c>
      <c r="S1140" s="34"/>
      <c r="T1140" s="34"/>
      <c r="U1140" s="34"/>
      <c r="V1140" s="34"/>
      <c r="W1140" s="34"/>
      <c r="X1140" s="34"/>
      <c r="Y1140" s="34"/>
      <c r="Z1140" s="34"/>
      <c r="AA1140" s="34"/>
    </row>
    <row r="1141" spans="1:27" ht="15">
      <c r="A1141" s="66" t="s">
        <v>227</v>
      </c>
      <c r="B1141" s="66" t="s">
        <v>224</v>
      </c>
      <c r="C1141" s="67" t="s">
        <v>4454</v>
      </c>
      <c r="D1141" s="68">
        <v>5</v>
      </c>
      <c r="E1141" s="69"/>
      <c r="F1141" s="70">
        <v>20</v>
      </c>
      <c r="G1141" s="67"/>
      <c r="H1141" s="71"/>
      <c r="I1141" s="72"/>
      <c r="J1141" s="72"/>
      <c r="K1141" s="34" t="s">
        <v>65</v>
      </c>
      <c r="L1141" s="79">
        <v>1141</v>
      </c>
      <c r="M1141" s="79"/>
      <c r="N1141" s="74"/>
      <c r="O1141" s="81" t="s">
        <v>944</v>
      </c>
      <c r="P1141">
        <v>1</v>
      </c>
      <c r="Q1141" s="80" t="str">
        <f>REPLACE(INDEX(GroupVertices[Group],MATCH(Edges[[#This Row],[Vertex 1]],GroupVertices[Vertex],0)),1,1,"")</f>
        <v>3</v>
      </c>
      <c r="R1141" s="80" t="str">
        <f>REPLACE(INDEX(GroupVertices[Group],MATCH(Edges[[#This Row],[Vertex 2]],GroupVertices[Vertex],0)),1,1,"")</f>
        <v>2</v>
      </c>
      <c r="S1141" s="34"/>
      <c r="T1141" s="34"/>
      <c r="U1141" s="34"/>
      <c r="V1141" s="34"/>
      <c r="W1141" s="34"/>
      <c r="X1141" s="34"/>
      <c r="Y1141" s="34"/>
      <c r="Z1141" s="34"/>
      <c r="AA1141" s="34"/>
    </row>
    <row r="1142" spans="1:27" ht="15">
      <c r="A1142" s="66" t="s">
        <v>227</v>
      </c>
      <c r="B1142" s="66" t="s">
        <v>261</v>
      </c>
      <c r="C1142" s="67" t="s">
        <v>4454</v>
      </c>
      <c r="D1142" s="68">
        <v>5</v>
      </c>
      <c r="E1142" s="69"/>
      <c r="F1142" s="70">
        <v>20</v>
      </c>
      <c r="G1142" s="67"/>
      <c r="H1142" s="71"/>
      <c r="I1142" s="72"/>
      <c r="J1142" s="72"/>
      <c r="K1142" s="34" t="s">
        <v>65</v>
      </c>
      <c r="L1142" s="79">
        <v>1142</v>
      </c>
      <c r="M1142" s="79"/>
      <c r="N1142" s="74"/>
      <c r="O1142" s="81" t="s">
        <v>944</v>
      </c>
      <c r="P1142">
        <v>1</v>
      </c>
      <c r="Q1142" s="80" t="str">
        <f>REPLACE(INDEX(GroupVertices[Group],MATCH(Edges[[#This Row],[Vertex 1]],GroupVertices[Vertex],0)),1,1,"")</f>
        <v>3</v>
      </c>
      <c r="R1142" s="80" t="str">
        <f>REPLACE(INDEX(GroupVertices[Group],MATCH(Edges[[#This Row],[Vertex 2]],GroupVertices[Vertex],0)),1,1,"")</f>
        <v>1</v>
      </c>
      <c r="S1142" s="34"/>
      <c r="T1142" s="34"/>
      <c r="U1142" s="34"/>
      <c r="V1142" s="34"/>
      <c r="W1142" s="34"/>
      <c r="X1142" s="34"/>
      <c r="Y1142" s="34"/>
      <c r="Z1142" s="34"/>
      <c r="AA1142" s="34"/>
    </row>
    <row r="1143" spans="1:27" ht="15">
      <c r="A1143" s="66" t="s">
        <v>227</v>
      </c>
      <c r="B1143" s="66" t="s">
        <v>484</v>
      </c>
      <c r="C1143" s="67" t="s">
        <v>4454</v>
      </c>
      <c r="D1143" s="68">
        <v>5</v>
      </c>
      <c r="E1143" s="69"/>
      <c r="F1143" s="70">
        <v>20</v>
      </c>
      <c r="G1143" s="67"/>
      <c r="H1143" s="71"/>
      <c r="I1143" s="72"/>
      <c r="J1143" s="72"/>
      <c r="K1143" s="34" t="s">
        <v>65</v>
      </c>
      <c r="L1143" s="79">
        <v>1143</v>
      </c>
      <c r="M1143" s="79"/>
      <c r="N1143" s="74"/>
      <c r="O1143" s="81" t="s">
        <v>944</v>
      </c>
      <c r="P1143">
        <v>1</v>
      </c>
      <c r="Q1143" s="80" t="str">
        <f>REPLACE(INDEX(GroupVertices[Group],MATCH(Edges[[#This Row],[Vertex 1]],GroupVertices[Vertex],0)),1,1,"")</f>
        <v>3</v>
      </c>
      <c r="R1143" s="80" t="str">
        <f>REPLACE(INDEX(GroupVertices[Group],MATCH(Edges[[#This Row],[Vertex 2]],GroupVertices[Vertex],0)),1,1,"")</f>
        <v>1</v>
      </c>
      <c r="S1143" s="34"/>
      <c r="T1143" s="34"/>
      <c r="U1143" s="34"/>
      <c r="V1143" s="34"/>
      <c r="W1143" s="34"/>
      <c r="X1143" s="34"/>
      <c r="Y1143" s="34"/>
      <c r="Z1143" s="34"/>
      <c r="AA1143" s="34"/>
    </row>
    <row r="1144" spans="1:27" ht="15">
      <c r="A1144" s="66" t="s">
        <v>227</v>
      </c>
      <c r="B1144" s="66" t="s">
        <v>847</v>
      </c>
      <c r="C1144" s="67" t="s">
        <v>4454</v>
      </c>
      <c r="D1144" s="68">
        <v>5</v>
      </c>
      <c r="E1144" s="69"/>
      <c r="F1144" s="70">
        <v>20</v>
      </c>
      <c r="G1144" s="67"/>
      <c r="H1144" s="71"/>
      <c r="I1144" s="72"/>
      <c r="J1144" s="72"/>
      <c r="K1144" s="34" t="s">
        <v>65</v>
      </c>
      <c r="L1144" s="79">
        <v>1144</v>
      </c>
      <c r="M1144" s="79"/>
      <c r="N1144" s="74"/>
      <c r="O1144" s="81" t="s">
        <v>944</v>
      </c>
      <c r="P1144">
        <v>1</v>
      </c>
      <c r="Q1144" s="80" t="str">
        <f>REPLACE(INDEX(GroupVertices[Group],MATCH(Edges[[#This Row],[Vertex 1]],GroupVertices[Vertex],0)),1,1,"")</f>
        <v>3</v>
      </c>
      <c r="R1144" s="80" t="str">
        <f>REPLACE(INDEX(GroupVertices[Group],MATCH(Edges[[#This Row],[Vertex 2]],GroupVertices[Vertex],0)),1,1,"")</f>
        <v>3</v>
      </c>
      <c r="S1144" s="34"/>
      <c r="T1144" s="34"/>
      <c r="U1144" s="34"/>
      <c r="V1144" s="34"/>
      <c r="W1144" s="34"/>
      <c r="X1144" s="34"/>
      <c r="Y1144" s="34"/>
      <c r="Z1144" s="34"/>
      <c r="AA1144" s="34"/>
    </row>
    <row r="1145" spans="1:27" ht="15">
      <c r="A1145" s="66" t="s">
        <v>227</v>
      </c>
      <c r="B1145" s="66" t="s">
        <v>848</v>
      </c>
      <c r="C1145" s="67" t="s">
        <v>4454</v>
      </c>
      <c r="D1145" s="68">
        <v>5</v>
      </c>
      <c r="E1145" s="69"/>
      <c r="F1145" s="70">
        <v>20</v>
      </c>
      <c r="G1145" s="67"/>
      <c r="H1145" s="71"/>
      <c r="I1145" s="72"/>
      <c r="J1145" s="72"/>
      <c r="K1145" s="34" t="s">
        <v>65</v>
      </c>
      <c r="L1145" s="79">
        <v>1145</v>
      </c>
      <c r="M1145" s="79"/>
      <c r="N1145" s="74"/>
      <c r="O1145" s="81" t="s">
        <v>944</v>
      </c>
      <c r="P1145">
        <v>1</v>
      </c>
      <c r="Q1145" s="80" t="str">
        <f>REPLACE(INDEX(GroupVertices[Group],MATCH(Edges[[#This Row],[Vertex 1]],GroupVertices[Vertex],0)),1,1,"")</f>
        <v>3</v>
      </c>
      <c r="R1145" s="80" t="str">
        <f>REPLACE(INDEX(GroupVertices[Group],MATCH(Edges[[#This Row],[Vertex 2]],GroupVertices[Vertex],0)),1,1,"")</f>
        <v>3</v>
      </c>
      <c r="S1145" s="34"/>
      <c r="T1145" s="34"/>
      <c r="U1145" s="34"/>
      <c r="V1145" s="34"/>
      <c r="W1145" s="34"/>
      <c r="X1145" s="34"/>
      <c r="Y1145" s="34"/>
      <c r="Z1145" s="34"/>
      <c r="AA1145" s="34"/>
    </row>
    <row r="1146" spans="1:27" ht="15">
      <c r="A1146" s="66" t="s">
        <v>227</v>
      </c>
      <c r="B1146" s="66" t="s">
        <v>215</v>
      </c>
      <c r="C1146" s="67" t="s">
        <v>4454</v>
      </c>
      <c r="D1146" s="68">
        <v>5</v>
      </c>
      <c r="E1146" s="69"/>
      <c r="F1146" s="70">
        <v>20</v>
      </c>
      <c r="G1146" s="67"/>
      <c r="H1146" s="71"/>
      <c r="I1146" s="72"/>
      <c r="J1146" s="72"/>
      <c r="K1146" s="34" t="s">
        <v>66</v>
      </c>
      <c r="L1146" s="79">
        <v>1146</v>
      </c>
      <c r="M1146" s="79"/>
      <c r="N1146" s="74"/>
      <c r="O1146" s="81" t="s">
        <v>944</v>
      </c>
      <c r="P1146">
        <v>1</v>
      </c>
      <c r="Q1146" s="80" t="str">
        <f>REPLACE(INDEX(GroupVertices[Group],MATCH(Edges[[#This Row],[Vertex 1]],GroupVertices[Vertex],0)),1,1,"")</f>
        <v>3</v>
      </c>
      <c r="R1146" s="80" t="str">
        <f>REPLACE(INDEX(GroupVertices[Group],MATCH(Edges[[#This Row],[Vertex 2]],GroupVertices[Vertex],0)),1,1,"")</f>
        <v>3</v>
      </c>
      <c r="S1146" s="34"/>
      <c r="T1146" s="34"/>
      <c r="U1146" s="34"/>
      <c r="V1146" s="34"/>
      <c r="W1146" s="34"/>
      <c r="X1146" s="34"/>
      <c r="Y1146" s="34"/>
      <c r="Z1146" s="34"/>
      <c r="AA1146" s="34"/>
    </row>
    <row r="1147" spans="1:27" ht="15">
      <c r="A1147" s="66" t="s">
        <v>227</v>
      </c>
      <c r="B1147" s="66" t="s">
        <v>478</v>
      </c>
      <c r="C1147" s="67" t="s">
        <v>4454</v>
      </c>
      <c r="D1147" s="68">
        <v>5</v>
      </c>
      <c r="E1147" s="69"/>
      <c r="F1147" s="70">
        <v>20</v>
      </c>
      <c r="G1147" s="67"/>
      <c r="H1147" s="71"/>
      <c r="I1147" s="72"/>
      <c r="J1147" s="72"/>
      <c r="K1147" s="34" t="s">
        <v>65</v>
      </c>
      <c r="L1147" s="79">
        <v>1147</v>
      </c>
      <c r="M1147" s="79"/>
      <c r="N1147" s="74"/>
      <c r="O1147" s="81" t="s">
        <v>944</v>
      </c>
      <c r="P1147">
        <v>1</v>
      </c>
      <c r="Q1147" s="80" t="str">
        <f>REPLACE(INDEX(GroupVertices[Group],MATCH(Edges[[#This Row],[Vertex 1]],GroupVertices[Vertex],0)),1,1,"")</f>
        <v>3</v>
      </c>
      <c r="R1147" s="80" t="str">
        <f>REPLACE(INDEX(GroupVertices[Group],MATCH(Edges[[#This Row],[Vertex 2]],GroupVertices[Vertex],0)),1,1,"")</f>
        <v>3</v>
      </c>
      <c r="S1147" s="34"/>
      <c r="T1147" s="34"/>
      <c r="U1147" s="34"/>
      <c r="V1147" s="34"/>
      <c r="W1147" s="34"/>
      <c r="X1147" s="34"/>
      <c r="Y1147" s="34"/>
      <c r="Z1147" s="34"/>
      <c r="AA1147" s="34"/>
    </row>
    <row r="1148" spans="1:27" ht="15">
      <c r="A1148" s="66" t="s">
        <v>227</v>
      </c>
      <c r="B1148" s="66" t="s">
        <v>849</v>
      </c>
      <c r="C1148" s="67" t="s">
        <v>4454</v>
      </c>
      <c r="D1148" s="68">
        <v>5</v>
      </c>
      <c r="E1148" s="69"/>
      <c r="F1148" s="70">
        <v>20</v>
      </c>
      <c r="G1148" s="67"/>
      <c r="H1148" s="71"/>
      <c r="I1148" s="72"/>
      <c r="J1148" s="72"/>
      <c r="K1148" s="34" t="s">
        <v>65</v>
      </c>
      <c r="L1148" s="79">
        <v>1148</v>
      </c>
      <c r="M1148" s="79"/>
      <c r="N1148" s="74"/>
      <c r="O1148" s="81" t="s">
        <v>944</v>
      </c>
      <c r="P1148">
        <v>1</v>
      </c>
      <c r="Q1148" s="80" t="str">
        <f>REPLACE(INDEX(GroupVertices[Group],MATCH(Edges[[#This Row],[Vertex 1]],GroupVertices[Vertex],0)),1,1,"")</f>
        <v>3</v>
      </c>
      <c r="R1148" s="80" t="str">
        <f>REPLACE(INDEX(GroupVertices[Group],MATCH(Edges[[#This Row],[Vertex 2]],GroupVertices[Vertex],0)),1,1,"")</f>
        <v>1</v>
      </c>
      <c r="S1148" s="34"/>
      <c r="T1148" s="34"/>
      <c r="U1148" s="34"/>
      <c r="V1148" s="34"/>
      <c r="W1148" s="34"/>
      <c r="X1148" s="34"/>
      <c r="Y1148" s="34"/>
      <c r="Z1148" s="34"/>
      <c r="AA1148" s="34"/>
    </row>
    <row r="1149" spans="1:27" ht="15">
      <c r="A1149" s="66" t="s">
        <v>227</v>
      </c>
      <c r="B1149" s="66" t="s">
        <v>239</v>
      </c>
      <c r="C1149" s="67" t="s">
        <v>4454</v>
      </c>
      <c r="D1149" s="68">
        <v>5</v>
      </c>
      <c r="E1149" s="69"/>
      <c r="F1149" s="70">
        <v>20</v>
      </c>
      <c r="G1149" s="67"/>
      <c r="H1149" s="71"/>
      <c r="I1149" s="72"/>
      <c r="J1149" s="72"/>
      <c r="K1149" s="34" t="s">
        <v>66</v>
      </c>
      <c r="L1149" s="79">
        <v>1149</v>
      </c>
      <c r="M1149" s="79"/>
      <c r="N1149" s="74"/>
      <c r="O1149" s="81" t="s">
        <v>944</v>
      </c>
      <c r="P1149">
        <v>1</v>
      </c>
      <c r="Q1149" s="80" t="str">
        <f>REPLACE(INDEX(GroupVertices[Group],MATCH(Edges[[#This Row],[Vertex 1]],GroupVertices[Vertex],0)),1,1,"")</f>
        <v>3</v>
      </c>
      <c r="R1149" s="80" t="str">
        <f>REPLACE(INDEX(GroupVertices[Group],MATCH(Edges[[#This Row],[Vertex 2]],GroupVertices[Vertex],0)),1,1,"")</f>
        <v>3</v>
      </c>
      <c r="S1149" s="34"/>
      <c r="T1149" s="34"/>
      <c r="U1149" s="34"/>
      <c r="V1149" s="34"/>
      <c r="W1149" s="34"/>
      <c r="X1149" s="34"/>
      <c r="Y1149" s="34"/>
      <c r="Z1149" s="34"/>
      <c r="AA1149" s="34"/>
    </row>
    <row r="1150" spans="1:27" ht="15">
      <c r="A1150" s="66" t="s">
        <v>227</v>
      </c>
      <c r="B1150" s="66" t="s">
        <v>253</v>
      </c>
      <c r="C1150" s="67" t="s">
        <v>4454</v>
      </c>
      <c r="D1150" s="68">
        <v>5</v>
      </c>
      <c r="E1150" s="69"/>
      <c r="F1150" s="70">
        <v>20</v>
      </c>
      <c r="G1150" s="67"/>
      <c r="H1150" s="71"/>
      <c r="I1150" s="72"/>
      <c r="J1150" s="72"/>
      <c r="K1150" s="34" t="s">
        <v>65</v>
      </c>
      <c r="L1150" s="79">
        <v>1150</v>
      </c>
      <c r="M1150" s="79"/>
      <c r="N1150" s="74"/>
      <c r="O1150" s="81" t="s">
        <v>944</v>
      </c>
      <c r="P1150">
        <v>1</v>
      </c>
      <c r="Q1150" s="80" t="str">
        <f>REPLACE(INDEX(GroupVertices[Group],MATCH(Edges[[#This Row],[Vertex 1]],GroupVertices[Vertex],0)),1,1,"")</f>
        <v>3</v>
      </c>
      <c r="R1150" s="80" t="str">
        <f>REPLACE(INDEX(GroupVertices[Group],MATCH(Edges[[#This Row],[Vertex 2]],GroupVertices[Vertex],0)),1,1,"")</f>
        <v>1</v>
      </c>
      <c r="S1150" s="34"/>
      <c r="T1150" s="34"/>
      <c r="U1150" s="34"/>
      <c r="V1150" s="34"/>
      <c r="W1150" s="34"/>
      <c r="X1150" s="34"/>
      <c r="Y1150" s="34"/>
      <c r="Z1150" s="34"/>
      <c r="AA1150" s="34"/>
    </row>
    <row r="1151" spans="1:27" ht="15">
      <c r="A1151" s="66" t="s">
        <v>227</v>
      </c>
      <c r="B1151" s="66" t="s">
        <v>850</v>
      </c>
      <c r="C1151" s="67" t="s">
        <v>4454</v>
      </c>
      <c r="D1151" s="68">
        <v>5</v>
      </c>
      <c r="E1151" s="69"/>
      <c r="F1151" s="70">
        <v>20</v>
      </c>
      <c r="G1151" s="67"/>
      <c r="H1151" s="71"/>
      <c r="I1151" s="72"/>
      <c r="J1151" s="72"/>
      <c r="K1151" s="34" t="s">
        <v>65</v>
      </c>
      <c r="L1151" s="79">
        <v>1151</v>
      </c>
      <c r="M1151" s="79"/>
      <c r="N1151" s="74"/>
      <c r="O1151" s="81" t="s">
        <v>944</v>
      </c>
      <c r="P1151">
        <v>1</v>
      </c>
      <c r="Q1151" s="80" t="str">
        <f>REPLACE(INDEX(GroupVertices[Group],MATCH(Edges[[#This Row],[Vertex 1]],GroupVertices[Vertex],0)),1,1,"")</f>
        <v>3</v>
      </c>
      <c r="R1151" s="80" t="str">
        <f>REPLACE(INDEX(GroupVertices[Group],MATCH(Edges[[#This Row],[Vertex 2]],GroupVertices[Vertex],0)),1,1,"")</f>
        <v>3</v>
      </c>
      <c r="S1151" s="34"/>
      <c r="T1151" s="34"/>
      <c r="U1151" s="34"/>
      <c r="V1151" s="34"/>
      <c r="W1151" s="34"/>
      <c r="X1151" s="34"/>
      <c r="Y1151" s="34"/>
      <c r="Z1151" s="34"/>
      <c r="AA1151" s="34"/>
    </row>
    <row r="1152" spans="1:27" ht="15">
      <c r="A1152" s="66" t="s">
        <v>227</v>
      </c>
      <c r="B1152" s="66" t="s">
        <v>510</v>
      </c>
      <c r="C1152" s="67" t="s">
        <v>4454</v>
      </c>
      <c r="D1152" s="68">
        <v>5</v>
      </c>
      <c r="E1152" s="69"/>
      <c r="F1152" s="70">
        <v>20</v>
      </c>
      <c r="G1152" s="67"/>
      <c r="H1152" s="71"/>
      <c r="I1152" s="72"/>
      <c r="J1152" s="72"/>
      <c r="K1152" s="34" t="s">
        <v>65</v>
      </c>
      <c r="L1152" s="79">
        <v>1152</v>
      </c>
      <c r="M1152" s="79"/>
      <c r="N1152" s="74"/>
      <c r="O1152" s="81" t="s">
        <v>944</v>
      </c>
      <c r="P1152">
        <v>1</v>
      </c>
      <c r="Q1152" s="80" t="str">
        <f>REPLACE(INDEX(GroupVertices[Group],MATCH(Edges[[#This Row],[Vertex 1]],GroupVertices[Vertex],0)),1,1,"")</f>
        <v>3</v>
      </c>
      <c r="R1152" s="80" t="str">
        <f>REPLACE(INDEX(GroupVertices[Group],MATCH(Edges[[#This Row],[Vertex 2]],GroupVertices[Vertex],0)),1,1,"")</f>
        <v>2</v>
      </c>
      <c r="S1152" s="34"/>
      <c r="T1152" s="34"/>
      <c r="U1152" s="34"/>
      <c r="V1152" s="34"/>
      <c r="W1152" s="34"/>
      <c r="X1152" s="34"/>
      <c r="Y1152" s="34"/>
      <c r="Z1152" s="34"/>
      <c r="AA1152" s="34"/>
    </row>
    <row r="1153" spans="1:27" ht="15">
      <c r="A1153" s="66" t="s">
        <v>227</v>
      </c>
      <c r="B1153" s="66" t="s">
        <v>228</v>
      </c>
      <c r="C1153" s="67" t="s">
        <v>4454</v>
      </c>
      <c r="D1153" s="68">
        <v>5</v>
      </c>
      <c r="E1153" s="69"/>
      <c r="F1153" s="70">
        <v>20</v>
      </c>
      <c r="G1153" s="67"/>
      <c r="H1153" s="71"/>
      <c r="I1153" s="72"/>
      <c r="J1153" s="72"/>
      <c r="K1153" s="34" t="s">
        <v>66</v>
      </c>
      <c r="L1153" s="79">
        <v>1153</v>
      </c>
      <c r="M1153" s="79"/>
      <c r="N1153" s="74"/>
      <c r="O1153" s="81" t="s">
        <v>944</v>
      </c>
      <c r="P1153">
        <v>1</v>
      </c>
      <c r="Q1153" s="80" t="str">
        <f>REPLACE(INDEX(GroupVertices[Group],MATCH(Edges[[#This Row],[Vertex 1]],GroupVertices[Vertex],0)),1,1,"")</f>
        <v>3</v>
      </c>
      <c r="R1153" s="80" t="str">
        <f>REPLACE(INDEX(GroupVertices[Group],MATCH(Edges[[#This Row],[Vertex 2]],GroupVertices[Vertex],0)),1,1,"")</f>
        <v>3</v>
      </c>
      <c r="S1153" s="34"/>
      <c r="T1153" s="34"/>
      <c r="U1153" s="34"/>
      <c r="V1153" s="34"/>
      <c r="W1153" s="34"/>
      <c r="X1153" s="34"/>
      <c r="Y1153" s="34"/>
      <c r="Z1153" s="34"/>
      <c r="AA1153" s="34"/>
    </row>
    <row r="1154" spans="1:27" ht="15">
      <c r="A1154" s="66" t="s">
        <v>227</v>
      </c>
      <c r="B1154" s="66" t="s">
        <v>254</v>
      </c>
      <c r="C1154" s="67" t="s">
        <v>4454</v>
      </c>
      <c r="D1154" s="68">
        <v>5</v>
      </c>
      <c r="E1154" s="69"/>
      <c r="F1154" s="70">
        <v>20</v>
      </c>
      <c r="G1154" s="67"/>
      <c r="H1154" s="71"/>
      <c r="I1154" s="72"/>
      <c r="J1154" s="72"/>
      <c r="K1154" s="34" t="s">
        <v>65</v>
      </c>
      <c r="L1154" s="79">
        <v>1154</v>
      </c>
      <c r="M1154" s="79"/>
      <c r="N1154" s="74"/>
      <c r="O1154" s="81" t="s">
        <v>944</v>
      </c>
      <c r="P1154">
        <v>1</v>
      </c>
      <c r="Q1154" s="80" t="str">
        <f>REPLACE(INDEX(GroupVertices[Group],MATCH(Edges[[#This Row],[Vertex 1]],GroupVertices[Vertex],0)),1,1,"")</f>
        <v>3</v>
      </c>
      <c r="R1154" s="80" t="str">
        <f>REPLACE(INDEX(GroupVertices[Group],MATCH(Edges[[#This Row],[Vertex 2]],GroupVertices[Vertex],0)),1,1,"")</f>
        <v>3</v>
      </c>
      <c r="S1154" s="34"/>
      <c r="T1154" s="34"/>
      <c r="U1154" s="34"/>
      <c r="V1154" s="34"/>
      <c r="W1154" s="34"/>
      <c r="X1154" s="34"/>
      <c r="Y1154" s="34"/>
      <c r="Z1154" s="34"/>
      <c r="AA1154" s="34"/>
    </row>
    <row r="1155" spans="1:27" ht="15">
      <c r="A1155" s="66" t="s">
        <v>227</v>
      </c>
      <c r="B1155" s="66" t="s">
        <v>259</v>
      </c>
      <c r="C1155" s="67" t="s">
        <v>4454</v>
      </c>
      <c r="D1155" s="68">
        <v>5</v>
      </c>
      <c r="E1155" s="69"/>
      <c r="F1155" s="70">
        <v>20</v>
      </c>
      <c r="G1155" s="67"/>
      <c r="H1155" s="71"/>
      <c r="I1155" s="72"/>
      <c r="J1155" s="72"/>
      <c r="K1155" s="34" t="s">
        <v>65</v>
      </c>
      <c r="L1155" s="79">
        <v>1155</v>
      </c>
      <c r="M1155" s="79"/>
      <c r="N1155" s="74"/>
      <c r="O1155" s="81" t="s">
        <v>944</v>
      </c>
      <c r="P1155">
        <v>1</v>
      </c>
      <c r="Q1155" s="80" t="str">
        <f>REPLACE(INDEX(GroupVertices[Group],MATCH(Edges[[#This Row],[Vertex 1]],GroupVertices[Vertex],0)),1,1,"")</f>
        <v>3</v>
      </c>
      <c r="R1155" s="80" t="str">
        <f>REPLACE(INDEX(GroupVertices[Group],MATCH(Edges[[#This Row],[Vertex 2]],GroupVertices[Vertex],0)),1,1,"")</f>
        <v>2</v>
      </c>
      <c r="S1155" s="34"/>
      <c r="T1155" s="34"/>
      <c r="U1155" s="34"/>
      <c r="V1155" s="34"/>
      <c r="W1155" s="34"/>
      <c r="X1155" s="34"/>
      <c r="Y1155" s="34"/>
      <c r="Z1155" s="34"/>
      <c r="AA1155" s="34"/>
    </row>
    <row r="1156" spans="1:27" ht="15">
      <c r="A1156" s="66" t="s">
        <v>228</v>
      </c>
      <c r="B1156" s="66" t="s">
        <v>227</v>
      </c>
      <c r="C1156" s="67" t="s">
        <v>4454</v>
      </c>
      <c r="D1156" s="68">
        <v>5</v>
      </c>
      <c r="E1156" s="69"/>
      <c r="F1156" s="70">
        <v>20</v>
      </c>
      <c r="G1156" s="67"/>
      <c r="H1156" s="71"/>
      <c r="I1156" s="72"/>
      <c r="J1156" s="72"/>
      <c r="K1156" s="34" t="s">
        <v>66</v>
      </c>
      <c r="L1156" s="79">
        <v>1156</v>
      </c>
      <c r="M1156" s="79"/>
      <c r="N1156" s="74"/>
      <c r="O1156" s="81" t="s">
        <v>944</v>
      </c>
      <c r="P1156">
        <v>1</v>
      </c>
      <c r="Q1156" s="80" t="str">
        <f>REPLACE(INDEX(GroupVertices[Group],MATCH(Edges[[#This Row],[Vertex 1]],GroupVertices[Vertex],0)),1,1,"")</f>
        <v>3</v>
      </c>
      <c r="R1156" s="80" t="str">
        <f>REPLACE(INDEX(GroupVertices[Group],MATCH(Edges[[#This Row],[Vertex 2]],GroupVertices[Vertex],0)),1,1,"")</f>
        <v>3</v>
      </c>
      <c r="S1156" s="34"/>
      <c r="T1156" s="34"/>
      <c r="U1156" s="34"/>
      <c r="V1156" s="34"/>
      <c r="W1156" s="34"/>
      <c r="X1156" s="34"/>
      <c r="Y1156" s="34"/>
      <c r="Z1156" s="34"/>
      <c r="AA1156" s="34"/>
    </row>
    <row r="1157" spans="1:27" ht="15">
      <c r="A1157" s="66" t="s">
        <v>239</v>
      </c>
      <c r="B1157" s="66" t="s">
        <v>227</v>
      </c>
      <c r="C1157" s="67" t="s">
        <v>4454</v>
      </c>
      <c r="D1157" s="68">
        <v>5</v>
      </c>
      <c r="E1157" s="69"/>
      <c r="F1157" s="70">
        <v>20</v>
      </c>
      <c r="G1157" s="67"/>
      <c r="H1157" s="71"/>
      <c r="I1157" s="72"/>
      <c r="J1157" s="72"/>
      <c r="K1157" s="34" t="s">
        <v>66</v>
      </c>
      <c r="L1157" s="79">
        <v>1157</v>
      </c>
      <c r="M1157" s="79"/>
      <c r="N1157" s="74"/>
      <c r="O1157" s="81" t="s">
        <v>944</v>
      </c>
      <c r="P1157">
        <v>1</v>
      </c>
      <c r="Q1157" s="80" t="str">
        <f>REPLACE(INDEX(GroupVertices[Group],MATCH(Edges[[#This Row],[Vertex 1]],GroupVertices[Vertex],0)),1,1,"")</f>
        <v>3</v>
      </c>
      <c r="R1157" s="80" t="str">
        <f>REPLACE(INDEX(GroupVertices[Group],MATCH(Edges[[#This Row],[Vertex 2]],GroupVertices[Vertex],0)),1,1,"")</f>
        <v>3</v>
      </c>
      <c r="S1157" s="34"/>
      <c r="T1157" s="34"/>
      <c r="U1157" s="34"/>
      <c r="V1157" s="34"/>
      <c r="W1157" s="34"/>
      <c r="X1157" s="34"/>
      <c r="Y1157" s="34"/>
      <c r="Z1157" s="34"/>
      <c r="AA1157" s="34"/>
    </row>
    <row r="1158" spans="1:27" ht="15">
      <c r="A1158" s="66" t="s">
        <v>246</v>
      </c>
      <c r="B1158" s="66" t="s">
        <v>227</v>
      </c>
      <c r="C1158" s="67" t="s">
        <v>4454</v>
      </c>
      <c r="D1158" s="68">
        <v>5</v>
      </c>
      <c r="E1158" s="69"/>
      <c r="F1158" s="70">
        <v>20</v>
      </c>
      <c r="G1158" s="67"/>
      <c r="H1158" s="71"/>
      <c r="I1158" s="72"/>
      <c r="J1158" s="72"/>
      <c r="K1158" s="34" t="s">
        <v>65</v>
      </c>
      <c r="L1158" s="79">
        <v>1158</v>
      </c>
      <c r="M1158" s="79"/>
      <c r="N1158" s="74"/>
      <c r="O1158" s="81" t="s">
        <v>944</v>
      </c>
      <c r="P1158">
        <v>1</v>
      </c>
      <c r="Q1158" s="80" t="str">
        <f>REPLACE(INDEX(GroupVertices[Group],MATCH(Edges[[#This Row],[Vertex 1]],GroupVertices[Vertex],0)),1,1,"")</f>
        <v>2</v>
      </c>
      <c r="R1158" s="80" t="str">
        <f>REPLACE(INDEX(GroupVertices[Group],MATCH(Edges[[#This Row],[Vertex 2]],GroupVertices[Vertex],0)),1,1,"")</f>
        <v>3</v>
      </c>
      <c r="S1158" s="34"/>
      <c r="T1158" s="34"/>
      <c r="U1158" s="34"/>
      <c r="V1158" s="34"/>
      <c r="W1158" s="34"/>
      <c r="X1158" s="34"/>
      <c r="Y1158" s="34"/>
      <c r="Z1158" s="34"/>
      <c r="AA1158" s="34"/>
    </row>
    <row r="1159" spans="1:27" ht="15">
      <c r="A1159" s="66" t="s">
        <v>255</v>
      </c>
      <c r="B1159" s="66" t="s">
        <v>227</v>
      </c>
      <c r="C1159" s="67" t="s">
        <v>4454</v>
      </c>
      <c r="D1159" s="68">
        <v>5</v>
      </c>
      <c r="E1159" s="69"/>
      <c r="F1159" s="70">
        <v>20</v>
      </c>
      <c r="G1159" s="67"/>
      <c r="H1159" s="71"/>
      <c r="I1159" s="72"/>
      <c r="J1159" s="72"/>
      <c r="K1159" s="34" t="s">
        <v>65</v>
      </c>
      <c r="L1159" s="79">
        <v>1159</v>
      </c>
      <c r="M1159" s="79"/>
      <c r="N1159" s="74"/>
      <c r="O1159" s="81" t="s">
        <v>944</v>
      </c>
      <c r="P1159">
        <v>1</v>
      </c>
      <c r="Q1159" s="80" t="str">
        <f>REPLACE(INDEX(GroupVertices[Group],MATCH(Edges[[#This Row],[Vertex 1]],GroupVertices[Vertex],0)),1,1,"")</f>
        <v>4</v>
      </c>
      <c r="R1159" s="80" t="str">
        <f>REPLACE(INDEX(GroupVertices[Group],MATCH(Edges[[#This Row],[Vertex 2]],GroupVertices[Vertex],0)),1,1,"")</f>
        <v>3</v>
      </c>
      <c r="S1159" s="34"/>
      <c r="T1159" s="34"/>
      <c r="U1159" s="34"/>
      <c r="V1159" s="34"/>
      <c r="W1159" s="34"/>
      <c r="X1159" s="34"/>
      <c r="Y1159" s="34"/>
      <c r="Z1159" s="34"/>
      <c r="AA1159" s="34"/>
    </row>
    <row r="1160" spans="1:27" ht="15">
      <c r="A1160" s="66" t="s">
        <v>255</v>
      </c>
      <c r="B1160" s="66" t="s">
        <v>851</v>
      </c>
      <c r="C1160" s="67" t="s">
        <v>4454</v>
      </c>
      <c r="D1160" s="68">
        <v>5</v>
      </c>
      <c r="E1160" s="69"/>
      <c r="F1160" s="70">
        <v>20</v>
      </c>
      <c r="G1160" s="67"/>
      <c r="H1160" s="71"/>
      <c r="I1160" s="72"/>
      <c r="J1160" s="72"/>
      <c r="K1160" s="34"/>
      <c r="L1160" s="79">
        <v>1160</v>
      </c>
      <c r="M1160" s="79"/>
      <c r="N1160" s="74"/>
      <c r="O1160" s="81" t="s">
        <v>944</v>
      </c>
      <c r="P1160">
        <v>1</v>
      </c>
      <c r="Q1160" s="80" t="str">
        <f>REPLACE(INDEX(GroupVertices[Group],MATCH(Edges[[#This Row],[Vertex 1]],GroupVertices[Vertex],0)),1,1,"")</f>
        <v>4</v>
      </c>
      <c r="R1160" s="80" t="e">
        <f>REPLACE(INDEX(GroupVertices[Group],MATCH(Edges[[#This Row],[Vertex 2]],GroupVertices[Vertex],0)),1,1,"")</f>
        <v>#N/A</v>
      </c>
      <c r="S1160" s="34"/>
      <c r="T1160" s="34"/>
      <c r="U1160" s="34"/>
      <c r="V1160" s="34"/>
      <c r="W1160" s="34"/>
      <c r="X1160" s="34"/>
      <c r="Y1160" s="34"/>
      <c r="Z1160" s="34"/>
      <c r="AA1160" s="34"/>
    </row>
    <row r="1161" spans="1:27" ht="15">
      <c r="A1161" s="66" t="s">
        <v>251</v>
      </c>
      <c r="B1161" s="66" t="s">
        <v>852</v>
      </c>
      <c r="C1161" s="67" t="s">
        <v>4454</v>
      </c>
      <c r="D1161" s="68">
        <v>5</v>
      </c>
      <c r="E1161" s="69"/>
      <c r="F1161" s="70">
        <v>20</v>
      </c>
      <c r="G1161" s="67"/>
      <c r="H1161" s="71"/>
      <c r="I1161" s="72"/>
      <c r="J1161" s="72"/>
      <c r="K1161" s="34" t="s">
        <v>65</v>
      </c>
      <c r="L1161" s="79">
        <v>1161</v>
      </c>
      <c r="M1161" s="79"/>
      <c r="N1161" s="74"/>
      <c r="O1161" s="81" t="s">
        <v>944</v>
      </c>
      <c r="P1161">
        <v>1</v>
      </c>
      <c r="Q1161" s="80" t="str">
        <f>REPLACE(INDEX(GroupVertices[Group],MATCH(Edges[[#This Row],[Vertex 1]],GroupVertices[Vertex],0)),1,1,"")</f>
        <v>2</v>
      </c>
      <c r="R1161" s="80" t="str">
        <f>REPLACE(INDEX(GroupVertices[Group],MATCH(Edges[[#This Row],[Vertex 2]],GroupVertices[Vertex],0)),1,1,"")</f>
        <v>4</v>
      </c>
      <c r="S1161" s="34"/>
      <c r="T1161" s="34"/>
      <c r="U1161" s="34"/>
      <c r="V1161" s="34"/>
      <c r="W1161" s="34"/>
      <c r="X1161" s="34"/>
      <c r="Y1161" s="34"/>
      <c r="Z1161" s="34"/>
      <c r="AA1161" s="34"/>
    </row>
    <row r="1162" spans="1:27" ht="15">
      <c r="A1162" s="66" t="s">
        <v>255</v>
      </c>
      <c r="B1162" s="66" t="s">
        <v>852</v>
      </c>
      <c r="C1162" s="67" t="s">
        <v>4454</v>
      </c>
      <c r="D1162" s="68">
        <v>5</v>
      </c>
      <c r="E1162" s="69"/>
      <c r="F1162" s="70">
        <v>20</v>
      </c>
      <c r="G1162" s="67"/>
      <c r="H1162" s="71"/>
      <c r="I1162" s="72"/>
      <c r="J1162" s="72"/>
      <c r="K1162" s="34" t="s">
        <v>65</v>
      </c>
      <c r="L1162" s="79">
        <v>1162</v>
      </c>
      <c r="M1162" s="79"/>
      <c r="N1162" s="74"/>
      <c r="O1162" s="81" t="s">
        <v>944</v>
      </c>
      <c r="P1162">
        <v>1</v>
      </c>
      <c r="Q1162" s="80" t="str">
        <f>REPLACE(INDEX(GroupVertices[Group],MATCH(Edges[[#This Row],[Vertex 1]],GroupVertices[Vertex],0)),1,1,"")</f>
        <v>4</v>
      </c>
      <c r="R1162" s="80" t="str">
        <f>REPLACE(INDEX(GroupVertices[Group],MATCH(Edges[[#This Row],[Vertex 2]],GroupVertices[Vertex],0)),1,1,"")</f>
        <v>4</v>
      </c>
      <c r="S1162" s="34"/>
      <c r="T1162" s="34"/>
      <c r="U1162" s="34"/>
      <c r="V1162" s="34"/>
      <c r="W1162" s="34"/>
      <c r="X1162" s="34"/>
      <c r="Y1162" s="34"/>
      <c r="Z1162" s="34"/>
      <c r="AA1162" s="34"/>
    </row>
    <row r="1163" spans="1:27" ht="15">
      <c r="A1163" s="66" t="s">
        <v>216</v>
      </c>
      <c r="B1163" s="66" t="s">
        <v>602</v>
      </c>
      <c r="C1163" s="67" t="s">
        <v>4454</v>
      </c>
      <c r="D1163" s="68">
        <v>5</v>
      </c>
      <c r="E1163" s="69"/>
      <c r="F1163" s="70">
        <v>20</v>
      </c>
      <c r="G1163" s="67"/>
      <c r="H1163" s="71"/>
      <c r="I1163" s="72"/>
      <c r="J1163" s="72"/>
      <c r="K1163" s="34" t="s">
        <v>65</v>
      </c>
      <c r="L1163" s="79">
        <v>1163</v>
      </c>
      <c r="M1163" s="79"/>
      <c r="N1163" s="74"/>
      <c r="O1163" s="81" t="s">
        <v>944</v>
      </c>
      <c r="P1163">
        <v>1</v>
      </c>
      <c r="Q1163" s="80" t="str">
        <f>REPLACE(INDEX(GroupVertices[Group],MATCH(Edges[[#This Row],[Vertex 1]],GroupVertices[Vertex],0)),1,1,"")</f>
        <v>3</v>
      </c>
      <c r="R1163" s="80" t="str">
        <f>REPLACE(INDEX(GroupVertices[Group],MATCH(Edges[[#This Row],[Vertex 2]],GroupVertices[Vertex],0)),1,1,"")</f>
        <v>2</v>
      </c>
      <c r="S1163" s="34"/>
      <c r="T1163" s="34"/>
      <c r="U1163" s="34"/>
      <c r="V1163" s="34"/>
      <c r="W1163" s="34"/>
      <c r="X1163" s="34"/>
      <c r="Y1163" s="34"/>
      <c r="Z1163" s="34"/>
      <c r="AA1163" s="34"/>
    </row>
    <row r="1164" spans="1:27" ht="15">
      <c r="A1164" s="66" t="s">
        <v>216</v>
      </c>
      <c r="B1164" s="66" t="s">
        <v>228</v>
      </c>
      <c r="C1164" s="67" t="s">
        <v>4454</v>
      </c>
      <c r="D1164" s="68">
        <v>5</v>
      </c>
      <c r="E1164" s="69"/>
      <c r="F1164" s="70">
        <v>20</v>
      </c>
      <c r="G1164" s="67"/>
      <c r="H1164" s="71"/>
      <c r="I1164" s="72"/>
      <c r="J1164" s="72"/>
      <c r="K1164" s="34" t="s">
        <v>65</v>
      </c>
      <c r="L1164" s="79">
        <v>1164</v>
      </c>
      <c r="M1164" s="79"/>
      <c r="N1164" s="74"/>
      <c r="O1164" s="81" t="s">
        <v>944</v>
      </c>
      <c r="P1164">
        <v>1</v>
      </c>
      <c r="Q1164" s="80" t="str">
        <f>REPLACE(INDEX(GroupVertices[Group],MATCH(Edges[[#This Row],[Vertex 1]],GroupVertices[Vertex],0)),1,1,"")</f>
        <v>3</v>
      </c>
      <c r="R1164" s="80" t="str">
        <f>REPLACE(INDEX(GroupVertices[Group],MATCH(Edges[[#This Row],[Vertex 2]],GroupVertices[Vertex],0)),1,1,"")</f>
        <v>3</v>
      </c>
      <c r="S1164" s="34"/>
      <c r="T1164" s="34"/>
      <c r="U1164" s="34"/>
      <c r="V1164" s="34"/>
      <c r="W1164" s="34"/>
      <c r="X1164" s="34"/>
      <c r="Y1164" s="34"/>
      <c r="Z1164" s="34"/>
      <c r="AA1164" s="34"/>
    </row>
    <row r="1165" spans="1:27" ht="15">
      <c r="A1165" s="66" t="s">
        <v>216</v>
      </c>
      <c r="B1165" s="66" t="s">
        <v>235</v>
      </c>
      <c r="C1165" s="67" t="s">
        <v>4454</v>
      </c>
      <c r="D1165" s="68">
        <v>5</v>
      </c>
      <c r="E1165" s="69"/>
      <c r="F1165" s="70">
        <v>20</v>
      </c>
      <c r="G1165" s="67"/>
      <c r="H1165" s="71"/>
      <c r="I1165" s="72"/>
      <c r="J1165" s="72"/>
      <c r="K1165" s="34" t="s">
        <v>65</v>
      </c>
      <c r="L1165" s="79">
        <v>1165</v>
      </c>
      <c r="M1165" s="79"/>
      <c r="N1165" s="74"/>
      <c r="O1165" s="81" t="s">
        <v>944</v>
      </c>
      <c r="P1165">
        <v>1</v>
      </c>
      <c r="Q1165" s="80" t="str">
        <f>REPLACE(INDEX(GroupVertices[Group],MATCH(Edges[[#This Row],[Vertex 1]],GroupVertices[Vertex],0)),1,1,"")</f>
        <v>3</v>
      </c>
      <c r="R1165" s="80" t="str">
        <f>REPLACE(INDEX(GroupVertices[Group],MATCH(Edges[[#This Row],[Vertex 2]],GroupVertices[Vertex],0)),1,1,"")</f>
        <v>2</v>
      </c>
      <c r="S1165" s="34"/>
      <c r="T1165" s="34"/>
      <c r="U1165" s="34"/>
      <c r="V1165" s="34"/>
      <c r="W1165" s="34"/>
      <c r="X1165" s="34"/>
      <c r="Y1165" s="34"/>
      <c r="Z1165" s="34"/>
      <c r="AA1165" s="34"/>
    </row>
    <row r="1166" spans="1:27" ht="15">
      <c r="A1166" s="66" t="s">
        <v>216</v>
      </c>
      <c r="B1166" s="66" t="s">
        <v>247</v>
      </c>
      <c r="C1166" s="67" t="s">
        <v>4454</v>
      </c>
      <c r="D1166" s="68">
        <v>5</v>
      </c>
      <c r="E1166" s="69"/>
      <c r="F1166" s="70">
        <v>20</v>
      </c>
      <c r="G1166" s="67"/>
      <c r="H1166" s="71"/>
      <c r="I1166" s="72"/>
      <c r="J1166" s="72"/>
      <c r="K1166" s="34" t="s">
        <v>65</v>
      </c>
      <c r="L1166" s="79">
        <v>1166</v>
      </c>
      <c r="M1166" s="79"/>
      <c r="N1166" s="74"/>
      <c r="O1166" s="81" t="s">
        <v>944</v>
      </c>
      <c r="P1166">
        <v>1</v>
      </c>
      <c r="Q1166" s="80" t="str">
        <f>REPLACE(INDEX(GroupVertices[Group],MATCH(Edges[[#This Row],[Vertex 1]],GroupVertices[Vertex],0)),1,1,"")</f>
        <v>3</v>
      </c>
      <c r="R1166" s="80" t="str">
        <f>REPLACE(INDEX(GroupVertices[Group],MATCH(Edges[[#This Row],[Vertex 2]],GroupVertices[Vertex],0)),1,1,"")</f>
        <v>2</v>
      </c>
      <c r="S1166" s="34"/>
      <c r="T1166" s="34"/>
      <c r="U1166" s="34"/>
      <c r="V1166" s="34"/>
      <c r="W1166" s="34"/>
      <c r="X1166" s="34"/>
      <c r="Y1166" s="34"/>
      <c r="Z1166" s="34"/>
      <c r="AA1166" s="34"/>
    </row>
    <row r="1167" spans="1:27" ht="15">
      <c r="A1167" s="66" t="s">
        <v>216</v>
      </c>
      <c r="B1167" s="66" t="s">
        <v>231</v>
      </c>
      <c r="C1167" s="67" t="s">
        <v>4454</v>
      </c>
      <c r="D1167" s="68">
        <v>5</v>
      </c>
      <c r="E1167" s="69"/>
      <c r="F1167" s="70">
        <v>20</v>
      </c>
      <c r="G1167" s="67"/>
      <c r="H1167" s="71"/>
      <c r="I1167" s="72"/>
      <c r="J1167" s="72"/>
      <c r="K1167" s="34" t="s">
        <v>65</v>
      </c>
      <c r="L1167" s="79">
        <v>1167</v>
      </c>
      <c r="M1167" s="79"/>
      <c r="N1167" s="74"/>
      <c r="O1167" s="81" t="s">
        <v>944</v>
      </c>
      <c r="P1167">
        <v>1</v>
      </c>
      <c r="Q1167" s="80" t="str">
        <f>REPLACE(INDEX(GroupVertices[Group],MATCH(Edges[[#This Row],[Vertex 1]],GroupVertices[Vertex],0)),1,1,"")</f>
        <v>3</v>
      </c>
      <c r="R1167" s="80" t="str">
        <f>REPLACE(INDEX(GroupVertices[Group],MATCH(Edges[[#This Row],[Vertex 2]],GroupVertices[Vertex],0)),1,1,"")</f>
        <v>1</v>
      </c>
      <c r="S1167" s="34"/>
      <c r="T1167" s="34"/>
      <c r="U1167" s="34"/>
      <c r="V1167" s="34"/>
      <c r="W1167" s="34"/>
      <c r="X1167" s="34"/>
      <c r="Y1167" s="34"/>
      <c r="Z1167" s="34"/>
      <c r="AA1167" s="34"/>
    </row>
    <row r="1168" spans="1:27" ht="15">
      <c r="A1168" s="66" t="s">
        <v>216</v>
      </c>
      <c r="B1168" s="66" t="s">
        <v>258</v>
      </c>
      <c r="C1168" s="67" t="s">
        <v>4454</v>
      </c>
      <c r="D1168" s="68">
        <v>5</v>
      </c>
      <c r="E1168" s="69"/>
      <c r="F1168" s="70">
        <v>20</v>
      </c>
      <c r="G1168" s="67"/>
      <c r="H1168" s="71"/>
      <c r="I1168" s="72"/>
      <c r="J1168" s="72"/>
      <c r="K1168" s="34" t="s">
        <v>65</v>
      </c>
      <c r="L1168" s="79">
        <v>1168</v>
      </c>
      <c r="M1168" s="79"/>
      <c r="N1168" s="74"/>
      <c r="O1168" s="81" t="s">
        <v>944</v>
      </c>
      <c r="P1168">
        <v>1</v>
      </c>
      <c r="Q1168" s="80" t="str">
        <f>REPLACE(INDEX(GroupVertices[Group],MATCH(Edges[[#This Row],[Vertex 1]],GroupVertices[Vertex],0)),1,1,"")</f>
        <v>3</v>
      </c>
      <c r="R1168" s="80" t="str">
        <f>REPLACE(INDEX(GroupVertices[Group],MATCH(Edges[[#This Row],[Vertex 2]],GroupVertices[Vertex],0)),1,1,"")</f>
        <v>1</v>
      </c>
      <c r="S1168" s="34"/>
      <c r="T1168" s="34"/>
      <c r="U1168" s="34"/>
      <c r="V1168" s="34"/>
      <c r="W1168" s="34"/>
      <c r="X1168" s="34"/>
      <c r="Y1168" s="34"/>
      <c r="Z1168" s="34"/>
      <c r="AA1168" s="34"/>
    </row>
    <row r="1169" spans="1:27" ht="15">
      <c r="A1169" s="66" t="s">
        <v>216</v>
      </c>
      <c r="B1169" s="66" t="s">
        <v>257</v>
      </c>
      <c r="C1169" s="67" t="s">
        <v>4454</v>
      </c>
      <c r="D1169" s="68">
        <v>5</v>
      </c>
      <c r="E1169" s="69"/>
      <c r="F1169" s="70">
        <v>20</v>
      </c>
      <c r="G1169" s="67"/>
      <c r="H1169" s="71"/>
      <c r="I1169" s="72"/>
      <c r="J1169" s="72"/>
      <c r="K1169" s="34" t="s">
        <v>65</v>
      </c>
      <c r="L1169" s="79">
        <v>1169</v>
      </c>
      <c r="M1169" s="79"/>
      <c r="N1169" s="74"/>
      <c r="O1169" s="81" t="s">
        <v>944</v>
      </c>
      <c r="P1169">
        <v>1</v>
      </c>
      <c r="Q1169" s="80" t="str">
        <f>REPLACE(INDEX(GroupVertices[Group],MATCH(Edges[[#This Row],[Vertex 1]],GroupVertices[Vertex],0)),1,1,"")</f>
        <v>3</v>
      </c>
      <c r="R1169" s="80" t="str">
        <f>REPLACE(INDEX(GroupVertices[Group],MATCH(Edges[[#This Row],[Vertex 2]],GroupVertices[Vertex],0)),1,1,"")</f>
        <v>2</v>
      </c>
      <c r="S1169" s="34"/>
      <c r="T1169" s="34"/>
      <c r="U1169" s="34"/>
      <c r="V1169" s="34"/>
      <c r="W1169" s="34"/>
      <c r="X1169" s="34"/>
      <c r="Y1169" s="34"/>
      <c r="Z1169" s="34"/>
      <c r="AA1169" s="34"/>
    </row>
    <row r="1170" spans="1:27" ht="15">
      <c r="A1170" s="66" t="s">
        <v>216</v>
      </c>
      <c r="B1170" s="66" t="s">
        <v>255</v>
      </c>
      <c r="C1170" s="67" t="s">
        <v>4454</v>
      </c>
      <c r="D1170" s="68">
        <v>5</v>
      </c>
      <c r="E1170" s="69"/>
      <c r="F1170" s="70">
        <v>20</v>
      </c>
      <c r="G1170" s="67"/>
      <c r="H1170" s="71"/>
      <c r="I1170" s="72"/>
      <c r="J1170" s="72"/>
      <c r="K1170" s="34" t="s">
        <v>66</v>
      </c>
      <c r="L1170" s="79">
        <v>1170</v>
      </c>
      <c r="M1170" s="79"/>
      <c r="N1170" s="74"/>
      <c r="O1170" s="81" t="s">
        <v>944</v>
      </c>
      <c r="P1170">
        <v>1</v>
      </c>
      <c r="Q1170" s="80" t="str">
        <f>REPLACE(INDEX(GroupVertices[Group],MATCH(Edges[[#This Row],[Vertex 1]],GroupVertices[Vertex],0)),1,1,"")</f>
        <v>3</v>
      </c>
      <c r="R1170" s="80" t="str">
        <f>REPLACE(INDEX(GroupVertices[Group],MATCH(Edges[[#This Row],[Vertex 2]],GroupVertices[Vertex],0)),1,1,"")</f>
        <v>4</v>
      </c>
      <c r="S1170" s="34"/>
      <c r="T1170" s="34"/>
      <c r="U1170" s="34"/>
      <c r="V1170" s="34"/>
      <c r="W1170" s="34"/>
      <c r="X1170" s="34"/>
      <c r="Y1170" s="34"/>
      <c r="Z1170" s="34"/>
      <c r="AA1170" s="34"/>
    </row>
    <row r="1171" spans="1:27" ht="15">
      <c r="A1171" s="66" t="s">
        <v>216</v>
      </c>
      <c r="B1171" s="66" t="s">
        <v>259</v>
      </c>
      <c r="C1171" s="67" t="s">
        <v>4454</v>
      </c>
      <c r="D1171" s="68">
        <v>5</v>
      </c>
      <c r="E1171" s="69"/>
      <c r="F1171" s="70">
        <v>20</v>
      </c>
      <c r="G1171" s="67"/>
      <c r="H1171" s="71"/>
      <c r="I1171" s="72"/>
      <c r="J1171" s="72"/>
      <c r="K1171" s="34" t="s">
        <v>65</v>
      </c>
      <c r="L1171" s="79">
        <v>1171</v>
      </c>
      <c r="M1171" s="79"/>
      <c r="N1171" s="74"/>
      <c r="O1171" s="81" t="s">
        <v>944</v>
      </c>
      <c r="P1171">
        <v>1</v>
      </c>
      <c r="Q1171" s="80" t="str">
        <f>REPLACE(INDEX(GroupVertices[Group],MATCH(Edges[[#This Row],[Vertex 1]],GroupVertices[Vertex],0)),1,1,"")</f>
        <v>3</v>
      </c>
      <c r="R1171" s="80" t="str">
        <f>REPLACE(INDEX(GroupVertices[Group],MATCH(Edges[[#This Row],[Vertex 2]],GroupVertices[Vertex],0)),1,1,"")</f>
        <v>2</v>
      </c>
      <c r="S1171" s="34"/>
      <c r="T1171" s="34"/>
      <c r="U1171" s="34"/>
      <c r="V1171" s="34"/>
      <c r="W1171" s="34"/>
      <c r="X1171" s="34"/>
      <c r="Y1171" s="34"/>
      <c r="Z1171" s="34"/>
      <c r="AA1171" s="34"/>
    </row>
    <row r="1172" spans="1:27" ht="15">
      <c r="A1172" s="66" t="s">
        <v>216</v>
      </c>
      <c r="B1172" s="66" t="s">
        <v>853</v>
      </c>
      <c r="C1172" s="67" t="s">
        <v>4454</v>
      </c>
      <c r="D1172" s="68">
        <v>5</v>
      </c>
      <c r="E1172" s="69"/>
      <c r="F1172" s="70">
        <v>20</v>
      </c>
      <c r="G1172" s="67"/>
      <c r="H1172" s="71"/>
      <c r="I1172" s="72"/>
      <c r="J1172" s="72"/>
      <c r="K1172" s="34" t="s">
        <v>65</v>
      </c>
      <c r="L1172" s="79">
        <v>1172</v>
      </c>
      <c r="M1172" s="79"/>
      <c r="N1172" s="74"/>
      <c r="O1172" s="81" t="s">
        <v>944</v>
      </c>
      <c r="P1172">
        <v>1</v>
      </c>
      <c r="Q1172" s="80" t="str">
        <f>REPLACE(INDEX(GroupVertices[Group],MATCH(Edges[[#This Row],[Vertex 1]],GroupVertices[Vertex],0)),1,1,"")</f>
        <v>3</v>
      </c>
      <c r="R1172" s="80" t="str">
        <f>REPLACE(INDEX(GroupVertices[Group],MATCH(Edges[[#This Row],[Vertex 2]],GroupVertices[Vertex],0)),1,1,"")</f>
        <v>4</v>
      </c>
      <c r="S1172" s="34"/>
      <c r="T1172" s="34"/>
      <c r="U1172" s="34"/>
      <c r="V1172" s="34"/>
      <c r="W1172" s="34"/>
      <c r="X1172" s="34"/>
      <c r="Y1172" s="34"/>
      <c r="Z1172" s="34"/>
      <c r="AA1172" s="34"/>
    </row>
    <row r="1173" spans="1:27" ht="15">
      <c r="A1173" s="66" t="s">
        <v>216</v>
      </c>
      <c r="B1173" s="66" t="s">
        <v>236</v>
      </c>
      <c r="C1173" s="67" t="s">
        <v>4454</v>
      </c>
      <c r="D1173" s="68">
        <v>5</v>
      </c>
      <c r="E1173" s="69"/>
      <c r="F1173" s="70">
        <v>20</v>
      </c>
      <c r="G1173" s="67"/>
      <c r="H1173" s="71"/>
      <c r="I1173" s="72"/>
      <c r="J1173" s="72"/>
      <c r="K1173" s="34" t="s">
        <v>65</v>
      </c>
      <c r="L1173" s="79">
        <v>1173</v>
      </c>
      <c r="M1173" s="79"/>
      <c r="N1173" s="74"/>
      <c r="O1173" s="81" t="s">
        <v>944</v>
      </c>
      <c r="P1173">
        <v>1</v>
      </c>
      <c r="Q1173" s="80" t="str">
        <f>REPLACE(INDEX(GroupVertices[Group],MATCH(Edges[[#This Row],[Vertex 1]],GroupVertices[Vertex],0)),1,1,"")</f>
        <v>3</v>
      </c>
      <c r="R1173" s="80" t="str">
        <f>REPLACE(INDEX(GroupVertices[Group],MATCH(Edges[[#This Row],[Vertex 2]],GroupVertices[Vertex],0)),1,1,"")</f>
        <v>1</v>
      </c>
      <c r="S1173" s="34"/>
      <c r="T1173" s="34"/>
      <c r="U1173" s="34"/>
      <c r="V1173" s="34"/>
      <c r="W1173" s="34"/>
      <c r="X1173" s="34"/>
      <c r="Y1173" s="34"/>
      <c r="Z1173" s="34"/>
      <c r="AA1173" s="34"/>
    </row>
    <row r="1174" spans="1:27" ht="15">
      <c r="A1174" s="66" t="s">
        <v>216</v>
      </c>
      <c r="B1174" s="66" t="s">
        <v>256</v>
      </c>
      <c r="C1174" s="67" t="s">
        <v>4454</v>
      </c>
      <c r="D1174" s="68">
        <v>5</v>
      </c>
      <c r="E1174" s="69"/>
      <c r="F1174" s="70">
        <v>20</v>
      </c>
      <c r="G1174" s="67"/>
      <c r="H1174" s="71"/>
      <c r="I1174" s="72"/>
      <c r="J1174" s="72"/>
      <c r="K1174" s="34" t="s">
        <v>65</v>
      </c>
      <c r="L1174" s="79">
        <v>1174</v>
      </c>
      <c r="M1174" s="79"/>
      <c r="N1174" s="74"/>
      <c r="O1174" s="81" t="s">
        <v>944</v>
      </c>
      <c r="P1174">
        <v>1</v>
      </c>
      <c r="Q1174" s="80" t="str">
        <f>REPLACE(INDEX(GroupVertices[Group],MATCH(Edges[[#This Row],[Vertex 1]],GroupVertices[Vertex],0)),1,1,"")</f>
        <v>3</v>
      </c>
      <c r="R1174" s="80" t="str">
        <f>REPLACE(INDEX(GroupVertices[Group],MATCH(Edges[[#This Row],[Vertex 2]],GroupVertices[Vertex],0)),1,1,"")</f>
        <v>1</v>
      </c>
      <c r="S1174" s="34"/>
      <c r="T1174" s="34"/>
      <c r="U1174" s="34"/>
      <c r="V1174" s="34"/>
      <c r="W1174" s="34"/>
      <c r="X1174" s="34"/>
      <c r="Y1174" s="34"/>
      <c r="Z1174" s="34"/>
      <c r="AA1174" s="34"/>
    </row>
    <row r="1175" spans="1:27" ht="15">
      <c r="A1175" s="66" t="s">
        <v>216</v>
      </c>
      <c r="B1175" s="66" t="s">
        <v>233</v>
      </c>
      <c r="C1175" s="67" t="s">
        <v>4454</v>
      </c>
      <c r="D1175" s="68">
        <v>5</v>
      </c>
      <c r="E1175" s="69"/>
      <c r="F1175" s="70">
        <v>20</v>
      </c>
      <c r="G1175" s="67"/>
      <c r="H1175" s="71"/>
      <c r="I1175" s="72"/>
      <c r="J1175" s="72"/>
      <c r="K1175" s="34" t="s">
        <v>66</v>
      </c>
      <c r="L1175" s="79">
        <v>1175</v>
      </c>
      <c r="M1175" s="79"/>
      <c r="N1175" s="74"/>
      <c r="O1175" s="81" t="s">
        <v>944</v>
      </c>
      <c r="P1175">
        <v>1</v>
      </c>
      <c r="Q1175" s="80" t="str">
        <f>REPLACE(INDEX(GroupVertices[Group],MATCH(Edges[[#This Row],[Vertex 1]],GroupVertices[Vertex],0)),1,1,"")</f>
        <v>3</v>
      </c>
      <c r="R1175" s="80" t="str">
        <f>REPLACE(INDEX(GroupVertices[Group],MATCH(Edges[[#This Row],[Vertex 2]],GroupVertices[Vertex],0)),1,1,"")</f>
        <v>2</v>
      </c>
      <c r="S1175" s="34"/>
      <c r="T1175" s="34"/>
      <c r="U1175" s="34"/>
      <c r="V1175" s="34"/>
      <c r="W1175" s="34"/>
      <c r="X1175" s="34"/>
      <c r="Y1175" s="34"/>
      <c r="Z1175" s="34"/>
      <c r="AA1175" s="34"/>
    </row>
    <row r="1176" spans="1:27" ht="15">
      <c r="A1176" s="66" t="s">
        <v>216</v>
      </c>
      <c r="B1176" s="66" t="s">
        <v>223</v>
      </c>
      <c r="C1176" s="67" t="s">
        <v>4454</v>
      </c>
      <c r="D1176" s="68">
        <v>5</v>
      </c>
      <c r="E1176" s="69"/>
      <c r="F1176" s="70">
        <v>20</v>
      </c>
      <c r="G1176" s="67"/>
      <c r="H1176" s="71"/>
      <c r="I1176" s="72"/>
      <c r="J1176" s="72"/>
      <c r="K1176" s="34" t="s">
        <v>65</v>
      </c>
      <c r="L1176" s="79">
        <v>1176</v>
      </c>
      <c r="M1176" s="79"/>
      <c r="N1176" s="74"/>
      <c r="O1176" s="81" t="s">
        <v>944</v>
      </c>
      <c r="P1176">
        <v>1</v>
      </c>
      <c r="Q1176" s="80" t="str">
        <f>REPLACE(INDEX(GroupVertices[Group],MATCH(Edges[[#This Row],[Vertex 1]],GroupVertices[Vertex],0)),1,1,"")</f>
        <v>3</v>
      </c>
      <c r="R1176" s="80" t="str">
        <f>REPLACE(INDEX(GroupVertices[Group],MATCH(Edges[[#This Row],[Vertex 2]],GroupVertices[Vertex],0)),1,1,"")</f>
        <v>3</v>
      </c>
      <c r="S1176" s="34"/>
      <c r="T1176" s="34"/>
      <c r="U1176" s="34"/>
      <c r="V1176" s="34"/>
      <c r="W1176" s="34"/>
      <c r="X1176" s="34"/>
      <c r="Y1176" s="34"/>
      <c r="Z1176" s="34"/>
      <c r="AA1176" s="34"/>
    </row>
    <row r="1177" spans="1:27" ht="15">
      <c r="A1177" s="66" t="s">
        <v>216</v>
      </c>
      <c r="B1177" s="66" t="s">
        <v>251</v>
      </c>
      <c r="C1177" s="67" t="s">
        <v>4454</v>
      </c>
      <c r="D1177" s="68">
        <v>5</v>
      </c>
      <c r="E1177" s="69"/>
      <c r="F1177" s="70">
        <v>20</v>
      </c>
      <c r="G1177" s="67"/>
      <c r="H1177" s="71"/>
      <c r="I1177" s="72"/>
      <c r="J1177" s="72"/>
      <c r="K1177" s="34" t="s">
        <v>65</v>
      </c>
      <c r="L1177" s="79">
        <v>1177</v>
      </c>
      <c r="M1177" s="79"/>
      <c r="N1177" s="74"/>
      <c r="O1177" s="81" t="s">
        <v>944</v>
      </c>
      <c r="P1177">
        <v>1</v>
      </c>
      <c r="Q1177" s="80" t="str">
        <f>REPLACE(INDEX(GroupVertices[Group],MATCH(Edges[[#This Row],[Vertex 1]],GroupVertices[Vertex],0)),1,1,"")</f>
        <v>3</v>
      </c>
      <c r="R1177" s="80" t="str">
        <f>REPLACE(INDEX(GroupVertices[Group],MATCH(Edges[[#This Row],[Vertex 2]],GroupVertices[Vertex],0)),1,1,"")</f>
        <v>2</v>
      </c>
      <c r="S1177" s="34"/>
      <c r="T1177" s="34"/>
      <c r="U1177" s="34"/>
      <c r="V1177" s="34"/>
      <c r="W1177" s="34"/>
      <c r="X1177" s="34"/>
      <c r="Y1177" s="34"/>
      <c r="Z1177" s="34"/>
      <c r="AA1177" s="34"/>
    </row>
    <row r="1178" spans="1:27" ht="15">
      <c r="A1178" s="66" t="s">
        <v>216</v>
      </c>
      <c r="B1178" s="66" t="s">
        <v>510</v>
      </c>
      <c r="C1178" s="67" t="s">
        <v>4454</v>
      </c>
      <c r="D1178" s="68">
        <v>5</v>
      </c>
      <c r="E1178" s="69"/>
      <c r="F1178" s="70">
        <v>20</v>
      </c>
      <c r="G1178" s="67"/>
      <c r="H1178" s="71"/>
      <c r="I1178" s="72"/>
      <c r="J1178" s="72"/>
      <c r="K1178" s="34" t="s">
        <v>65</v>
      </c>
      <c r="L1178" s="79">
        <v>1178</v>
      </c>
      <c r="M1178" s="79"/>
      <c r="N1178" s="74"/>
      <c r="O1178" s="81" t="s">
        <v>944</v>
      </c>
      <c r="P1178">
        <v>1</v>
      </c>
      <c r="Q1178" s="80" t="str">
        <f>REPLACE(INDEX(GroupVertices[Group],MATCH(Edges[[#This Row],[Vertex 1]],GroupVertices[Vertex],0)),1,1,"")</f>
        <v>3</v>
      </c>
      <c r="R1178" s="80" t="str">
        <f>REPLACE(INDEX(GroupVertices[Group],MATCH(Edges[[#This Row],[Vertex 2]],GroupVertices[Vertex],0)),1,1,"")</f>
        <v>2</v>
      </c>
      <c r="S1178" s="34"/>
      <c r="T1178" s="34"/>
      <c r="U1178" s="34"/>
      <c r="V1178" s="34"/>
      <c r="W1178" s="34"/>
      <c r="X1178" s="34"/>
      <c r="Y1178" s="34"/>
      <c r="Z1178" s="34"/>
      <c r="AA1178" s="34"/>
    </row>
    <row r="1179" spans="1:27" ht="15">
      <c r="A1179" s="66" t="s">
        <v>216</v>
      </c>
      <c r="B1179" s="66" t="s">
        <v>215</v>
      </c>
      <c r="C1179" s="67" t="s">
        <v>4454</v>
      </c>
      <c r="D1179" s="68">
        <v>5</v>
      </c>
      <c r="E1179" s="69"/>
      <c r="F1179" s="70">
        <v>20</v>
      </c>
      <c r="G1179" s="67"/>
      <c r="H1179" s="71"/>
      <c r="I1179" s="72"/>
      <c r="J1179" s="72"/>
      <c r="K1179" s="34" t="s">
        <v>65</v>
      </c>
      <c r="L1179" s="79">
        <v>1179</v>
      </c>
      <c r="M1179" s="79"/>
      <c r="N1179" s="74"/>
      <c r="O1179" s="81" t="s">
        <v>944</v>
      </c>
      <c r="P1179">
        <v>1</v>
      </c>
      <c r="Q1179" s="80" t="str">
        <f>REPLACE(INDEX(GroupVertices[Group],MATCH(Edges[[#This Row],[Vertex 1]],GroupVertices[Vertex],0)),1,1,"")</f>
        <v>3</v>
      </c>
      <c r="R1179" s="80" t="str">
        <f>REPLACE(INDEX(GroupVertices[Group],MATCH(Edges[[#This Row],[Vertex 2]],GroupVertices[Vertex],0)),1,1,"")</f>
        <v>3</v>
      </c>
      <c r="S1179" s="34"/>
      <c r="T1179" s="34"/>
      <c r="U1179" s="34"/>
      <c r="V1179" s="34"/>
      <c r="W1179" s="34"/>
      <c r="X1179" s="34"/>
      <c r="Y1179" s="34"/>
      <c r="Z1179" s="34"/>
      <c r="AA1179" s="34"/>
    </row>
    <row r="1180" spans="1:27" ht="15">
      <c r="A1180" s="66" t="s">
        <v>216</v>
      </c>
      <c r="B1180" s="66" t="s">
        <v>261</v>
      </c>
      <c r="C1180" s="67" t="s">
        <v>4454</v>
      </c>
      <c r="D1180" s="68">
        <v>5</v>
      </c>
      <c r="E1180" s="69"/>
      <c r="F1180" s="70">
        <v>20</v>
      </c>
      <c r="G1180" s="67"/>
      <c r="H1180" s="71"/>
      <c r="I1180" s="72"/>
      <c r="J1180" s="72"/>
      <c r="K1180" s="34" t="s">
        <v>65</v>
      </c>
      <c r="L1180" s="79">
        <v>1180</v>
      </c>
      <c r="M1180" s="79"/>
      <c r="N1180" s="74"/>
      <c r="O1180" s="81" t="s">
        <v>944</v>
      </c>
      <c r="P1180">
        <v>1</v>
      </c>
      <c r="Q1180" s="80" t="str">
        <f>REPLACE(INDEX(GroupVertices[Group],MATCH(Edges[[#This Row],[Vertex 1]],GroupVertices[Vertex],0)),1,1,"")</f>
        <v>3</v>
      </c>
      <c r="R1180" s="80" t="str">
        <f>REPLACE(INDEX(GroupVertices[Group],MATCH(Edges[[#This Row],[Vertex 2]],GroupVertices[Vertex],0)),1,1,"")</f>
        <v>1</v>
      </c>
      <c r="S1180" s="34"/>
      <c r="T1180" s="34"/>
      <c r="U1180" s="34"/>
      <c r="V1180" s="34"/>
      <c r="W1180" s="34"/>
      <c r="X1180" s="34"/>
      <c r="Y1180" s="34"/>
      <c r="Z1180" s="34"/>
      <c r="AA1180" s="34"/>
    </row>
    <row r="1181" spans="1:27" ht="15">
      <c r="A1181" s="66" t="s">
        <v>216</v>
      </c>
      <c r="B1181" s="66" t="s">
        <v>254</v>
      </c>
      <c r="C1181" s="67" t="s">
        <v>4454</v>
      </c>
      <c r="D1181" s="68">
        <v>5</v>
      </c>
      <c r="E1181" s="69"/>
      <c r="F1181" s="70">
        <v>20</v>
      </c>
      <c r="G1181" s="67"/>
      <c r="H1181" s="71"/>
      <c r="I1181" s="72"/>
      <c r="J1181" s="72"/>
      <c r="K1181" s="34" t="s">
        <v>65</v>
      </c>
      <c r="L1181" s="79">
        <v>1181</v>
      </c>
      <c r="M1181" s="79"/>
      <c r="N1181" s="74"/>
      <c r="O1181" s="81" t="s">
        <v>944</v>
      </c>
      <c r="P1181">
        <v>1</v>
      </c>
      <c r="Q1181" s="80" t="str">
        <f>REPLACE(INDEX(GroupVertices[Group],MATCH(Edges[[#This Row],[Vertex 1]],GroupVertices[Vertex],0)),1,1,"")</f>
        <v>3</v>
      </c>
      <c r="R1181" s="80" t="str">
        <f>REPLACE(INDEX(GroupVertices[Group],MATCH(Edges[[#This Row],[Vertex 2]],GroupVertices[Vertex],0)),1,1,"")</f>
        <v>3</v>
      </c>
      <c r="S1181" s="34"/>
      <c r="T1181" s="34"/>
      <c r="U1181" s="34"/>
      <c r="V1181" s="34"/>
      <c r="W1181" s="34"/>
      <c r="X1181" s="34"/>
      <c r="Y1181" s="34"/>
      <c r="Z1181" s="34"/>
      <c r="AA1181" s="34"/>
    </row>
    <row r="1182" spans="1:27" ht="15">
      <c r="A1182" s="66" t="s">
        <v>216</v>
      </c>
      <c r="B1182" s="66" t="s">
        <v>260</v>
      </c>
      <c r="C1182" s="67" t="s">
        <v>4454</v>
      </c>
      <c r="D1182" s="68">
        <v>5</v>
      </c>
      <c r="E1182" s="69"/>
      <c r="F1182" s="70">
        <v>20</v>
      </c>
      <c r="G1182" s="67"/>
      <c r="H1182" s="71"/>
      <c r="I1182" s="72"/>
      <c r="J1182" s="72"/>
      <c r="K1182" s="34" t="s">
        <v>65</v>
      </c>
      <c r="L1182" s="79">
        <v>1182</v>
      </c>
      <c r="M1182" s="79"/>
      <c r="N1182" s="74"/>
      <c r="O1182" s="81" t="s">
        <v>944</v>
      </c>
      <c r="P1182">
        <v>1</v>
      </c>
      <c r="Q1182" s="80" t="str">
        <f>REPLACE(INDEX(GroupVertices[Group],MATCH(Edges[[#This Row],[Vertex 1]],GroupVertices[Vertex],0)),1,1,"")</f>
        <v>3</v>
      </c>
      <c r="R1182" s="80" t="str">
        <f>REPLACE(INDEX(GroupVertices[Group],MATCH(Edges[[#This Row],[Vertex 2]],GroupVertices[Vertex],0)),1,1,"")</f>
        <v>2</v>
      </c>
      <c r="S1182" s="34"/>
      <c r="T1182" s="34"/>
      <c r="U1182" s="34"/>
      <c r="V1182" s="34"/>
      <c r="W1182" s="34"/>
      <c r="X1182" s="34"/>
      <c r="Y1182" s="34"/>
      <c r="Z1182" s="34"/>
      <c r="AA1182" s="34"/>
    </row>
    <row r="1183" spans="1:27" ht="15">
      <c r="A1183" s="66" t="s">
        <v>216</v>
      </c>
      <c r="B1183" s="66" t="s">
        <v>253</v>
      </c>
      <c r="C1183" s="67" t="s">
        <v>4454</v>
      </c>
      <c r="D1183" s="68">
        <v>5</v>
      </c>
      <c r="E1183" s="69"/>
      <c r="F1183" s="70">
        <v>20</v>
      </c>
      <c r="G1183" s="67"/>
      <c r="H1183" s="71"/>
      <c r="I1183" s="72"/>
      <c r="J1183" s="72"/>
      <c r="K1183" s="34" t="s">
        <v>65</v>
      </c>
      <c r="L1183" s="79">
        <v>1183</v>
      </c>
      <c r="M1183" s="79"/>
      <c r="N1183" s="74"/>
      <c r="O1183" s="81" t="s">
        <v>944</v>
      </c>
      <c r="P1183">
        <v>1</v>
      </c>
      <c r="Q1183" s="80" t="str">
        <f>REPLACE(INDEX(GroupVertices[Group],MATCH(Edges[[#This Row],[Vertex 1]],GroupVertices[Vertex],0)),1,1,"")</f>
        <v>3</v>
      </c>
      <c r="R1183" s="80" t="str">
        <f>REPLACE(INDEX(GroupVertices[Group],MATCH(Edges[[#This Row],[Vertex 2]],GroupVertices[Vertex],0)),1,1,"")</f>
        <v>1</v>
      </c>
      <c r="S1183" s="34"/>
      <c r="T1183" s="34"/>
      <c r="U1183" s="34"/>
      <c r="V1183" s="34"/>
      <c r="W1183" s="34"/>
      <c r="X1183" s="34"/>
      <c r="Y1183" s="34"/>
      <c r="Z1183" s="34"/>
      <c r="AA1183" s="34"/>
    </row>
    <row r="1184" spans="1:27" ht="15">
      <c r="A1184" s="66" t="s">
        <v>216</v>
      </c>
      <c r="B1184" s="66" t="s">
        <v>252</v>
      </c>
      <c r="C1184" s="67" t="s">
        <v>4454</v>
      </c>
      <c r="D1184" s="68">
        <v>5</v>
      </c>
      <c r="E1184" s="69"/>
      <c r="F1184" s="70">
        <v>20</v>
      </c>
      <c r="G1184" s="67"/>
      <c r="H1184" s="71"/>
      <c r="I1184" s="72"/>
      <c r="J1184" s="72"/>
      <c r="K1184" s="34" t="s">
        <v>65</v>
      </c>
      <c r="L1184" s="79">
        <v>1184</v>
      </c>
      <c r="M1184" s="79"/>
      <c r="N1184" s="74"/>
      <c r="O1184" s="81" t="s">
        <v>944</v>
      </c>
      <c r="P1184">
        <v>1</v>
      </c>
      <c r="Q1184" s="80" t="str">
        <f>REPLACE(INDEX(GroupVertices[Group],MATCH(Edges[[#This Row],[Vertex 1]],GroupVertices[Vertex],0)),1,1,"")</f>
        <v>3</v>
      </c>
      <c r="R1184" s="80" t="str">
        <f>REPLACE(INDEX(GroupVertices[Group],MATCH(Edges[[#This Row],[Vertex 2]],GroupVertices[Vertex],0)),1,1,"")</f>
        <v>1</v>
      </c>
      <c r="S1184" s="34"/>
      <c r="T1184" s="34"/>
      <c r="U1184" s="34"/>
      <c r="V1184" s="34"/>
      <c r="W1184" s="34"/>
      <c r="X1184" s="34"/>
      <c r="Y1184" s="34"/>
      <c r="Z1184" s="34"/>
      <c r="AA1184" s="34"/>
    </row>
    <row r="1185" spans="1:27" ht="15">
      <c r="A1185" s="66" t="s">
        <v>216</v>
      </c>
      <c r="B1185" s="66" t="s">
        <v>512</v>
      </c>
      <c r="C1185" s="67" t="s">
        <v>4454</v>
      </c>
      <c r="D1185" s="68">
        <v>5</v>
      </c>
      <c r="E1185" s="69"/>
      <c r="F1185" s="70">
        <v>20</v>
      </c>
      <c r="G1185" s="67"/>
      <c r="H1185" s="71"/>
      <c r="I1185" s="72"/>
      <c r="J1185" s="72"/>
      <c r="K1185" s="34" t="s">
        <v>65</v>
      </c>
      <c r="L1185" s="79">
        <v>1185</v>
      </c>
      <c r="M1185" s="79"/>
      <c r="N1185" s="74"/>
      <c r="O1185" s="81" t="s">
        <v>944</v>
      </c>
      <c r="P1185">
        <v>1</v>
      </c>
      <c r="Q1185" s="80" t="str">
        <f>REPLACE(INDEX(GroupVertices[Group],MATCH(Edges[[#This Row],[Vertex 1]],GroupVertices[Vertex],0)),1,1,"")</f>
        <v>3</v>
      </c>
      <c r="R1185" s="80" t="str">
        <f>REPLACE(INDEX(GroupVertices[Group],MATCH(Edges[[#This Row],[Vertex 2]],GroupVertices[Vertex],0)),1,1,"")</f>
        <v>2</v>
      </c>
      <c r="S1185" s="34"/>
      <c r="T1185" s="34"/>
      <c r="U1185" s="34"/>
      <c r="V1185" s="34"/>
      <c r="W1185" s="34"/>
      <c r="X1185" s="34"/>
      <c r="Y1185" s="34"/>
      <c r="Z1185" s="34"/>
      <c r="AA1185" s="34"/>
    </row>
    <row r="1186" spans="1:27" ht="15">
      <c r="A1186" s="66" t="s">
        <v>216</v>
      </c>
      <c r="B1186" s="66" t="s">
        <v>239</v>
      </c>
      <c r="C1186" s="67" t="s">
        <v>4454</v>
      </c>
      <c r="D1186" s="68">
        <v>5</v>
      </c>
      <c r="E1186" s="69"/>
      <c r="F1186" s="70">
        <v>20</v>
      </c>
      <c r="G1186" s="67"/>
      <c r="H1186" s="71"/>
      <c r="I1186" s="72"/>
      <c r="J1186" s="72"/>
      <c r="K1186" s="34" t="s">
        <v>66</v>
      </c>
      <c r="L1186" s="79">
        <v>1186</v>
      </c>
      <c r="M1186" s="79"/>
      <c r="N1186" s="74"/>
      <c r="O1186" s="81" t="s">
        <v>944</v>
      </c>
      <c r="P1186">
        <v>1</v>
      </c>
      <c r="Q1186" s="80" t="str">
        <f>REPLACE(INDEX(GroupVertices[Group],MATCH(Edges[[#This Row],[Vertex 1]],GroupVertices[Vertex],0)),1,1,"")</f>
        <v>3</v>
      </c>
      <c r="R1186" s="80" t="str">
        <f>REPLACE(INDEX(GroupVertices[Group],MATCH(Edges[[#This Row],[Vertex 2]],GroupVertices[Vertex],0)),1,1,"")</f>
        <v>3</v>
      </c>
      <c r="S1186" s="34"/>
      <c r="T1186" s="34"/>
      <c r="U1186" s="34"/>
      <c r="V1186" s="34"/>
      <c r="W1186" s="34"/>
      <c r="X1186" s="34"/>
      <c r="Y1186" s="34"/>
      <c r="Z1186" s="34"/>
      <c r="AA1186" s="34"/>
    </row>
    <row r="1187" spans="1:27" ht="15">
      <c r="A1187" s="66" t="s">
        <v>216</v>
      </c>
      <c r="B1187" s="66" t="s">
        <v>217</v>
      </c>
      <c r="C1187" s="67" t="s">
        <v>4454</v>
      </c>
      <c r="D1187" s="68">
        <v>5</v>
      </c>
      <c r="E1187" s="69"/>
      <c r="F1187" s="70">
        <v>20</v>
      </c>
      <c r="G1187" s="67"/>
      <c r="H1187" s="71"/>
      <c r="I1187" s="72"/>
      <c r="J1187" s="72"/>
      <c r="K1187" s="34" t="s">
        <v>65</v>
      </c>
      <c r="L1187" s="79">
        <v>1187</v>
      </c>
      <c r="M1187" s="79"/>
      <c r="N1187" s="74"/>
      <c r="O1187" s="81" t="s">
        <v>944</v>
      </c>
      <c r="P1187">
        <v>1</v>
      </c>
      <c r="Q1187" s="80" t="str">
        <f>REPLACE(INDEX(GroupVertices[Group],MATCH(Edges[[#This Row],[Vertex 1]],GroupVertices[Vertex],0)),1,1,"")</f>
        <v>3</v>
      </c>
      <c r="R1187" s="80" t="str">
        <f>REPLACE(INDEX(GroupVertices[Group],MATCH(Edges[[#This Row],[Vertex 2]],GroupVertices[Vertex],0)),1,1,"")</f>
        <v>4</v>
      </c>
      <c r="S1187" s="34"/>
      <c r="T1187" s="34"/>
      <c r="U1187" s="34"/>
      <c r="V1187" s="34"/>
      <c r="W1187" s="34"/>
      <c r="X1187" s="34"/>
      <c r="Y1187" s="34"/>
      <c r="Z1187" s="34"/>
      <c r="AA1187" s="34"/>
    </row>
    <row r="1188" spans="1:27" ht="15">
      <c r="A1188" s="66" t="s">
        <v>233</v>
      </c>
      <c r="B1188" s="66" t="s">
        <v>216</v>
      </c>
      <c r="C1188" s="67" t="s">
        <v>4454</v>
      </c>
      <c r="D1188" s="68">
        <v>5</v>
      </c>
      <c r="E1188" s="69"/>
      <c r="F1188" s="70">
        <v>20</v>
      </c>
      <c r="G1188" s="67"/>
      <c r="H1188" s="71"/>
      <c r="I1188" s="72"/>
      <c r="J1188" s="72"/>
      <c r="K1188" s="34" t="s">
        <v>66</v>
      </c>
      <c r="L1188" s="79">
        <v>1188</v>
      </c>
      <c r="M1188" s="79"/>
      <c r="N1188" s="74"/>
      <c r="O1188" s="81" t="s">
        <v>944</v>
      </c>
      <c r="P1188">
        <v>1</v>
      </c>
      <c r="Q1188" s="80" t="str">
        <f>REPLACE(INDEX(GroupVertices[Group],MATCH(Edges[[#This Row],[Vertex 1]],GroupVertices[Vertex],0)),1,1,"")</f>
        <v>2</v>
      </c>
      <c r="R1188" s="80" t="str">
        <f>REPLACE(INDEX(GroupVertices[Group],MATCH(Edges[[#This Row],[Vertex 2]],GroupVertices[Vertex],0)),1,1,"")</f>
        <v>3</v>
      </c>
      <c r="S1188" s="34"/>
      <c r="T1188" s="34"/>
      <c r="U1188" s="34"/>
      <c r="V1188" s="34"/>
      <c r="W1188" s="34"/>
      <c r="X1188" s="34"/>
      <c r="Y1188" s="34"/>
      <c r="Z1188" s="34"/>
      <c r="AA1188" s="34"/>
    </row>
    <row r="1189" spans="1:27" ht="15">
      <c r="A1189" s="66" t="s">
        <v>239</v>
      </c>
      <c r="B1189" s="66" t="s">
        <v>216</v>
      </c>
      <c r="C1189" s="67" t="s">
        <v>4454</v>
      </c>
      <c r="D1189" s="68">
        <v>5</v>
      </c>
      <c r="E1189" s="69"/>
      <c r="F1189" s="70">
        <v>20</v>
      </c>
      <c r="G1189" s="67"/>
      <c r="H1189" s="71"/>
      <c r="I1189" s="72"/>
      <c r="J1189" s="72"/>
      <c r="K1189" s="34" t="s">
        <v>66</v>
      </c>
      <c r="L1189" s="79">
        <v>1189</v>
      </c>
      <c r="M1189" s="79"/>
      <c r="N1189" s="74"/>
      <c r="O1189" s="81" t="s">
        <v>944</v>
      </c>
      <c r="P1189">
        <v>1</v>
      </c>
      <c r="Q1189" s="80" t="str">
        <f>REPLACE(INDEX(GroupVertices[Group],MATCH(Edges[[#This Row],[Vertex 1]],GroupVertices[Vertex],0)),1,1,"")</f>
        <v>3</v>
      </c>
      <c r="R1189" s="80" t="str">
        <f>REPLACE(INDEX(GroupVertices[Group],MATCH(Edges[[#This Row],[Vertex 2]],GroupVertices[Vertex],0)),1,1,"")</f>
        <v>3</v>
      </c>
      <c r="S1189" s="34"/>
      <c r="T1189" s="34"/>
      <c r="U1189" s="34"/>
      <c r="V1189" s="34"/>
      <c r="W1189" s="34"/>
      <c r="X1189" s="34"/>
      <c r="Y1189" s="34"/>
      <c r="Z1189" s="34"/>
      <c r="AA1189" s="34"/>
    </row>
    <row r="1190" spans="1:27" ht="15">
      <c r="A1190" s="66" t="s">
        <v>255</v>
      </c>
      <c r="B1190" s="66" t="s">
        <v>216</v>
      </c>
      <c r="C1190" s="67" t="s">
        <v>4454</v>
      </c>
      <c r="D1190" s="68">
        <v>5</v>
      </c>
      <c r="E1190" s="69"/>
      <c r="F1190" s="70">
        <v>20</v>
      </c>
      <c r="G1190" s="67"/>
      <c r="H1190" s="71"/>
      <c r="I1190" s="72"/>
      <c r="J1190" s="72"/>
      <c r="K1190" s="34" t="s">
        <v>66</v>
      </c>
      <c r="L1190" s="79">
        <v>1190</v>
      </c>
      <c r="M1190" s="79"/>
      <c r="N1190" s="74"/>
      <c r="O1190" s="81" t="s">
        <v>944</v>
      </c>
      <c r="P1190">
        <v>1</v>
      </c>
      <c r="Q1190" s="80" t="str">
        <f>REPLACE(INDEX(GroupVertices[Group],MATCH(Edges[[#This Row],[Vertex 1]],GroupVertices[Vertex],0)),1,1,"")</f>
        <v>4</v>
      </c>
      <c r="R1190" s="80" t="str">
        <f>REPLACE(INDEX(GroupVertices[Group],MATCH(Edges[[#This Row],[Vertex 2]],GroupVertices[Vertex],0)),1,1,"")</f>
        <v>3</v>
      </c>
      <c r="S1190" s="34"/>
      <c r="T1190" s="34"/>
      <c r="U1190" s="34"/>
      <c r="V1190" s="34"/>
      <c r="W1190" s="34"/>
      <c r="X1190" s="34"/>
      <c r="Y1190" s="34"/>
      <c r="Z1190" s="34"/>
      <c r="AA1190" s="34"/>
    </row>
    <row r="1191" spans="1:27" ht="15">
      <c r="A1191" s="66" t="s">
        <v>217</v>
      </c>
      <c r="B1191" s="66" t="s">
        <v>854</v>
      </c>
      <c r="C1191" s="67" t="s">
        <v>4454</v>
      </c>
      <c r="D1191" s="68">
        <v>5</v>
      </c>
      <c r="E1191" s="69"/>
      <c r="F1191" s="70">
        <v>20</v>
      </c>
      <c r="G1191" s="67"/>
      <c r="H1191" s="71"/>
      <c r="I1191" s="72"/>
      <c r="J1191" s="72"/>
      <c r="K1191" s="34" t="s">
        <v>65</v>
      </c>
      <c r="L1191" s="79">
        <v>1191</v>
      </c>
      <c r="M1191" s="79"/>
      <c r="N1191" s="74"/>
      <c r="O1191" s="81" t="s">
        <v>944</v>
      </c>
      <c r="P1191">
        <v>1</v>
      </c>
      <c r="Q1191" s="80" t="str">
        <f>REPLACE(INDEX(GroupVertices[Group],MATCH(Edges[[#This Row],[Vertex 1]],GroupVertices[Vertex],0)),1,1,"")</f>
        <v>4</v>
      </c>
      <c r="R1191" s="80" t="str">
        <f>REPLACE(INDEX(GroupVertices[Group],MATCH(Edges[[#This Row],[Vertex 2]],GroupVertices[Vertex],0)),1,1,"")</f>
        <v>4</v>
      </c>
      <c r="S1191" s="34"/>
      <c r="T1191" s="34"/>
      <c r="U1191" s="34"/>
      <c r="V1191" s="34"/>
      <c r="W1191" s="34"/>
      <c r="X1191" s="34"/>
      <c r="Y1191" s="34"/>
      <c r="Z1191" s="34"/>
      <c r="AA1191" s="34"/>
    </row>
    <row r="1192" spans="1:27" ht="15">
      <c r="A1192" s="66" t="s">
        <v>255</v>
      </c>
      <c r="B1192" s="66" t="s">
        <v>854</v>
      </c>
      <c r="C1192" s="67" t="s">
        <v>4454</v>
      </c>
      <c r="D1192" s="68">
        <v>5</v>
      </c>
      <c r="E1192" s="69"/>
      <c r="F1192" s="70">
        <v>20</v>
      </c>
      <c r="G1192" s="67"/>
      <c r="H1192" s="71"/>
      <c r="I1192" s="72"/>
      <c r="J1192" s="72"/>
      <c r="K1192" s="34" t="s">
        <v>65</v>
      </c>
      <c r="L1192" s="79">
        <v>1192</v>
      </c>
      <c r="M1192" s="79"/>
      <c r="N1192" s="74"/>
      <c r="O1192" s="81" t="s">
        <v>944</v>
      </c>
      <c r="P1192">
        <v>1</v>
      </c>
      <c r="Q1192" s="80" t="str">
        <f>REPLACE(INDEX(GroupVertices[Group],MATCH(Edges[[#This Row],[Vertex 1]],GroupVertices[Vertex],0)),1,1,"")</f>
        <v>4</v>
      </c>
      <c r="R1192" s="80" t="str">
        <f>REPLACE(INDEX(GroupVertices[Group],MATCH(Edges[[#This Row],[Vertex 2]],GroupVertices[Vertex],0)),1,1,"")</f>
        <v>4</v>
      </c>
      <c r="S1192" s="34"/>
      <c r="T1192" s="34"/>
      <c r="U1192" s="34"/>
      <c r="V1192" s="34"/>
      <c r="W1192" s="34"/>
      <c r="X1192" s="34"/>
      <c r="Y1192" s="34"/>
      <c r="Z1192" s="34"/>
      <c r="AA1192" s="34"/>
    </row>
    <row r="1193" spans="1:27" ht="15">
      <c r="A1193" s="66" t="s">
        <v>255</v>
      </c>
      <c r="B1193" s="66" t="s">
        <v>855</v>
      </c>
      <c r="C1193" s="67" t="s">
        <v>4454</v>
      </c>
      <c r="D1193" s="68">
        <v>5</v>
      </c>
      <c r="E1193" s="69"/>
      <c r="F1193" s="70">
        <v>20</v>
      </c>
      <c r="G1193" s="67"/>
      <c r="H1193" s="71"/>
      <c r="I1193" s="72"/>
      <c r="J1193" s="72"/>
      <c r="K1193" s="34"/>
      <c r="L1193" s="79">
        <v>1193</v>
      </c>
      <c r="M1193" s="79"/>
      <c r="N1193" s="74"/>
      <c r="O1193" s="81" t="s">
        <v>944</v>
      </c>
      <c r="P1193">
        <v>1</v>
      </c>
      <c r="Q1193" s="80" t="str">
        <f>REPLACE(INDEX(GroupVertices[Group],MATCH(Edges[[#This Row],[Vertex 1]],GroupVertices[Vertex],0)),1,1,"")</f>
        <v>4</v>
      </c>
      <c r="R1193" s="80" t="e">
        <f>REPLACE(INDEX(GroupVertices[Group],MATCH(Edges[[#This Row],[Vertex 2]],GroupVertices[Vertex],0)),1,1,"")</f>
        <v>#N/A</v>
      </c>
      <c r="S1193" s="34"/>
      <c r="T1193" s="34"/>
      <c r="U1193" s="34"/>
      <c r="V1193" s="34"/>
      <c r="W1193" s="34"/>
      <c r="X1193" s="34"/>
      <c r="Y1193" s="34"/>
      <c r="Z1193" s="34"/>
      <c r="AA1193" s="34"/>
    </row>
    <row r="1194" spans="1:27" ht="15">
      <c r="A1194" s="66" t="s">
        <v>255</v>
      </c>
      <c r="B1194" s="66" t="s">
        <v>856</v>
      </c>
      <c r="C1194" s="67" t="s">
        <v>4454</v>
      </c>
      <c r="D1194" s="68">
        <v>5</v>
      </c>
      <c r="E1194" s="69"/>
      <c r="F1194" s="70">
        <v>20</v>
      </c>
      <c r="G1194" s="67"/>
      <c r="H1194" s="71"/>
      <c r="I1194" s="72"/>
      <c r="J1194" s="72"/>
      <c r="K1194" s="34"/>
      <c r="L1194" s="79">
        <v>1194</v>
      </c>
      <c r="M1194" s="79"/>
      <c r="N1194" s="74"/>
      <c r="O1194" s="81" t="s">
        <v>944</v>
      </c>
      <c r="P1194">
        <v>1</v>
      </c>
      <c r="Q1194" s="80" t="str">
        <f>REPLACE(INDEX(GroupVertices[Group],MATCH(Edges[[#This Row],[Vertex 1]],GroupVertices[Vertex],0)),1,1,"")</f>
        <v>4</v>
      </c>
      <c r="R1194" s="80" t="e">
        <f>REPLACE(INDEX(GroupVertices[Group],MATCH(Edges[[#This Row],[Vertex 2]],GroupVertices[Vertex],0)),1,1,"")</f>
        <v>#N/A</v>
      </c>
      <c r="S1194" s="34"/>
      <c r="T1194" s="34"/>
      <c r="U1194" s="34"/>
      <c r="V1194" s="34"/>
      <c r="W1194" s="34"/>
      <c r="X1194" s="34"/>
      <c r="Y1194" s="34"/>
      <c r="Z1194" s="34"/>
      <c r="AA1194" s="34"/>
    </row>
    <row r="1195" spans="1:27" ht="15">
      <c r="A1195" s="66" t="s">
        <v>247</v>
      </c>
      <c r="B1195" s="66" t="s">
        <v>857</v>
      </c>
      <c r="C1195" s="67" t="s">
        <v>4454</v>
      </c>
      <c r="D1195" s="68">
        <v>5</v>
      </c>
      <c r="E1195" s="69"/>
      <c r="F1195" s="70">
        <v>20</v>
      </c>
      <c r="G1195" s="67"/>
      <c r="H1195" s="71"/>
      <c r="I1195" s="72"/>
      <c r="J1195" s="72"/>
      <c r="K1195" s="34" t="s">
        <v>65</v>
      </c>
      <c r="L1195" s="79">
        <v>1195</v>
      </c>
      <c r="M1195" s="79"/>
      <c r="N1195" s="74"/>
      <c r="O1195" s="81" t="s">
        <v>944</v>
      </c>
      <c r="P1195">
        <v>1</v>
      </c>
      <c r="Q1195" s="80" t="str">
        <f>REPLACE(INDEX(GroupVertices[Group],MATCH(Edges[[#This Row],[Vertex 1]],GroupVertices[Vertex],0)),1,1,"")</f>
        <v>2</v>
      </c>
      <c r="R1195" s="80" t="str">
        <f>REPLACE(INDEX(GroupVertices[Group],MATCH(Edges[[#This Row],[Vertex 2]],GroupVertices[Vertex],0)),1,1,"")</f>
        <v>4</v>
      </c>
      <c r="S1195" s="34"/>
      <c r="T1195" s="34"/>
      <c r="U1195" s="34"/>
      <c r="V1195" s="34"/>
      <c r="W1195" s="34"/>
      <c r="X1195" s="34"/>
      <c r="Y1195" s="34"/>
      <c r="Z1195" s="34"/>
      <c r="AA1195" s="34"/>
    </row>
    <row r="1196" spans="1:27" ht="15">
      <c r="A1196" s="66" t="s">
        <v>255</v>
      </c>
      <c r="B1196" s="66" t="s">
        <v>857</v>
      </c>
      <c r="C1196" s="67" t="s">
        <v>4454</v>
      </c>
      <c r="D1196" s="68">
        <v>5</v>
      </c>
      <c r="E1196" s="69"/>
      <c r="F1196" s="70">
        <v>20</v>
      </c>
      <c r="G1196" s="67"/>
      <c r="H1196" s="71"/>
      <c r="I1196" s="72"/>
      <c r="J1196" s="72"/>
      <c r="K1196" s="34" t="s">
        <v>65</v>
      </c>
      <c r="L1196" s="79">
        <v>1196</v>
      </c>
      <c r="M1196" s="79"/>
      <c r="N1196" s="74"/>
      <c r="O1196" s="81" t="s">
        <v>944</v>
      </c>
      <c r="P1196">
        <v>1</v>
      </c>
      <c r="Q1196" s="80" t="str">
        <f>REPLACE(INDEX(GroupVertices[Group],MATCH(Edges[[#This Row],[Vertex 1]],GroupVertices[Vertex],0)),1,1,"")</f>
        <v>4</v>
      </c>
      <c r="R1196" s="80" t="str">
        <f>REPLACE(INDEX(GroupVertices[Group],MATCH(Edges[[#This Row],[Vertex 2]],GroupVertices[Vertex],0)),1,1,"")</f>
        <v>4</v>
      </c>
      <c r="S1196" s="34"/>
      <c r="T1196" s="34"/>
      <c r="U1196" s="34"/>
      <c r="V1196" s="34"/>
      <c r="W1196" s="34"/>
      <c r="X1196" s="34"/>
      <c r="Y1196" s="34"/>
      <c r="Z1196" s="34"/>
      <c r="AA1196" s="34"/>
    </row>
    <row r="1197" spans="1:27" ht="15">
      <c r="A1197" s="66" t="s">
        <v>255</v>
      </c>
      <c r="B1197" s="66" t="s">
        <v>481</v>
      </c>
      <c r="C1197" s="67" t="s">
        <v>4454</v>
      </c>
      <c r="D1197" s="68">
        <v>5</v>
      </c>
      <c r="E1197" s="69"/>
      <c r="F1197" s="70">
        <v>20</v>
      </c>
      <c r="G1197" s="67"/>
      <c r="H1197" s="71"/>
      <c r="I1197" s="72"/>
      <c r="J1197" s="72"/>
      <c r="K1197" s="34" t="s">
        <v>65</v>
      </c>
      <c r="L1197" s="79">
        <v>1197</v>
      </c>
      <c r="M1197" s="79"/>
      <c r="N1197" s="74"/>
      <c r="O1197" s="81" t="s">
        <v>944</v>
      </c>
      <c r="P1197">
        <v>1</v>
      </c>
      <c r="Q1197" s="80" t="str">
        <f>REPLACE(INDEX(GroupVertices[Group],MATCH(Edges[[#This Row],[Vertex 1]],GroupVertices[Vertex],0)),1,1,"")</f>
        <v>4</v>
      </c>
      <c r="R1197" s="80" t="str">
        <f>REPLACE(INDEX(GroupVertices[Group],MATCH(Edges[[#This Row],[Vertex 2]],GroupVertices[Vertex],0)),1,1,"")</f>
        <v>1</v>
      </c>
      <c r="S1197" s="34"/>
      <c r="T1197" s="34"/>
      <c r="U1197" s="34"/>
      <c r="V1197" s="34"/>
      <c r="W1197" s="34"/>
      <c r="X1197" s="34"/>
      <c r="Y1197" s="34"/>
      <c r="Z1197" s="34"/>
      <c r="AA1197" s="34"/>
    </row>
    <row r="1198" spans="1:27" ht="15">
      <c r="A1198" s="66" t="s">
        <v>234</v>
      </c>
      <c r="B1198" s="66" t="s">
        <v>483</v>
      </c>
      <c r="C1198" s="67" t="s">
        <v>4454</v>
      </c>
      <c r="D1198" s="68">
        <v>5</v>
      </c>
      <c r="E1198" s="69"/>
      <c r="F1198" s="70">
        <v>20</v>
      </c>
      <c r="G1198" s="67"/>
      <c r="H1198" s="71"/>
      <c r="I1198" s="72"/>
      <c r="J1198" s="72"/>
      <c r="K1198" s="34" t="s">
        <v>65</v>
      </c>
      <c r="L1198" s="79">
        <v>1198</v>
      </c>
      <c r="M1198" s="79"/>
      <c r="N1198" s="74"/>
      <c r="O1198" s="81" t="s">
        <v>944</v>
      </c>
      <c r="P1198">
        <v>1</v>
      </c>
      <c r="Q1198" s="80" t="str">
        <f>REPLACE(INDEX(GroupVertices[Group],MATCH(Edges[[#This Row],[Vertex 1]],GroupVertices[Vertex],0)),1,1,"")</f>
        <v>4</v>
      </c>
      <c r="R1198" s="80" t="str">
        <f>REPLACE(INDEX(GroupVertices[Group],MATCH(Edges[[#This Row],[Vertex 2]],GroupVertices[Vertex],0)),1,1,"")</f>
        <v>4</v>
      </c>
      <c r="S1198" s="34"/>
      <c r="T1198" s="34"/>
      <c r="U1198" s="34"/>
      <c r="V1198" s="34"/>
      <c r="W1198" s="34"/>
      <c r="X1198" s="34"/>
      <c r="Y1198" s="34"/>
      <c r="Z1198" s="34"/>
      <c r="AA1198" s="34"/>
    </row>
    <row r="1199" spans="1:27" ht="15">
      <c r="A1199" s="66" t="s">
        <v>250</v>
      </c>
      <c r="B1199" s="66" t="s">
        <v>483</v>
      </c>
      <c r="C1199" s="67" t="s">
        <v>4454</v>
      </c>
      <c r="D1199" s="68">
        <v>5</v>
      </c>
      <c r="E1199" s="69"/>
      <c r="F1199" s="70">
        <v>20</v>
      </c>
      <c r="G1199" s="67"/>
      <c r="H1199" s="71"/>
      <c r="I1199" s="72"/>
      <c r="J1199" s="72"/>
      <c r="K1199" s="34" t="s">
        <v>65</v>
      </c>
      <c r="L1199" s="79">
        <v>1199</v>
      </c>
      <c r="M1199" s="79"/>
      <c r="N1199" s="74"/>
      <c r="O1199" s="81" t="s">
        <v>944</v>
      </c>
      <c r="P1199">
        <v>1</v>
      </c>
      <c r="Q1199" s="80" t="str">
        <f>REPLACE(INDEX(GroupVertices[Group],MATCH(Edges[[#This Row],[Vertex 1]],GroupVertices[Vertex],0)),1,1,"")</f>
        <v>2</v>
      </c>
      <c r="R1199" s="80" t="str">
        <f>REPLACE(INDEX(GroupVertices[Group],MATCH(Edges[[#This Row],[Vertex 2]],GroupVertices[Vertex],0)),1,1,"")</f>
        <v>4</v>
      </c>
      <c r="S1199" s="34"/>
      <c r="T1199" s="34"/>
      <c r="U1199" s="34"/>
      <c r="V1199" s="34"/>
      <c r="W1199" s="34"/>
      <c r="X1199" s="34"/>
      <c r="Y1199" s="34"/>
      <c r="Z1199" s="34"/>
      <c r="AA1199" s="34"/>
    </row>
    <row r="1200" spans="1:27" ht="15">
      <c r="A1200" s="66" t="s">
        <v>255</v>
      </c>
      <c r="B1200" s="66" t="s">
        <v>483</v>
      </c>
      <c r="C1200" s="67" t="s">
        <v>4454</v>
      </c>
      <c r="D1200" s="68">
        <v>5</v>
      </c>
      <c r="E1200" s="69"/>
      <c r="F1200" s="70">
        <v>20</v>
      </c>
      <c r="G1200" s="67"/>
      <c r="H1200" s="71"/>
      <c r="I1200" s="72"/>
      <c r="J1200" s="72"/>
      <c r="K1200" s="34" t="s">
        <v>65</v>
      </c>
      <c r="L1200" s="79">
        <v>1200</v>
      </c>
      <c r="M1200" s="79"/>
      <c r="N1200" s="74"/>
      <c r="O1200" s="81" t="s">
        <v>944</v>
      </c>
      <c r="P1200">
        <v>1</v>
      </c>
      <c r="Q1200" s="80" t="str">
        <f>REPLACE(INDEX(GroupVertices[Group],MATCH(Edges[[#This Row],[Vertex 1]],GroupVertices[Vertex],0)),1,1,"")</f>
        <v>4</v>
      </c>
      <c r="R1200" s="80" t="str">
        <f>REPLACE(INDEX(GroupVertices[Group],MATCH(Edges[[#This Row],[Vertex 2]],GroupVertices[Vertex],0)),1,1,"")</f>
        <v>4</v>
      </c>
      <c r="S1200" s="34"/>
      <c r="T1200" s="34"/>
      <c r="U1200" s="34"/>
      <c r="V1200" s="34"/>
      <c r="W1200" s="34"/>
      <c r="X1200" s="34"/>
      <c r="Y1200" s="34"/>
      <c r="Z1200" s="34"/>
      <c r="AA1200" s="34"/>
    </row>
    <row r="1201" spans="1:27" ht="15">
      <c r="A1201" s="66" t="s">
        <v>232</v>
      </c>
      <c r="B1201" s="66" t="s">
        <v>620</v>
      </c>
      <c r="C1201" s="67" t="s">
        <v>4454</v>
      </c>
      <c r="D1201" s="68">
        <v>5</v>
      </c>
      <c r="E1201" s="69"/>
      <c r="F1201" s="70">
        <v>20</v>
      </c>
      <c r="G1201" s="67"/>
      <c r="H1201" s="71"/>
      <c r="I1201" s="72"/>
      <c r="J1201" s="72"/>
      <c r="K1201" s="34" t="s">
        <v>65</v>
      </c>
      <c r="L1201" s="79">
        <v>1201</v>
      </c>
      <c r="M1201" s="79"/>
      <c r="N1201" s="74"/>
      <c r="O1201" s="81" t="s">
        <v>944</v>
      </c>
      <c r="P1201">
        <v>1</v>
      </c>
      <c r="Q1201" s="80" t="str">
        <f>REPLACE(INDEX(GroupVertices[Group],MATCH(Edges[[#This Row],[Vertex 1]],GroupVertices[Vertex],0)),1,1,"")</f>
        <v>1</v>
      </c>
      <c r="R1201" s="80" t="str">
        <f>REPLACE(INDEX(GroupVertices[Group],MATCH(Edges[[#This Row],[Vertex 2]],GroupVertices[Vertex],0)),1,1,"")</f>
        <v>1</v>
      </c>
      <c r="S1201" s="34"/>
      <c r="T1201" s="34"/>
      <c r="U1201" s="34"/>
      <c r="V1201" s="34"/>
      <c r="W1201" s="34"/>
      <c r="X1201" s="34"/>
      <c r="Y1201" s="34"/>
      <c r="Z1201" s="34"/>
      <c r="AA1201" s="34"/>
    </row>
    <row r="1202" spans="1:27" ht="15">
      <c r="A1202" s="66" t="s">
        <v>252</v>
      </c>
      <c r="B1202" s="66" t="s">
        <v>620</v>
      </c>
      <c r="C1202" s="67" t="s">
        <v>4454</v>
      </c>
      <c r="D1202" s="68">
        <v>5</v>
      </c>
      <c r="E1202" s="69"/>
      <c r="F1202" s="70">
        <v>20</v>
      </c>
      <c r="G1202" s="67"/>
      <c r="H1202" s="71"/>
      <c r="I1202" s="72"/>
      <c r="J1202" s="72"/>
      <c r="K1202" s="34" t="s">
        <v>65</v>
      </c>
      <c r="L1202" s="79">
        <v>1202</v>
      </c>
      <c r="M1202" s="79"/>
      <c r="N1202" s="74"/>
      <c r="O1202" s="81" t="s">
        <v>944</v>
      </c>
      <c r="P1202">
        <v>1</v>
      </c>
      <c r="Q1202" s="80" t="str">
        <f>REPLACE(INDEX(GroupVertices[Group],MATCH(Edges[[#This Row],[Vertex 1]],GroupVertices[Vertex],0)),1,1,"")</f>
        <v>1</v>
      </c>
      <c r="R1202" s="80" t="str">
        <f>REPLACE(INDEX(GroupVertices[Group],MATCH(Edges[[#This Row],[Vertex 2]],GroupVertices[Vertex],0)),1,1,"")</f>
        <v>1</v>
      </c>
      <c r="S1202" s="34"/>
      <c r="T1202" s="34"/>
      <c r="U1202" s="34"/>
      <c r="V1202" s="34"/>
      <c r="W1202" s="34"/>
      <c r="X1202" s="34"/>
      <c r="Y1202" s="34"/>
      <c r="Z1202" s="34"/>
      <c r="AA1202" s="34"/>
    </row>
    <row r="1203" spans="1:27" ht="15">
      <c r="A1203" s="66" t="s">
        <v>255</v>
      </c>
      <c r="B1203" s="66" t="s">
        <v>620</v>
      </c>
      <c r="C1203" s="67" t="s">
        <v>4454</v>
      </c>
      <c r="D1203" s="68">
        <v>5</v>
      </c>
      <c r="E1203" s="69"/>
      <c r="F1203" s="70">
        <v>20</v>
      </c>
      <c r="G1203" s="67"/>
      <c r="H1203" s="71"/>
      <c r="I1203" s="72"/>
      <c r="J1203" s="72"/>
      <c r="K1203" s="34" t="s">
        <v>65</v>
      </c>
      <c r="L1203" s="79">
        <v>1203</v>
      </c>
      <c r="M1203" s="79"/>
      <c r="N1203" s="74"/>
      <c r="O1203" s="81" t="s">
        <v>944</v>
      </c>
      <c r="P1203">
        <v>1</v>
      </c>
      <c r="Q1203" s="80" t="str">
        <f>REPLACE(INDEX(GroupVertices[Group],MATCH(Edges[[#This Row],[Vertex 1]],GroupVertices[Vertex],0)),1,1,"")</f>
        <v>4</v>
      </c>
      <c r="R1203" s="80" t="str">
        <f>REPLACE(INDEX(GroupVertices[Group],MATCH(Edges[[#This Row],[Vertex 2]],GroupVertices[Vertex],0)),1,1,"")</f>
        <v>1</v>
      </c>
      <c r="S1203" s="34"/>
      <c r="T1203" s="34"/>
      <c r="U1203" s="34"/>
      <c r="V1203" s="34"/>
      <c r="W1203" s="34"/>
      <c r="X1203" s="34"/>
      <c r="Y1203" s="34"/>
      <c r="Z1203" s="34"/>
      <c r="AA1203" s="34"/>
    </row>
    <row r="1204" spans="1:27" ht="15">
      <c r="A1204" s="66" t="s">
        <v>255</v>
      </c>
      <c r="B1204" s="66" t="s">
        <v>782</v>
      </c>
      <c r="C1204" s="67" t="s">
        <v>4454</v>
      </c>
      <c r="D1204" s="68">
        <v>5</v>
      </c>
      <c r="E1204" s="69"/>
      <c r="F1204" s="70">
        <v>20</v>
      </c>
      <c r="G1204" s="67"/>
      <c r="H1204" s="71"/>
      <c r="I1204" s="72"/>
      <c r="J1204" s="72"/>
      <c r="K1204" s="34" t="s">
        <v>65</v>
      </c>
      <c r="L1204" s="79">
        <v>1204</v>
      </c>
      <c r="M1204" s="79"/>
      <c r="N1204" s="74"/>
      <c r="O1204" s="81" t="s">
        <v>944</v>
      </c>
      <c r="P1204">
        <v>1</v>
      </c>
      <c r="Q1204" s="80" t="str">
        <f>REPLACE(INDEX(GroupVertices[Group],MATCH(Edges[[#This Row],[Vertex 1]],GroupVertices[Vertex],0)),1,1,"")</f>
        <v>4</v>
      </c>
      <c r="R1204" s="80" t="str">
        <f>REPLACE(INDEX(GroupVertices[Group],MATCH(Edges[[#This Row],[Vertex 2]],GroupVertices[Vertex],0)),1,1,"")</f>
        <v>4</v>
      </c>
      <c r="S1204" s="34"/>
      <c r="T1204" s="34"/>
      <c r="U1204" s="34"/>
      <c r="V1204" s="34"/>
      <c r="W1204" s="34"/>
      <c r="X1204" s="34"/>
      <c r="Y1204" s="34"/>
      <c r="Z1204" s="34"/>
      <c r="AA1204" s="34"/>
    </row>
    <row r="1205" spans="1:27" ht="15">
      <c r="A1205" s="66" t="s">
        <v>255</v>
      </c>
      <c r="B1205" s="66" t="s">
        <v>858</v>
      </c>
      <c r="C1205" s="67" t="s">
        <v>4454</v>
      </c>
      <c r="D1205" s="68">
        <v>5</v>
      </c>
      <c r="E1205" s="69"/>
      <c r="F1205" s="70">
        <v>20</v>
      </c>
      <c r="G1205" s="67"/>
      <c r="H1205" s="71"/>
      <c r="I1205" s="72"/>
      <c r="J1205" s="72"/>
      <c r="K1205" s="34"/>
      <c r="L1205" s="79">
        <v>1205</v>
      </c>
      <c r="M1205" s="79"/>
      <c r="N1205" s="74"/>
      <c r="O1205" s="81" t="s">
        <v>944</v>
      </c>
      <c r="P1205">
        <v>1</v>
      </c>
      <c r="Q1205" s="80" t="str">
        <f>REPLACE(INDEX(GroupVertices[Group],MATCH(Edges[[#This Row],[Vertex 1]],GroupVertices[Vertex],0)),1,1,"")</f>
        <v>4</v>
      </c>
      <c r="R1205" s="80" t="e">
        <f>REPLACE(INDEX(GroupVertices[Group],MATCH(Edges[[#This Row],[Vertex 2]],GroupVertices[Vertex],0)),1,1,"")</f>
        <v>#N/A</v>
      </c>
      <c r="S1205" s="34"/>
      <c r="T1205" s="34"/>
      <c r="U1205" s="34"/>
      <c r="V1205" s="34"/>
      <c r="W1205" s="34"/>
      <c r="X1205" s="34"/>
      <c r="Y1205" s="34"/>
      <c r="Z1205" s="34"/>
      <c r="AA1205" s="34"/>
    </row>
    <row r="1206" spans="1:27" ht="15">
      <c r="A1206" s="66" t="s">
        <v>255</v>
      </c>
      <c r="B1206" s="66" t="s">
        <v>859</v>
      </c>
      <c r="C1206" s="67" t="s">
        <v>4454</v>
      </c>
      <c r="D1206" s="68">
        <v>5</v>
      </c>
      <c r="E1206" s="69"/>
      <c r="F1206" s="70">
        <v>20</v>
      </c>
      <c r="G1206" s="67"/>
      <c r="H1206" s="71"/>
      <c r="I1206" s="72"/>
      <c r="J1206" s="72"/>
      <c r="K1206" s="34"/>
      <c r="L1206" s="79">
        <v>1206</v>
      </c>
      <c r="M1206" s="79"/>
      <c r="N1206" s="74"/>
      <c r="O1206" s="81" t="s">
        <v>944</v>
      </c>
      <c r="P1206">
        <v>1</v>
      </c>
      <c r="Q1206" s="80" t="str">
        <f>REPLACE(INDEX(GroupVertices[Group],MATCH(Edges[[#This Row],[Vertex 1]],GroupVertices[Vertex],0)),1,1,"")</f>
        <v>4</v>
      </c>
      <c r="R1206" s="80" t="e">
        <f>REPLACE(INDEX(GroupVertices[Group],MATCH(Edges[[#This Row],[Vertex 2]],GroupVertices[Vertex],0)),1,1,"")</f>
        <v>#N/A</v>
      </c>
      <c r="S1206" s="34"/>
      <c r="T1206" s="34"/>
      <c r="U1206" s="34"/>
      <c r="V1206" s="34"/>
      <c r="W1206" s="34"/>
      <c r="X1206" s="34"/>
      <c r="Y1206" s="34"/>
      <c r="Z1206" s="34"/>
      <c r="AA1206" s="34"/>
    </row>
    <row r="1207" spans="1:27" ht="15">
      <c r="A1207" s="66" t="s">
        <v>234</v>
      </c>
      <c r="B1207" s="66" t="s">
        <v>860</v>
      </c>
      <c r="C1207" s="67" t="s">
        <v>4454</v>
      </c>
      <c r="D1207" s="68">
        <v>5</v>
      </c>
      <c r="E1207" s="69"/>
      <c r="F1207" s="70">
        <v>20</v>
      </c>
      <c r="G1207" s="67"/>
      <c r="H1207" s="71"/>
      <c r="I1207" s="72"/>
      <c r="J1207" s="72"/>
      <c r="K1207" s="34" t="s">
        <v>65</v>
      </c>
      <c r="L1207" s="79">
        <v>1207</v>
      </c>
      <c r="M1207" s="79"/>
      <c r="N1207" s="74"/>
      <c r="O1207" s="81" t="s">
        <v>944</v>
      </c>
      <c r="P1207">
        <v>1</v>
      </c>
      <c r="Q1207" s="80" t="str">
        <f>REPLACE(INDEX(GroupVertices[Group],MATCH(Edges[[#This Row],[Vertex 1]],GroupVertices[Vertex],0)),1,1,"")</f>
        <v>4</v>
      </c>
      <c r="R1207" s="80" t="str">
        <f>REPLACE(INDEX(GroupVertices[Group],MATCH(Edges[[#This Row],[Vertex 2]],GroupVertices[Vertex],0)),1,1,"")</f>
        <v>4</v>
      </c>
      <c r="S1207" s="34"/>
      <c r="T1207" s="34"/>
      <c r="U1207" s="34"/>
      <c r="V1207" s="34"/>
      <c r="W1207" s="34"/>
      <c r="X1207" s="34"/>
      <c r="Y1207" s="34"/>
      <c r="Z1207" s="34"/>
      <c r="AA1207" s="34"/>
    </row>
    <row r="1208" spans="1:27" ht="15">
      <c r="A1208" s="66" t="s">
        <v>251</v>
      </c>
      <c r="B1208" s="66" t="s">
        <v>860</v>
      </c>
      <c r="C1208" s="67" t="s">
        <v>4454</v>
      </c>
      <c r="D1208" s="68">
        <v>5</v>
      </c>
      <c r="E1208" s="69"/>
      <c r="F1208" s="70">
        <v>20</v>
      </c>
      <c r="G1208" s="67"/>
      <c r="H1208" s="71"/>
      <c r="I1208" s="72"/>
      <c r="J1208" s="72"/>
      <c r="K1208" s="34" t="s">
        <v>65</v>
      </c>
      <c r="L1208" s="79">
        <v>1208</v>
      </c>
      <c r="M1208" s="79"/>
      <c r="N1208" s="74"/>
      <c r="O1208" s="81" t="s">
        <v>944</v>
      </c>
      <c r="P1208">
        <v>1</v>
      </c>
      <c r="Q1208" s="80" t="str">
        <f>REPLACE(INDEX(GroupVertices[Group],MATCH(Edges[[#This Row],[Vertex 1]],GroupVertices[Vertex],0)),1,1,"")</f>
        <v>2</v>
      </c>
      <c r="R1208" s="80" t="str">
        <f>REPLACE(INDEX(GroupVertices[Group],MATCH(Edges[[#This Row],[Vertex 2]],GroupVertices[Vertex],0)),1,1,"")</f>
        <v>4</v>
      </c>
      <c r="S1208" s="34"/>
      <c r="T1208" s="34"/>
      <c r="U1208" s="34"/>
      <c r="V1208" s="34"/>
      <c r="W1208" s="34"/>
      <c r="X1208" s="34"/>
      <c r="Y1208" s="34"/>
      <c r="Z1208" s="34"/>
      <c r="AA1208" s="34"/>
    </row>
    <row r="1209" spans="1:27" ht="15">
      <c r="A1209" s="66" t="s">
        <v>255</v>
      </c>
      <c r="B1209" s="66" t="s">
        <v>860</v>
      </c>
      <c r="C1209" s="67" t="s">
        <v>4454</v>
      </c>
      <c r="D1209" s="68">
        <v>5</v>
      </c>
      <c r="E1209" s="69"/>
      <c r="F1209" s="70">
        <v>20</v>
      </c>
      <c r="G1209" s="67"/>
      <c r="H1209" s="71"/>
      <c r="I1209" s="72"/>
      <c r="J1209" s="72"/>
      <c r="K1209" s="34" t="s">
        <v>65</v>
      </c>
      <c r="L1209" s="79">
        <v>1209</v>
      </c>
      <c r="M1209" s="79"/>
      <c r="N1209" s="74"/>
      <c r="O1209" s="81" t="s">
        <v>944</v>
      </c>
      <c r="P1209">
        <v>1</v>
      </c>
      <c r="Q1209" s="80" t="str">
        <f>REPLACE(INDEX(GroupVertices[Group],MATCH(Edges[[#This Row],[Vertex 1]],GroupVertices[Vertex],0)),1,1,"")</f>
        <v>4</v>
      </c>
      <c r="R1209" s="80" t="str">
        <f>REPLACE(INDEX(GroupVertices[Group],MATCH(Edges[[#This Row],[Vertex 2]],GroupVertices[Vertex],0)),1,1,"")</f>
        <v>4</v>
      </c>
      <c r="S1209" s="34"/>
      <c r="T1209" s="34"/>
      <c r="U1209" s="34"/>
      <c r="V1209" s="34"/>
      <c r="W1209" s="34"/>
      <c r="X1209" s="34"/>
      <c r="Y1209" s="34"/>
      <c r="Z1209" s="34"/>
      <c r="AA1209" s="34"/>
    </row>
    <row r="1210" spans="1:27" ht="15">
      <c r="A1210" s="66" t="s">
        <v>246</v>
      </c>
      <c r="B1210" s="66" t="s">
        <v>621</v>
      </c>
      <c r="C1210" s="67" t="s">
        <v>4454</v>
      </c>
      <c r="D1210" s="68">
        <v>5</v>
      </c>
      <c r="E1210" s="69"/>
      <c r="F1210" s="70">
        <v>20</v>
      </c>
      <c r="G1210" s="67"/>
      <c r="H1210" s="71"/>
      <c r="I1210" s="72"/>
      <c r="J1210" s="72"/>
      <c r="K1210" s="34" t="s">
        <v>65</v>
      </c>
      <c r="L1210" s="79">
        <v>1210</v>
      </c>
      <c r="M1210" s="79"/>
      <c r="N1210" s="74"/>
      <c r="O1210" s="81" t="s">
        <v>944</v>
      </c>
      <c r="P1210">
        <v>1</v>
      </c>
      <c r="Q1210" s="80" t="str">
        <f>REPLACE(INDEX(GroupVertices[Group],MATCH(Edges[[#This Row],[Vertex 1]],GroupVertices[Vertex],0)),1,1,"")</f>
        <v>2</v>
      </c>
      <c r="R1210" s="80" t="str">
        <f>REPLACE(INDEX(GroupVertices[Group],MATCH(Edges[[#This Row],[Vertex 2]],GroupVertices[Vertex],0)),1,1,"")</f>
        <v>2</v>
      </c>
      <c r="S1210" s="34"/>
      <c r="T1210" s="34"/>
      <c r="U1210" s="34"/>
      <c r="V1210" s="34"/>
      <c r="W1210" s="34"/>
      <c r="X1210" s="34"/>
      <c r="Y1210" s="34"/>
      <c r="Z1210" s="34"/>
      <c r="AA1210" s="34"/>
    </row>
    <row r="1211" spans="1:27" ht="15">
      <c r="A1211" s="66" t="s">
        <v>249</v>
      </c>
      <c r="B1211" s="66" t="s">
        <v>621</v>
      </c>
      <c r="C1211" s="67" t="s">
        <v>4454</v>
      </c>
      <c r="D1211" s="68">
        <v>5</v>
      </c>
      <c r="E1211" s="69"/>
      <c r="F1211" s="70">
        <v>20</v>
      </c>
      <c r="G1211" s="67"/>
      <c r="H1211" s="71"/>
      <c r="I1211" s="72"/>
      <c r="J1211" s="72"/>
      <c r="K1211" s="34" t="s">
        <v>65</v>
      </c>
      <c r="L1211" s="79">
        <v>1211</v>
      </c>
      <c r="M1211" s="79"/>
      <c r="N1211" s="74"/>
      <c r="O1211" s="81" t="s">
        <v>944</v>
      </c>
      <c r="P1211">
        <v>1</v>
      </c>
      <c r="Q1211" s="80" t="str">
        <f>REPLACE(INDEX(GroupVertices[Group],MATCH(Edges[[#This Row],[Vertex 1]],GroupVertices[Vertex],0)),1,1,"")</f>
        <v>2</v>
      </c>
      <c r="R1211" s="80" t="str">
        <f>REPLACE(INDEX(GroupVertices[Group],MATCH(Edges[[#This Row],[Vertex 2]],GroupVertices[Vertex],0)),1,1,"")</f>
        <v>2</v>
      </c>
      <c r="S1211" s="34"/>
      <c r="T1211" s="34"/>
      <c r="U1211" s="34"/>
      <c r="V1211" s="34"/>
      <c r="W1211" s="34"/>
      <c r="X1211" s="34"/>
      <c r="Y1211" s="34"/>
      <c r="Z1211" s="34"/>
      <c r="AA1211" s="34"/>
    </row>
    <row r="1212" spans="1:27" ht="15">
      <c r="A1212" s="66" t="s">
        <v>251</v>
      </c>
      <c r="B1212" s="66" t="s">
        <v>621</v>
      </c>
      <c r="C1212" s="67" t="s">
        <v>4454</v>
      </c>
      <c r="D1212" s="68">
        <v>5</v>
      </c>
      <c r="E1212" s="69"/>
      <c r="F1212" s="70">
        <v>20</v>
      </c>
      <c r="G1212" s="67"/>
      <c r="H1212" s="71"/>
      <c r="I1212" s="72"/>
      <c r="J1212" s="72"/>
      <c r="K1212" s="34" t="s">
        <v>65</v>
      </c>
      <c r="L1212" s="79">
        <v>1212</v>
      </c>
      <c r="M1212" s="79"/>
      <c r="N1212" s="74"/>
      <c r="O1212" s="81" t="s">
        <v>944</v>
      </c>
      <c r="P1212">
        <v>1</v>
      </c>
      <c r="Q1212" s="80" t="str">
        <f>REPLACE(INDEX(GroupVertices[Group],MATCH(Edges[[#This Row],[Vertex 1]],GroupVertices[Vertex],0)),1,1,"")</f>
        <v>2</v>
      </c>
      <c r="R1212" s="80" t="str">
        <f>REPLACE(INDEX(GroupVertices[Group],MATCH(Edges[[#This Row],[Vertex 2]],GroupVertices[Vertex],0)),1,1,"")</f>
        <v>2</v>
      </c>
      <c r="S1212" s="34"/>
      <c r="T1212" s="34"/>
      <c r="U1212" s="34"/>
      <c r="V1212" s="34"/>
      <c r="W1212" s="34"/>
      <c r="X1212" s="34"/>
      <c r="Y1212" s="34"/>
      <c r="Z1212" s="34"/>
      <c r="AA1212" s="34"/>
    </row>
    <row r="1213" spans="1:27" ht="15">
      <c r="A1213" s="66" t="s">
        <v>255</v>
      </c>
      <c r="B1213" s="66" t="s">
        <v>621</v>
      </c>
      <c r="C1213" s="67" t="s">
        <v>4454</v>
      </c>
      <c r="D1213" s="68">
        <v>5</v>
      </c>
      <c r="E1213" s="69"/>
      <c r="F1213" s="70">
        <v>20</v>
      </c>
      <c r="G1213" s="67"/>
      <c r="H1213" s="71"/>
      <c r="I1213" s="72"/>
      <c r="J1213" s="72"/>
      <c r="K1213" s="34" t="s">
        <v>65</v>
      </c>
      <c r="L1213" s="79">
        <v>1213</v>
      </c>
      <c r="M1213" s="79"/>
      <c r="N1213" s="74"/>
      <c r="O1213" s="81" t="s">
        <v>944</v>
      </c>
      <c r="P1213">
        <v>1</v>
      </c>
      <c r="Q1213" s="80" t="str">
        <f>REPLACE(INDEX(GroupVertices[Group],MATCH(Edges[[#This Row],[Vertex 1]],GroupVertices[Vertex],0)),1,1,"")</f>
        <v>4</v>
      </c>
      <c r="R1213" s="80" t="str">
        <f>REPLACE(INDEX(GroupVertices[Group],MATCH(Edges[[#This Row],[Vertex 2]],GroupVertices[Vertex],0)),1,1,"")</f>
        <v>2</v>
      </c>
      <c r="S1213" s="34"/>
      <c r="T1213" s="34"/>
      <c r="U1213" s="34"/>
      <c r="V1213" s="34"/>
      <c r="W1213" s="34"/>
      <c r="X1213" s="34"/>
      <c r="Y1213" s="34"/>
      <c r="Z1213" s="34"/>
      <c r="AA1213" s="34"/>
    </row>
    <row r="1214" spans="1:27" ht="15">
      <c r="A1214" s="66" t="s">
        <v>234</v>
      </c>
      <c r="B1214" s="66" t="s">
        <v>861</v>
      </c>
      <c r="C1214" s="67" t="s">
        <v>4454</v>
      </c>
      <c r="D1214" s="68">
        <v>5</v>
      </c>
      <c r="E1214" s="69"/>
      <c r="F1214" s="70">
        <v>20</v>
      </c>
      <c r="G1214" s="67"/>
      <c r="H1214" s="71"/>
      <c r="I1214" s="72"/>
      <c r="J1214" s="72"/>
      <c r="K1214" s="34" t="s">
        <v>65</v>
      </c>
      <c r="L1214" s="79">
        <v>1214</v>
      </c>
      <c r="M1214" s="79"/>
      <c r="N1214" s="74"/>
      <c r="O1214" s="81" t="s">
        <v>944</v>
      </c>
      <c r="P1214">
        <v>1</v>
      </c>
      <c r="Q1214" s="80" t="str">
        <f>REPLACE(INDEX(GroupVertices[Group],MATCH(Edges[[#This Row],[Vertex 1]],GroupVertices[Vertex],0)),1,1,"")</f>
        <v>4</v>
      </c>
      <c r="R1214" s="80" t="str">
        <f>REPLACE(INDEX(GroupVertices[Group],MATCH(Edges[[#This Row],[Vertex 2]],GroupVertices[Vertex],0)),1,1,"")</f>
        <v>4</v>
      </c>
      <c r="S1214" s="34"/>
      <c r="T1214" s="34"/>
      <c r="U1214" s="34"/>
      <c r="V1214" s="34"/>
      <c r="W1214" s="34"/>
      <c r="X1214" s="34"/>
      <c r="Y1214" s="34"/>
      <c r="Z1214" s="34"/>
      <c r="AA1214" s="34"/>
    </row>
    <row r="1215" spans="1:27" ht="15">
      <c r="A1215" s="66" t="s">
        <v>255</v>
      </c>
      <c r="B1215" s="66" t="s">
        <v>861</v>
      </c>
      <c r="C1215" s="67" t="s">
        <v>4454</v>
      </c>
      <c r="D1215" s="68">
        <v>5</v>
      </c>
      <c r="E1215" s="69"/>
      <c r="F1215" s="70">
        <v>20</v>
      </c>
      <c r="G1215" s="67"/>
      <c r="H1215" s="71"/>
      <c r="I1215" s="72"/>
      <c r="J1215" s="72"/>
      <c r="K1215" s="34" t="s">
        <v>65</v>
      </c>
      <c r="L1215" s="79">
        <v>1215</v>
      </c>
      <c r="M1215" s="79"/>
      <c r="N1215" s="74"/>
      <c r="O1215" s="81" t="s">
        <v>944</v>
      </c>
      <c r="P1215">
        <v>1</v>
      </c>
      <c r="Q1215" s="80" t="str">
        <f>REPLACE(INDEX(GroupVertices[Group],MATCH(Edges[[#This Row],[Vertex 1]],GroupVertices[Vertex],0)),1,1,"")</f>
        <v>4</v>
      </c>
      <c r="R1215" s="80" t="str">
        <f>REPLACE(INDEX(GroupVertices[Group],MATCH(Edges[[#This Row],[Vertex 2]],GroupVertices[Vertex],0)),1,1,"")</f>
        <v>4</v>
      </c>
      <c r="S1215" s="34"/>
      <c r="T1215" s="34"/>
      <c r="U1215" s="34"/>
      <c r="V1215" s="34"/>
      <c r="W1215" s="34"/>
      <c r="X1215" s="34"/>
      <c r="Y1215" s="34"/>
      <c r="Z1215" s="34"/>
      <c r="AA1215" s="34"/>
    </row>
    <row r="1216" spans="1:27" ht="15">
      <c r="A1216" s="66" t="s">
        <v>244</v>
      </c>
      <c r="B1216" s="66" t="s">
        <v>664</v>
      </c>
      <c r="C1216" s="67" t="s">
        <v>4454</v>
      </c>
      <c r="D1216" s="68">
        <v>5</v>
      </c>
      <c r="E1216" s="69"/>
      <c r="F1216" s="70">
        <v>20</v>
      </c>
      <c r="G1216" s="67"/>
      <c r="H1216" s="71"/>
      <c r="I1216" s="72"/>
      <c r="J1216" s="72"/>
      <c r="K1216" s="34" t="s">
        <v>65</v>
      </c>
      <c r="L1216" s="79">
        <v>1216</v>
      </c>
      <c r="M1216" s="79"/>
      <c r="N1216" s="74"/>
      <c r="O1216" s="81" t="s">
        <v>944</v>
      </c>
      <c r="P1216">
        <v>1</v>
      </c>
      <c r="Q1216" s="80" t="str">
        <f>REPLACE(INDEX(GroupVertices[Group],MATCH(Edges[[#This Row],[Vertex 1]],GroupVertices[Vertex],0)),1,1,"")</f>
        <v>2</v>
      </c>
      <c r="R1216" s="80" t="str">
        <f>REPLACE(INDEX(GroupVertices[Group],MATCH(Edges[[#This Row],[Vertex 2]],GroupVertices[Vertex],0)),1,1,"")</f>
        <v>2</v>
      </c>
      <c r="S1216" s="34"/>
      <c r="T1216" s="34"/>
      <c r="U1216" s="34"/>
      <c r="V1216" s="34"/>
      <c r="W1216" s="34"/>
      <c r="X1216" s="34"/>
      <c r="Y1216" s="34"/>
      <c r="Z1216" s="34"/>
      <c r="AA1216" s="34"/>
    </row>
    <row r="1217" spans="1:27" ht="15">
      <c r="A1217" s="66" t="s">
        <v>247</v>
      </c>
      <c r="B1217" s="66" t="s">
        <v>664</v>
      </c>
      <c r="C1217" s="67" t="s">
        <v>4454</v>
      </c>
      <c r="D1217" s="68">
        <v>5</v>
      </c>
      <c r="E1217" s="69"/>
      <c r="F1217" s="70">
        <v>20</v>
      </c>
      <c r="G1217" s="67"/>
      <c r="H1217" s="71"/>
      <c r="I1217" s="72"/>
      <c r="J1217" s="72"/>
      <c r="K1217" s="34" t="s">
        <v>65</v>
      </c>
      <c r="L1217" s="79">
        <v>1217</v>
      </c>
      <c r="M1217" s="79"/>
      <c r="N1217" s="74"/>
      <c r="O1217" s="81" t="s">
        <v>944</v>
      </c>
      <c r="P1217">
        <v>1</v>
      </c>
      <c r="Q1217" s="80" t="str">
        <f>REPLACE(INDEX(GroupVertices[Group],MATCH(Edges[[#This Row],[Vertex 1]],GroupVertices[Vertex],0)),1,1,"")</f>
        <v>2</v>
      </c>
      <c r="R1217" s="80" t="str">
        <f>REPLACE(INDEX(GroupVertices[Group],MATCH(Edges[[#This Row],[Vertex 2]],GroupVertices[Vertex],0)),1,1,"")</f>
        <v>2</v>
      </c>
      <c r="S1217" s="34"/>
      <c r="T1217" s="34"/>
      <c r="U1217" s="34"/>
      <c r="V1217" s="34"/>
      <c r="W1217" s="34"/>
      <c r="X1217" s="34"/>
      <c r="Y1217" s="34"/>
      <c r="Z1217" s="34"/>
      <c r="AA1217" s="34"/>
    </row>
    <row r="1218" spans="1:27" ht="15">
      <c r="A1218" s="66" t="s">
        <v>255</v>
      </c>
      <c r="B1218" s="66" t="s">
        <v>664</v>
      </c>
      <c r="C1218" s="67" t="s">
        <v>4454</v>
      </c>
      <c r="D1218" s="68">
        <v>5</v>
      </c>
      <c r="E1218" s="69"/>
      <c r="F1218" s="70">
        <v>20</v>
      </c>
      <c r="G1218" s="67"/>
      <c r="H1218" s="71"/>
      <c r="I1218" s="72"/>
      <c r="J1218" s="72"/>
      <c r="K1218" s="34" t="s">
        <v>65</v>
      </c>
      <c r="L1218" s="79">
        <v>1218</v>
      </c>
      <c r="M1218" s="79"/>
      <c r="N1218" s="74"/>
      <c r="O1218" s="81" t="s">
        <v>944</v>
      </c>
      <c r="P1218">
        <v>1</v>
      </c>
      <c r="Q1218" s="80" t="str">
        <f>REPLACE(INDEX(GroupVertices[Group],MATCH(Edges[[#This Row],[Vertex 1]],GroupVertices[Vertex],0)),1,1,"")</f>
        <v>4</v>
      </c>
      <c r="R1218" s="80" t="str">
        <f>REPLACE(INDEX(GroupVertices[Group],MATCH(Edges[[#This Row],[Vertex 2]],GroupVertices[Vertex],0)),1,1,"")</f>
        <v>2</v>
      </c>
      <c r="S1218" s="34"/>
      <c r="T1218" s="34"/>
      <c r="U1218" s="34"/>
      <c r="V1218" s="34"/>
      <c r="W1218" s="34"/>
      <c r="X1218" s="34"/>
      <c r="Y1218" s="34"/>
      <c r="Z1218" s="34"/>
      <c r="AA1218" s="34"/>
    </row>
    <row r="1219" spans="1:27" ht="15">
      <c r="A1219" s="66" t="s">
        <v>217</v>
      </c>
      <c r="B1219" s="66" t="s">
        <v>862</v>
      </c>
      <c r="C1219" s="67" t="s">
        <v>4454</v>
      </c>
      <c r="D1219" s="68">
        <v>5</v>
      </c>
      <c r="E1219" s="69"/>
      <c r="F1219" s="70">
        <v>20</v>
      </c>
      <c r="G1219" s="67"/>
      <c r="H1219" s="71"/>
      <c r="I1219" s="72"/>
      <c r="J1219" s="72"/>
      <c r="K1219" s="34" t="s">
        <v>65</v>
      </c>
      <c r="L1219" s="79">
        <v>1219</v>
      </c>
      <c r="M1219" s="79"/>
      <c r="N1219" s="74"/>
      <c r="O1219" s="81" t="s">
        <v>944</v>
      </c>
      <c r="P1219">
        <v>1</v>
      </c>
      <c r="Q1219" s="80" t="str">
        <f>REPLACE(INDEX(GroupVertices[Group],MATCH(Edges[[#This Row],[Vertex 1]],GroupVertices[Vertex],0)),1,1,"")</f>
        <v>4</v>
      </c>
      <c r="R1219" s="80" t="str">
        <f>REPLACE(INDEX(GroupVertices[Group],MATCH(Edges[[#This Row],[Vertex 2]],GroupVertices[Vertex],0)),1,1,"")</f>
        <v>4</v>
      </c>
      <c r="S1219" s="34"/>
      <c r="T1219" s="34"/>
      <c r="U1219" s="34"/>
      <c r="V1219" s="34"/>
      <c r="W1219" s="34"/>
      <c r="X1219" s="34"/>
      <c r="Y1219" s="34"/>
      <c r="Z1219" s="34"/>
      <c r="AA1219" s="34"/>
    </row>
    <row r="1220" spans="1:27" ht="15">
      <c r="A1220" s="66" t="s">
        <v>226</v>
      </c>
      <c r="B1220" s="66" t="s">
        <v>862</v>
      </c>
      <c r="C1220" s="67" t="s">
        <v>4454</v>
      </c>
      <c r="D1220" s="68">
        <v>5</v>
      </c>
      <c r="E1220" s="69"/>
      <c r="F1220" s="70">
        <v>20</v>
      </c>
      <c r="G1220" s="67"/>
      <c r="H1220" s="71"/>
      <c r="I1220" s="72"/>
      <c r="J1220" s="72"/>
      <c r="K1220" s="34" t="s">
        <v>65</v>
      </c>
      <c r="L1220" s="79">
        <v>1220</v>
      </c>
      <c r="M1220" s="79"/>
      <c r="N1220" s="74"/>
      <c r="O1220" s="81" t="s">
        <v>944</v>
      </c>
      <c r="P1220">
        <v>1</v>
      </c>
      <c r="Q1220" s="80" t="str">
        <f>REPLACE(INDEX(GroupVertices[Group],MATCH(Edges[[#This Row],[Vertex 1]],GroupVertices[Vertex],0)),1,1,"")</f>
        <v>4</v>
      </c>
      <c r="R1220" s="80" t="str">
        <f>REPLACE(INDEX(GroupVertices[Group],MATCH(Edges[[#This Row],[Vertex 2]],GroupVertices[Vertex],0)),1,1,"")</f>
        <v>4</v>
      </c>
      <c r="S1220" s="34"/>
      <c r="T1220" s="34"/>
      <c r="U1220" s="34"/>
      <c r="V1220" s="34"/>
      <c r="W1220" s="34"/>
      <c r="X1220" s="34"/>
      <c r="Y1220" s="34"/>
      <c r="Z1220" s="34"/>
      <c r="AA1220" s="34"/>
    </row>
    <row r="1221" spans="1:27" ht="15">
      <c r="A1221" s="66" t="s">
        <v>251</v>
      </c>
      <c r="B1221" s="66" t="s">
        <v>862</v>
      </c>
      <c r="C1221" s="67" t="s">
        <v>4454</v>
      </c>
      <c r="D1221" s="68">
        <v>5</v>
      </c>
      <c r="E1221" s="69"/>
      <c r="F1221" s="70">
        <v>20</v>
      </c>
      <c r="G1221" s="67"/>
      <c r="H1221" s="71"/>
      <c r="I1221" s="72"/>
      <c r="J1221" s="72"/>
      <c r="K1221" s="34" t="s">
        <v>65</v>
      </c>
      <c r="L1221" s="79">
        <v>1221</v>
      </c>
      <c r="M1221" s="79"/>
      <c r="N1221" s="74"/>
      <c r="O1221" s="81" t="s">
        <v>944</v>
      </c>
      <c r="P1221">
        <v>1</v>
      </c>
      <c r="Q1221" s="80" t="str">
        <f>REPLACE(INDEX(GroupVertices[Group],MATCH(Edges[[#This Row],[Vertex 1]],GroupVertices[Vertex],0)),1,1,"")</f>
        <v>2</v>
      </c>
      <c r="R1221" s="80" t="str">
        <f>REPLACE(INDEX(GroupVertices[Group],MATCH(Edges[[#This Row],[Vertex 2]],GroupVertices[Vertex],0)),1,1,"")</f>
        <v>4</v>
      </c>
      <c r="S1221" s="34"/>
      <c r="T1221" s="34"/>
      <c r="U1221" s="34"/>
      <c r="V1221" s="34"/>
      <c r="W1221" s="34"/>
      <c r="X1221" s="34"/>
      <c r="Y1221" s="34"/>
      <c r="Z1221" s="34"/>
      <c r="AA1221" s="34"/>
    </row>
    <row r="1222" spans="1:27" ht="15">
      <c r="A1222" s="66" t="s">
        <v>252</v>
      </c>
      <c r="B1222" s="66" t="s">
        <v>862</v>
      </c>
      <c r="C1222" s="67" t="s">
        <v>4454</v>
      </c>
      <c r="D1222" s="68">
        <v>5</v>
      </c>
      <c r="E1222" s="69"/>
      <c r="F1222" s="70">
        <v>20</v>
      </c>
      <c r="G1222" s="67"/>
      <c r="H1222" s="71"/>
      <c r="I1222" s="72"/>
      <c r="J1222" s="72"/>
      <c r="K1222" s="34" t="s">
        <v>65</v>
      </c>
      <c r="L1222" s="79">
        <v>1222</v>
      </c>
      <c r="M1222" s="79"/>
      <c r="N1222" s="74"/>
      <c r="O1222" s="81" t="s">
        <v>944</v>
      </c>
      <c r="P1222">
        <v>1</v>
      </c>
      <c r="Q1222" s="80" t="str">
        <f>REPLACE(INDEX(GroupVertices[Group],MATCH(Edges[[#This Row],[Vertex 1]],GroupVertices[Vertex],0)),1,1,"")</f>
        <v>1</v>
      </c>
      <c r="R1222" s="80" t="str">
        <f>REPLACE(INDEX(GroupVertices[Group],MATCH(Edges[[#This Row],[Vertex 2]],GroupVertices[Vertex],0)),1,1,"")</f>
        <v>4</v>
      </c>
      <c r="S1222" s="34"/>
      <c r="T1222" s="34"/>
      <c r="U1222" s="34"/>
      <c r="V1222" s="34"/>
      <c r="W1222" s="34"/>
      <c r="X1222" s="34"/>
      <c r="Y1222" s="34"/>
      <c r="Z1222" s="34"/>
      <c r="AA1222" s="34"/>
    </row>
    <row r="1223" spans="1:27" ht="15">
      <c r="A1223" s="66" t="s">
        <v>254</v>
      </c>
      <c r="B1223" s="66" t="s">
        <v>862</v>
      </c>
      <c r="C1223" s="67" t="s">
        <v>4454</v>
      </c>
      <c r="D1223" s="68">
        <v>5</v>
      </c>
      <c r="E1223" s="69"/>
      <c r="F1223" s="70">
        <v>20</v>
      </c>
      <c r="G1223" s="67"/>
      <c r="H1223" s="71"/>
      <c r="I1223" s="72"/>
      <c r="J1223" s="72"/>
      <c r="K1223" s="34" t="s">
        <v>65</v>
      </c>
      <c r="L1223" s="79">
        <v>1223</v>
      </c>
      <c r="M1223" s="79"/>
      <c r="N1223" s="74"/>
      <c r="O1223" s="81" t="s">
        <v>944</v>
      </c>
      <c r="P1223">
        <v>1</v>
      </c>
      <c r="Q1223" s="80" t="str">
        <f>REPLACE(INDEX(GroupVertices[Group],MATCH(Edges[[#This Row],[Vertex 1]],GroupVertices[Vertex],0)),1,1,"")</f>
        <v>3</v>
      </c>
      <c r="R1223" s="80" t="str">
        <f>REPLACE(INDEX(GroupVertices[Group],MATCH(Edges[[#This Row],[Vertex 2]],GroupVertices[Vertex],0)),1,1,"")</f>
        <v>4</v>
      </c>
      <c r="S1223" s="34"/>
      <c r="T1223" s="34"/>
      <c r="U1223" s="34"/>
      <c r="V1223" s="34"/>
      <c r="W1223" s="34"/>
      <c r="X1223" s="34"/>
      <c r="Y1223" s="34"/>
      <c r="Z1223" s="34"/>
      <c r="AA1223" s="34"/>
    </row>
    <row r="1224" spans="1:27" ht="15">
      <c r="A1224" s="66" t="s">
        <v>256</v>
      </c>
      <c r="B1224" s="66" t="s">
        <v>862</v>
      </c>
      <c r="C1224" s="67" t="s">
        <v>4454</v>
      </c>
      <c r="D1224" s="68">
        <v>5</v>
      </c>
      <c r="E1224" s="69"/>
      <c r="F1224" s="70">
        <v>20</v>
      </c>
      <c r="G1224" s="67"/>
      <c r="H1224" s="71"/>
      <c r="I1224" s="72"/>
      <c r="J1224" s="72"/>
      <c r="K1224" s="34" t="s">
        <v>65</v>
      </c>
      <c r="L1224" s="79">
        <v>1224</v>
      </c>
      <c r="M1224" s="79"/>
      <c r="N1224" s="74"/>
      <c r="O1224" s="81" t="s">
        <v>944</v>
      </c>
      <c r="P1224">
        <v>1</v>
      </c>
      <c r="Q1224" s="80" t="str">
        <f>REPLACE(INDEX(GroupVertices[Group],MATCH(Edges[[#This Row],[Vertex 1]],GroupVertices[Vertex],0)),1,1,"")</f>
        <v>1</v>
      </c>
      <c r="R1224" s="80" t="str">
        <f>REPLACE(INDEX(GroupVertices[Group],MATCH(Edges[[#This Row],[Vertex 2]],GroupVertices[Vertex],0)),1,1,"")</f>
        <v>4</v>
      </c>
      <c r="S1224" s="34"/>
      <c r="T1224" s="34"/>
      <c r="U1224" s="34"/>
      <c r="V1224" s="34"/>
      <c r="W1224" s="34"/>
      <c r="X1224" s="34"/>
      <c r="Y1224" s="34"/>
      <c r="Z1224" s="34"/>
      <c r="AA1224" s="34"/>
    </row>
    <row r="1225" spans="1:27" ht="15">
      <c r="A1225" s="66" t="s">
        <v>256</v>
      </c>
      <c r="B1225" s="66" t="s">
        <v>863</v>
      </c>
      <c r="C1225" s="67" t="s">
        <v>4454</v>
      </c>
      <c r="D1225" s="68">
        <v>5</v>
      </c>
      <c r="E1225" s="69"/>
      <c r="F1225" s="70">
        <v>20</v>
      </c>
      <c r="G1225" s="67"/>
      <c r="H1225" s="71"/>
      <c r="I1225" s="72"/>
      <c r="J1225" s="72"/>
      <c r="K1225" s="34"/>
      <c r="L1225" s="79">
        <v>1225</v>
      </c>
      <c r="M1225" s="79"/>
      <c r="N1225" s="74"/>
      <c r="O1225" s="81" t="s">
        <v>944</v>
      </c>
      <c r="P1225">
        <v>1</v>
      </c>
      <c r="Q1225" s="80" t="str">
        <f>REPLACE(INDEX(GroupVertices[Group],MATCH(Edges[[#This Row],[Vertex 1]],GroupVertices[Vertex],0)),1,1,"")</f>
        <v>1</v>
      </c>
      <c r="R1225" s="80" t="e">
        <f>REPLACE(INDEX(GroupVertices[Group],MATCH(Edges[[#This Row],[Vertex 2]],GroupVertices[Vertex],0)),1,1,"")</f>
        <v>#N/A</v>
      </c>
      <c r="S1225" s="34"/>
      <c r="T1225" s="34"/>
      <c r="U1225" s="34"/>
      <c r="V1225" s="34"/>
      <c r="W1225" s="34"/>
      <c r="X1225" s="34"/>
      <c r="Y1225" s="34"/>
      <c r="Z1225" s="34"/>
      <c r="AA1225" s="34"/>
    </row>
    <row r="1226" spans="1:27" ht="15">
      <c r="A1226" s="66" t="s">
        <v>256</v>
      </c>
      <c r="B1226" s="66" t="s">
        <v>864</v>
      </c>
      <c r="C1226" s="67" t="s">
        <v>4454</v>
      </c>
      <c r="D1226" s="68">
        <v>5</v>
      </c>
      <c r="E1226" s="69"/>
      <c r="F1226" s="70">
        <v>20</v>
      </c>
      <c r="G1226" s="67"/>
      <c r="H1226" s="71"/>
      <c r="I1226" s="72"/>
      <c r="J1226" s="72"/>
      <c r="K1226" s="34"/>
      <c r="L1226" s="79">
        <v>1226</v>
      </c>
      <c r="M1226" s="79"/>
      <c r="N1226" s="74"/>
      <c r="O1226" s="81" t="s">
        <v>944</v>
      </c>
      <c r="P1226">
        <v>1</v>
      </c>
      <c r="Q1226" s="80" t="str">
        <f>REPLACE(INDEX(GroupVertices[Group],MATCH(Edges[[#This Row],[Vertex 1]],GroupVertices[Vertex],0)),1,1,"")</f>
        <v>1</v>
      </c>
      <c r="R1226" s="80" t="e">
        <f>REPLACE(INDEX(GroupVertices[Group],MATCH(Edges[[#This Row],[Vertex 2]],GroupVertices[Vertex],0)),1,1,"")</f>
        <v>#N/A</v>
      </c>
      <c r="S1226" s="34"/>
      <c r="T1226" s="34"/>
      <c r="U1226" s="34"/>
      <c r="V1226" s="34"/>
      <c r="W1226" s="34"/>
      <c r="X1226" s="34"/>
      <c r="Y1226" s="34"/>
      <c r="Z1226" s="34"/>
      <c r="AA1226" s="34"/>
    </row>
    <row r="1227" spans="1:27" ht="15">
      <c r="A1227" s="66" t="s">
        <v>257</v>
      </c>
      <c r="B1227" s="66" t="s">
        <v>865</v>
      </c>
      <c r="C1227" s="67" t="s">
        <v>4454</v>
      </c>
      <c r="D1227" s="68">
        <v>5</v>
      </c>
      <c r="E1227" s="69"/>
      <c r="F1227" s="70">
        <v>20</v>
      </c>
      <c r="G1227" s="67"/>
      <c r="H1227" s="71"/>
      <c r="I1227" s="72"/>
      <c r="J1227" s="72"/>
      <c r="K1227" s="34"/>
      <c r="L1227" s="79">
        <v>1227</v>
      </c>
      <c r="M1227" s="79"/>
      <c r="N1227" s="74"/>
      <c r="O1227" s="81" t="s">
        <v>944</v>
      </c>
      <c r="P1227">
        <v>1</v>
      </c>
      <c r="Q1227" s="80" t="str">
        <f>REPLACE(INDEX(GroupVertices[Group],MATCH(Edges[[#This Row],[Vertex 1]],GroupVertices[Vertex],0)),1,1,"")</f>
        <v>2</v>
      </c>
      <c r="R1227" s="80" t="e">
        <f>REPLACE(INDEX(GroupVertices[Group],MATCH(Edges[[#This Row],[Vertex 2]],GroupVertices[Vertex],0)),1,1,"")</f>
        <v>#N/A</v>
      </c>
      <c r="S1227" s="34"/>
      <c r="T1227" s="34"/>
      <c r="U1227" s="34"/>
      <c r="V1227" s="34"/>
      <c r="W1227" s="34"/>
      <c r="X1227" s="34"/>
      <c r="Y1227" s="34"/>
      <c r="Z1227" s="34"/>
      <c r="AA1227" s="34"/>
    </row>
    <row r="1228" spans="1:27" ht="15">
      <c r="A1228" s="66" t="s">
        <v>257</v>
      </c>
      <c r="B1228" s="66" t="s">
        <v>866</v>
      </c>
      <c r="C1228" s="67" t="s">
        <v>4454</v>
      </c>
      <c r="D1228" s="68">
        <v>5</v>
      </c>
      <c r="E1228" s="69"/>
      <c r="F1228" s="70">
        <v>20</v>
      </c>
      <c r="G1228" s="67"/>
      <c r="H1228" s="71"/>
      <c r="I1228" s="72"/>
      <c r="J1228" s="72"/>
      <c r="K1228" s="34"/>
      <c r="L1228" s="79">
        <v>1228</v>
      </c>
      <c r="M1228" s="79"/>
      <c r="N1228" s="74"/>
      <c r="O1228" s="81" t="s">
        <v>944</v>
      </c>
      <c r="P1228">
        <v>1</v>
      </c>
      <c r="Q1228" s="80" t="str">
        <f>REPLACE(INDEX(GroupVertices[Group],MATCH(Edges[[#This Row],[Vertex 1]],GroupVertices[Vertex],0)),1,1,"")</f>
        <v>2</v>
      </c>
      <c r="R1228" s="80" t="e">
        <f>REPLACE(INDEX(GroupVertices[Group],MATCH(Edges[[#This Row],[Vertex 2]],GroupVertices[Vertex],0)),1,1,"")</f>
        <v>#N/A</v>
      </c>
      <c r="S1228" s="34"/>
      <c r="T1228" s="34"/>
      <c r="U1228" s="34"/>
      <c r="V1228" s="34"/>
      <c r="W1228" s="34"/>
      <c r="X1228" s="34"/>
      <c r="Y1228" s="34"/>
      <c r="Z1228" s="34"/>
      <c r="AA1228" s="34"/>
    </row>
    <row r="1229" spans="1:27" ht="15">
      <c r="A1229" s="66" t="s">
        <v>257</v>
      </c>
      <c r="B1229" s="66" t="s">
        <v>867</v>
      </c>
      <c r="C1229" s="67" t="s">
        <v>4454</v>
      </c>
      <c r="D1229" s="68">
        <v>5</v>
      </c>
      <c r="E1229" s="69"/>
      <c r="F1229" s="70">
        <v>20</v>
      </c>
      <c r="G1229" s="67"/>
      <c r="H1229" s="71"/>
      <c r="I1229" s="72"/>
      <c r="J1229" s="72"/>
      <c r="K1229" s="34"/>
      <c r="L1229" s="79">
        <v>1229</v>
      </c>
      <c r="M1229" s="79"/>
      <c r="N1229" s="74"/>
      <c r="O1229" s="81" t="s">
        <v>944</v>
      </c>
      <c r="P1229">
        <v>1</v>
      </c>
      <c r="Q1229" s="80" t="str">
        <f>REPLACE(INDEX(GroupVertices[Group],MATCH(Edges[[#This Row],[Vertex 1]],GroupVertices[Vertex],0)),1,1,"")</f>
        <v>2</v>
      </c>
      <c r="R1229" s="80" t="e">
        <f>REPLACE(INDEX(GroupVertices[Group],MATCH(Edges[[#This Row],[Vertex 2]],GroupVertices[Vertex],0)),1,1,"")</f>
        <v>#N/A</v>
      </c>
      <c r="S1229" s="34"/>
      <c r="T1229" s="34"/>
      <c r="U1229" s="34"/>
      <c r="V1229" s="34"/>
      <c r="W1229" s="34"/>
      <c r="X1229" s="34"/>
      <c r="Y1229" s="34"/>
      <c r="Z1229" s="34"/>
      <c r="AA1229" s="34"/>
    </row>
    <row r="1230" spans="1:27" ht="15">
      <c r="A1230" s="66" t="s">
        <v>253</v>
      </c>
      <c r="B1230" s="66" t="s">
        <v>868</v>
      </c>
      <c r="C1230" s="67" t="s">
        <v>4454</v>
      </c>
      <c r="D1230" s="68">
        <v>5</v>
      </c>
      <c r="E1230" s="69"/>
      <c r="F1230" s="70">
        <v>20</v>
      </c>
      <c r="G1230" s="67"/>
      <c r="H1230" s="71"/>
      <c r="I1230" s="72"/>
      <c r="J1230" s="72"/>
      <c r="K1230" s="34" t="s">
        <v>65</v>
      </c>
      <c r="L1230" s="79">
        <v>1230</v>
      </c>
      <c r="M1230" s="79"/>
      <c r="N1230" s="74"/>
      <c r="O1230" s="81" t="s">
        <v>944</v>
      </c>
      <c r="P1230">
        <v>1</v>
      </c>
      <c r="Q1230" s="80" t="str">
        <f>REPLACE(INDEX(GroupVertices[Group],MATCH(Edges[[#This Row],[Vertex 1]],GroupVertices[Vertex],0)),1,1,"")</f>
        <v>1</v>
      </c>
      <c r="R1230" s="80" t="str">
        <f>REPLACE(INDEX(GroupVertices[Group],MATCH(Edges[[#This Row],[Vertex 2]],GroupVertices[Vertex],0)),1,1,"")</f>
        <v>1</v>
      </c>
      <c r="S1230" s="34"/>
      <c r="T1230" s="34"/>
      <c r="U1230" s="34"/>
      <c r="V1230" s="34"/>
      <c r="W1230" s="34"/>
      <c r="X1230" s="34"/>
      <c r="Y1230" s="34"/>
      <c r="Z1230" s="34"/>
      <c r="AA1230" s="34"/>
    </row>
    <row r="1231" spans="1:27" ht="15">
      <c r="A1231" s="66" t="s">
        <v>257</v>
      </c>
      <c r="B1231" s="66" t="s">
        <v>868</v>
      </c>
      <c r="C1231" s="67" t="s">
        <v>4454</v>
      </c>
      <c r="D1231" s="68">
        <v>5</v>
      </c>
      <c r="E1231" s="69"/>
      <c r="F1231" s="70">
        <v>20</v>
      </c>
      <c r="G1231" s="67"/>
      <c r="H1231" s="71"/>
      <c r="I1231" s="72"/>
      <c r="J1231" s="72"/>
      <c r="K1231" s="34" t="s">
        <v>65</v>
      </c>
      <c r="L1231" s="79">
        <v>1231</v>
      </c>
      <c r="M1231" s="79"/>
      <c r="N1231" s="74"/>
      <c r="O1231" s="81" t="s">
        <v>944</v>
      </c>
      <c r="P1231">
        <v>1</v>
      </c>
      <c r="Q1231" s="80" t="str">
        <f>REPLACE(INDEX(GroupVertices[Group],MATCH(Edges[[#This Row],[Vertex 1]],GroupVertices[Vertex],0)),1,1,"")</f>
        <v>2</v>
      </c>
      <c r="R1231" s="80" t="str">
        <f>REPLACE(INDEX(GroupVertices[Group],MATCH(Edges[[#This Row],[Vertex 2]],GroupVertices[Vertex],0)),1,1,"")</f>
        <v>1</v>
      </c>
      <c r="S1231" s="34"/>
      <c r="T1231" s="34"/>
      <c r="U1231" s="34"/>
      <c r="V1231" s="34"/>
      <c r="W1231" s="34"/>
      <c r="X1231" s="34"/>
      <c r="Y1231" s="34"/>
      <c r="Z1231" s="34"/>
      <c r="AA1231" s="34"/>
    </row>
    <row r="1232" spans="1:27" ht="15">
      <c r="A1232" s="66" t="s">
        <v>229</v>
      </c>
      <c r="B1232" s="66" t="s">
        <v>869</v>
      </c>
      <c r="C1232" s="67" t="s">
        <v>4454</v>
      </c>
      <c r="D1232" s="68">
        <v>5</v>
      </c>
      <c r="E1232" s="69"/>
      <c r="F1232" s="70">
        <v>20</v>
      </c>
      <c r="G1232" s="67"/>
      <c r="H1232" s="71"/>
      <c r="I1232" s="72"/>
      <c r="J1232" s="72"/>
      <c r="K1232" s="34" t="s">
        <v>65</v>
      </c>
      <c r="L1232" s="79">
        <v>1232</v>
      </c>
      <c r="M1232" s="79"/>
      <c r="N1232" s="74"/>
      <c r="O1232" s="81" t="s">
        <v>944</v>
      </c>
      <c r="P1232">
        <v>1</v>
      </c>
      <c r="Q1232" s="80" t="str">
        <f>REPLACE(INDEX(GroupVertices[Group],MATCH(Edges[[#This Row],[Vertex 1]],GroupVertices[Vertex],0)),1,1,"")</f>
        <v>1</v>
      </c>
      <c r="R1232" s="80" t="str">
        <f>REPLACE(INDEX(GroupVertices[Group],MATCH(Edges[[#This Row],[Vertex 2]],GroupVertices[Vertex],0)),1,1,"")</f>
        <v>1</v>
      </c>
      <c r="S1232" s="34"/>
      <c r="T1232" s="34"/>
      <c r="U1232" s="34"/>
      <c r="V1232" s="34"/>
      <c r="W1232" s="34"/>
      <c r="X1232" s="34"/>
      <c r="Y1232" s="34"/>
      <c r="Z1232" s="34"/>
      <c r="AA1232" s="34"/>
    </row>
    <row r="1233" spans="1:27" ht="15">
      <c r="A1233" s="66" t="s">
        <v>229</v>
      </c>
      <c r="B1233" s="66" t="s">
        <v>870</v>
      </c>
      <c r="C1233" s="67" t="s">
        <v>4454</v>
      </c>
      <c r="D1233" s="68">
        <v>5</v>
      </c>
      <c r="E1233" s="69"/>
      <c r="F1233" s="70">
        <v>20</v>
      </c>
      <c r="G1233" s="67"/>
      <c r="H1233" s="71"/>
      <c r="I1233" s="72"/>
      <c r="J1233" s="72"/>
      <c r="K1233" s="34" t="s">
        <v>65</v>
      </c>
      <c r="L1233" s="79">
        <v>1233</v>
      </c>
      <c r="M1233" s="79"/>
      <c r="N1233" s="74"/>
      <c r="O1233" s="81" t="s">
        <v>944</v>
      </c>
      <c r="P1233">
        <v>1</v>
      </c>
      <c r="Q1233" s="80" t="str">
        <f>REPLACE(INDEX(GroupVertices[Group],MATCH(Edges[[#This Row],[Vertex 1]],GroupVertices[Vertex],0)),1,1,"")</f>
        <v>1</v>
      </c>
      <c r="R1233" s="80" t="str">
        <f>REPLACE(INDEX(GroupVertices[Group],MATCH(Edges[[#This Row],[Vertex 2]],GroupVertices[Vertex],0)),1,1,"")</f>
        <v>1</v>
      </c>
      <c r="S1233" s="34"/>
      <c r="T1233" s="34"/>
      <c r="U1233" s="34"/>
      <c r="V1233" s="34"/>
      <c r="W1233" s="34"/>
      <c r="X1233" s="34"/>
      <c r="Y1233" s="34"/>
      <c r="Z1233" s="34"/>
      <c r="AA1233" s="34"/>
    </row>
    <row r="1234" spans="1:27" ht="15">
      <c r="A1234" s="66" t="s">
        <v>229</v>
      </c>
      <c r="B1234" s="66" t="s">
        <v>616</v>
      </c>
      <c r="C1234" s="67" t="s">
        <v>4454</v>
      </c>
      <c r="D1234" s="68">
        <v>5</v>
      </c>
      <c r="E1234" s="69"/>
      <c r="F1234" s="70">
        <v>20</v>
      </c>
      <c r="G1234" s="67"/>
      <c r="H1234" s="71"/>
      <c r="I1234" s="72"/>
      <c r="J1234" s="72"/>
      <c r="K1234" s="34" t="s">
        <v>65</v>
      </c>
      <c r="L1234" s="79">
        <v>1234</v>
      </c>
      <c r="M1234" s="79"/>
      <c r="N1234" s="74"/>
      <c r="O1234" s="81" t="s">
        <v>944</v>
      </c>
      <c r="P1234">
        <v>1</v>
      </c>
      <c r="Q1234" s="80" t="str">
        <f>REPLACE(INDEX(GroupVertices[Group],MATCH(Edges[[#This Row],[Vertex 1]],GroupVertices[Vertex],0)),1,1,"")</f>
        <v>1</v>
      </c>
      <c r="R1234" s="80" t="str">
        <f>REPLACE(INDEX(GroupVertices[Group],MATCH(Edges[[#This Row],[Vertex 2]],GroupVertices[Vertex],0)),1,1,"")</f>
        <v>1</v>
      </c>
      <c r="S1234" s="34"/>
      <c r="T1234" s="34"/>
      <c r="U1234" s="34"/>
      <c r="V1234" s="34"/>
      <c r="W1234" s="34"/>
      <c r="X1234" s="34"/>
      <c r="Y1234" s="34"/>
      <c r="Z1234" s="34"/>
      <c r="AA1234" s="34"/>
    </row>
    <row r="1235" spans="1:27" ht="15">
      <c r="A1235" s="66" t="s">
        <v>229</v>
      </c>
      <c r="B1235" s="66" t="s">
        <v>480</v>
      </c>
      <c r="C1235" s="67" t="s">
        <v>4454</v>
      </c>
      <c r="D1235" s="68">
        <v>5</v>
      </c>
      <c r="E1235" s="69"/>
      <c r="F1235" s="70">
        <v>20</v>
      </c>
      <c r="G1235" s="67"/>
      <c r="H1235" s="71"/>
      <c r="I1235" s="72"/>
      <c r="J1235" s="72"/>
      <c r="K1235" s="34" t="s">
        <v>65</v>
      </c>
      <c r="L1235" s="79">
        <v>1235</v>
      </c>
      <c r="M1235" s="79"/>
      <c r="N1235" s="74"/>
      <c r="O1235" s="81" t="s">
        <v>944</v>
      </c>
      <c r="P1235">
        <v>1</v>
      </c>
      <c r="Q1235" s="80" t="str">
        <f>REPLACE(INDEX(GroupVertices[Group],MATCH(Edges[[#This Row],[Vertex 1]],GroupVertices[Vertex],0)),1,1,"")</f>
        <v>1</v>
      </c>
      <c r="R1235" s="80" t="str">
        <f>REPLACE(INDEX(GroupVertices[Group],MATCH(Edges[[#This Row],[Vertex 2]],GroupVertices[Vertex],0)),1,1,"")</f>
        <v>1</v>
      </c>
      <c r="S1235" s="34"/>
      <c r="T1235" s="34"/>
      <c r="U1235" s="34"/>
      <c r="V1235" s="34"/>
      <c r="W1235" s="34"/>
      <c r="X1235" s="34"/>
      <c r="Y1235" s="34"/>
      <c r="Z1235" s="34"/>
      <c r="AA1235" s="34"/>
    </row>
    <row r="1236" spans="1:27" ht="15">
      <c r="A1236" s="66" t="s">
        <v>229</v>
      </c>
      <c r="B1236" s="66" t="s">
        <v>231</v>
      </c>
      <c r="C1236" s="67" t="s">
        <v>4454</v>
      </c>
      <c r="D1236" s="68">
        <v>5</v>
      </c>
      <c r="E1236" s="69"/>
      <c r="F1236" s="70">
        <v>20</v>
      </c>
      <c r="G1236" s="67"/>
      <c r="H1236" s="71"/>
      <c r="I1236" s="72"/>
      <c r="J1236" s="72"/>
      <c r="K1236" s="34" t="s">
        <v>66</v>
      </c>
      <c r="L1236" s="79">
        <v>1236</v>
      </c>
      <c r="M1236" s="79"/>
      <c r="N1236" s="74"/>
      <c r="O1236" s="81" t="s">
        <v>944</v>
      </c>
      <c r="P1236">
        <v>1</v>
      </c>
      <c r="Q1236" s="80" t="str">
        <f>REPLACE(INDEX(GroupVertices[Group],MATCH(Edges[[#This Row],[Vertex 1]],GroupVertices[Vertex],0)),1,1,"")</f>
        <v>1</v>
      </c>
      <c r="R1236" s="80" t="str">
        <f>REPLACE(INDEX(GroupVertices[Group],MATCH(Edges[[#This Row],[Vertex 2]],GroupVertices[Vertex],0)),1,1,"")</f>
        <v>1</v>
      </c>
      <c r="S1236" s="34"/>
      <c r="T1236" s="34"/>
      <c r="U1236" s="34"/>
      <c r="V1236" s="34"/>
      <c r="W1236" s="34"/>
      <c r="X1236" s="34"/>
      <c r="Y1236" s="34"/>
      <c r="Z1236" s="34"/>
      <c r="AA1236" s="34"/>
    </row>
    <row r="1237" spans="1:27" ht="15">
      <c r="A1237" s="66" t="s">
        <v>229</v>
      </c>
      <c r="B1237" s="66" t="s">
        <v>236</v>
      </c>
      <c r="C1237" s="67" t="s">
        <v>4454</v>
      </c>
      <c r="D1237" s="68">
        <v>5</v>
      </c>
      <c r="E1237" s="69"/>
      <c r="F1237" s="70">
        <v>20</v>
      </c>
      <c r="G1237" s="67"/>
      <c r="H1237" s="71"/>
      <c r="I1237" s="72"/>
      <c r="J1237" s="72"/>
      <c r="K1237" s="34" t="s">
        <v>66</v>
      </c>
      <c r="L1237" s="79">
        <v>1237</v>
      </c>
      <c r="M1237" s="79"/>
      <c r="N1237" s="74"/>
      <c r="O1237" s="81" t="s">
        <v>944</v>
      </c>
      <c r="P1237">
        <v>1</v>
      </c>
      <c r="Q1237" s="80" t="str">
        <f>REPLACE(INDEX(GroupVertices[Group],MATCH(Edges[[#This Row],[Vertex 1]],GroupVertices[Vertex],0)),1,1,"")</f>
        <v>1</v>
      </c>
      <c r="R1237" s="80" t="str">
        <f>REPLACE(INDEX(GroupVertices[Group],MATCH(Edges[[#This Row],[Vertex 2]],GroupVertices[Vertex],0)),1,1,"")</f>
        <v>1</v>
      </c>
      <c r="S1237" s="34"/>
      <c r="T1237" s="34"/>
      <c r="U1237" s="34"/>
      <c r="V1237" s="34"/>
      <c r="W1237" s="34"/>
      <c r="X1237" s="34"/>
      <c r="Y1237" s="34"/>
      <c r="Z1237" s="34"/>
      <c r="AA1237" s="34"/>
    </row>
    <row r="1238" spans="1:27" ht="15">
      <c r="A1238" s="66" t="s">
        <v>229</v>
      </c>
      <c r="B1238" s="66" t="s">
        <v>871</v>
      </c>
      <c r="C1238" s="67" t="s">
        <v>4454</v>
      </c>
      <c r="D1238" s="68">
        <v>5</v>
      </c>
      <c r="E1238" s="69"/>
      <c r="F1238" s="70">
        <v>20</v>
      </c>
      <c r="G1238" s="67"/>
      <c r="H1238" s="71"/>
      <c r="I1238" s="72"/>
      <c r="J1238" s="72"/>
      <c r="K1238" s="34" t="s">
        <v>65</v>
      </c>
      <c r="L1238" s="79">
        <v>1238</v>
      </c>
      <c r="M1238" s="79"/>
      <c r="N1238" s="74"/>
      <c r="O1238" s="81" t="s">
        <v>944</v>
      </c>
      <c r="P1238">
        <v>1</v>
      </c>
      <c r="Q1238" s="80" t="str">
        <f>REPLACE(INDEX(GroupVertices[Group],MATCH(Edges[[#This Row],[Vertex 1]],GroupVertices[Vertex],0)),1,1,"")</f>
        <v>1</v>
      </c>
      <c r="R1238" s="80" t="str">
        <f>REPLACE(INDEX(GroupVertices[Group],MATCH(Edges[[#This Row],[Vertex 2]],GroupVertices[Vertex],0)),1,1,"")</f>
        <v>1</v>
      </c>
      <c r="S1238" s="34"/>
      <c r="T1238" s="34"/>
      <c r="U1238" s="34"/>
      <c r="V1238" s="34"/>
      <c r="W1238" s="34"/>
      <c r="X1238" s="34"/>
      <c r="Y1238" s="34"/>
      <c r="Z1238" s="34"/>
      <c r="AA1238" s="34"/>
    </row>
    <row r="1239" spans="1:27" ht="15">
      <c r="A1239" s="66" t="s">
        <v>229</v>
      </c>
      <c r="B1239" s="66" t="s">
        <v>849</v>
      </c>
      <c r="C1239" s="67" t="s">
        <v>4454</v>
      </c>
      <c r="D1239" s="68">
        <v>5</v>
      </c>
      <c r="E1239" s="69"/>
      <c r="F1239" s="70">
        <v>20</v>
      </c>
      <c r="G1239" s="67"/>
      <c r="H1239" s="71"/>
      <c r="I1239" s="72"/>
      <c r="J1239" s="72"/>
      <c r="K1239" s="34" t="s">
        <v>65</v>
      </c>
      <c r="L1239" s="79">
        <v>1239</v>
      </c>
      <c r="M1239" s="79"/>
      <c r="N1239" s="74"/>
      <c r="O1239" s="81" t="s">
        <v>944</v>
      </c>
      <c r="P1239">
        <v>1</v>
      </c>
      <c r="Q1239" s="80" t="str">
        <f>REPLACE(INDEX(GroupVertices[Group],MATCH(Edges[[#This Row],[Vertex 1]],GroupVertices[Vertex],0)),1,1,"")</f>
        <v>1</v>
      </c>
      <c r="R1239" s="80" t="str">
        <f>REPLACE(INDEX(GroupVertices[Group],MATCH(Edges[[#This Row],[Vertex 2]],GroupVertices[Vertex],0)),1,1,"")</f>
        <v>1</v>
      </c>
      <c r="S1239" s="34"/>
      <c r="T1239" s="34"/>
      <c r="U1239" s="34"/>
      <c r="V1239" s="34"/>
      <c r="W1239" s="34"/>
      <c r="X1239" s="34"/>
      <c r="Y1239" s="34"/>
      <c r="Z1239" s="34"/>
      <c r="AA1239" s="34"/>
    </row>
    <row r="1240" spans="1:27" ht="15">
      <c r="A1240" s="66" t="s">
        <v>229</v>
      </c>
      <c r="B1240" s="66" t="s">
        <v>872</v>
      </c>
      <c r="C1240" s="67" t="s">
        <v>4454</v>
      </c>
      <c r="D1240" s="68">
        <v>5</v>
      </c>
      <c r="E1240" s="69"/>
      <c r="F1240" s="70">
        <v>20</v>
      </c>
      <c r="G1240" s="67"/>
      <c r="H1240" s="71"/>
      <c r="I1240" s="72"/>
      <c r="J1240" s="72"/>
      <c r="K1240" s="34" t="s">
        <v>65</v>
      </c>
      <c r="L1240" s="79">
        <v>1240</v>
      </c>
      <c r="M1240" s="79"/>
      <c r="N1240" s="74"/>
      <c r="O1240" s="81" t="s">
        <v>944</v>
      </c>
      <c r="P1240">
        <v>1</v>
      </c>
      <c r="Q1240" s="80" t="str">
        <f>REPLACE(INDEX(GroupVertices[Group],MATCH(Edges[[#This Row],[Vertex 1]],GroupVertices[Vertex],0)),1,1,"")</f>
        <v>1</v>
      </c>
      <c r="R1240" s="80" t="str">
        <f>REPLACE(INDEX(GroupVertices[Group],MATCH(Edges[[#This Row],[Vertex 2]],GroupVertices[Vertex],0)),1,1,"")</f>
        <v>4</v>
      </c>
      <c r="S1240" s="34"/>
      <c r="T1240" s="34"/>
      <c r="U1240" s="34"/>
      <c r="V1240" s="34"/>
      <c r="W1240" s="34"/>
      <c r="X1240" s="34"/>
      <c r="Y1240" s="34"/>
      <c r="Z1240" s="34"/>
      <c r="AA1240" s="34"/>
    </row>
    <row r="1241" spans="1:27" ht="15">
      <c r="A1241" s="66" t="s">
        <v>229</v>
      </c>
      <c r="B1241" s="66" t="s">
        <v>737</v>
      </c>
      <c r="C1241" s="67" t="s">
        <v>4454</v>
      </c>
      <c r="D1241" s="68">
        <v>5</v>
      </c>
      <c r="E1241" s="69"/>
      <c r="F1241" s="70">
        <v>20</v>
      </c>
      <c r="G1241" s="67"/>
      <c r="H1241" s="71"/>
      <c r="I1241" s="72"/>
      <c r="J1241" s="72"/>
      <c r="K1241" s="34" t="s">
        <v>65</v>
      </c>
      <c r="L1241" s="79">
        <v>1241</v>
      </c>
      <c r="M1241" s="79"/>
      <c r="N1241" s="74"/>
      <c r="O1241" s="81" t="s">
        <v>944</v>
      </c>
      <c r="P1241">
        <v>1</v>
      </c>
      <c r="Q1241" s="80" t="str">
        <f>REPLACE(INDEX(GroupVertices[Group],MATCH(Edges[[#This Row],[Vertex 1]],GroupVertices[Vertex],0)),1,1,"")</f>
        <v>1</v>
      </c>
      <c r="R1241" s="80" t="str">
        <f>REPLACE(INDEX(GroupVertices[Group],MATCH(Edges[[#This Row],[Vertex 2]],GroupVertices[Vertex],0)),1,1,"")</f>
        <v>1</v>
      </c>
      <c r="S1241" s="34"/>
      <c r="T1241" s="34"/>
      <c r="U1241" s="34"/>
      <c r="V1241" s="34"/>
      <c r="W1241" s="34"/>
      <c r="X1241" s="34"/>
      <c r="Y1241" s="34"/>
      <c r="Z1241" s="34"/>
      <c r="AA1241" s="34"/>
    </row>
    <row r="1242" spans="1:27" ht="15">
      <c r="A1242" s="66" t="s">
        <v>229</v>
      </c>
      <c r="B1242" s="66" t="s">
        <v>618</v>
      </c>
      <c r="C1242" s="67" t="s">
        <v>4454</v>
      </c>
      <c r="D1242" s="68">
        <v>5</v>
      </c>
      <c r="E1242" s="69"/>
      <c r="F1242" s="70">
        <v>20</v>
      </c>
      <c r="G1242" s="67"/>
      <c r="H1242" s="71"/>
      <c r="I1242" s="72"/>
      <c r="J1242" s="72"/>
      <c r="K1242" s="34" t="s">
        <v>65</v>
      </c>
      <c r="L1242" s="79">
        <v>1242</v>
      </c>
      <c r="M1242" s="79"/>
      <c r="N1242" s="74"/>
      <c r="O1242" s="81" t="s">
        <v>944</v>
      </c>
      <c r="P1242">
        <v>1</v>
      </c>
      <c r="Q1242" s="80" t="str">
        <f>REPLACE(INDEX(GroupVertices[Group],MATCH(Edges[[#This Row],[Vertex 1]],GroupVertices[Vertex],0)),1,1,"")</f>
        <v>1</v>
      </c>
      <c r="R1242" s="80" t="str">
        <f>REPLACE(INDEX(GroupVertices[Group],MATCH(Edges[[#This Row],[Vertex 2]],GroupVertices[Vertex],0)),1,1,"")</f>
        <v>1</v>
      </c>
      <c r="S1242" s="34"/>
      <c r="T1242" s="34"/>
      <c r="U1242" s="34"/>
      <c r="V1242" s="34"/>
      <c r="W1242" s="34"/>
      <c r="X1242" s="34"/>
      <c r="Y1242" s="34"/>
      <c r="Z1242" s="34"/>
      <c r="AA1242" s="34"/>
    </row>
    <row r="1243" spans="1:27" ht="15">
      <c r="A1243" s="66" t="s">
        <v>229</v>
      </c>
      <c r="B1243" s="66" t="s">
        <v>248</v>
      </c>
      <c r="C1243" s="67" t="s">
        <v>4454</v>
      </c>
      <c r="D1243" s="68">
        <v>5</v>
      </c>
      <c r="E1243" s="69"/>
      <c r="F1243" s="70">
        <v>20</v>
      </c>
      <c r="G1243" s="67"/>
      <c r="H1243" s="71"/>
      <c r="I1243" s="72"/>
      <c r="J1243" s="72"/>
      <c r="K1243" s="34" t="s">
        <v>66</v>
      </c>
      <c r="L1243" s="79">
        <v>1243</v>
      </c>
      <c r="M1243" s="79"/>
      <c r="N1243" s="74"/>
      <c r="O1243" s="81" t="s">
        <v>944</v>
      </c>
      <c r="P1243">
        <v>1</v>
      </c>
      <c r="Q1243" s="80" t="str">
        <f>REPLACE(INDEX(GroupVertices[Group],MATCH(Edges[[#This Row],[Vertex 1]],GroupVertices[Vertex],0)),1,1,"")</f>
        <v>1</v>
      </c>
      <c r="R1243" s="80" t="str">
        <f>REPLACE(INDEX(GroupVertices[Group],MATCH(Edges[[#This Row],[Vertex 2]],GroupVertices[Vertex],0)),1,1,"")</f>
        <v>1</v>
      </c>
      <c r="S1243" s="34"/>
      <c r="T1243" s="34"/>
      <c r="U1243" s="34"/>
      <c r="V1243" s="34"/>
      <c r="W1243" s="34"/>
      <c r="X1243" s="34"/>
      <c r="Y1243" s="34"/>
      <c r="Z1243" s="34"/>
      <c r="AA1243" s="34"/>
    </row>
    <row r="1244" spans="1:27" ht="15">
      <c r="A1244" s="66" t="s">
        <v>229</v>
      </c>
      <c r="B1244" s="66" t="s">
        <v>261</v>
      </c>
      <c r="C1244" s="67" t="s">
        <v>4454</v>
      </c>
      <c r="D1244" s="68">
        <v>5</v>
      </c>
      <c r="E1244" s="69"/>
      <c r="F1244" s="70">
        <v>20</v>
      </c>
      <c r="G1244" s="67"/>
      <c r="H1244" s="71"/>
      <c r="I1244" s="72"/>
      <c r="J1244" s="72"/>
      <c r="K1244" s="34" t="s">
        <v>65</v>
      </c>
      <c r="L1244" s="79">
        <v>1244</v>
      </c>
      <c r="M1244" s="79"/>
      <c r="N1244" s="74"/>
      <c r="O1244" s="81" t="s">
        <v>944</v>
      </c>
      <c r="P1244">
        <v>1</v>
      </c>
      <c r="Q1244" s="80" t="str">
        <f>REPLACE(INDEX(GroupVertices[Group],MATCH(Edges[[#This Row],[Vertex 1]],GroupVertices[Vertex],0)),1,1,"")</f>
        <v>1</v>
      </c>
      <c r="R1244" s="80" t="str">
        <f>REPLACE(INDEX(GroupVertices[Group],MATCH(Edges[[#This Row],[Vertex 2]],GroupVertices[Vertex],0)),1,1,"")</f>
        <v>1</v>
      </c>
      <c r="S1244" s="34"/>
      <c r="T1244" s="34"/>
      <c r="U1244" s="34"/>
      <c r="V1244" s="34"/>
      <c r="W1244" s="34"/>
      <c r="X1244" s="34"/>
      <c r="Y1244" s="34"/>
      <c r="Z1244" s="34"/>
      <c r="AA1244" s="34"/>
    </row>
    <row r="1245" spans="1:27" ht="15">
      <c r="A1245" s="66" t="s">
        <v>229</v>
      </c>
      <c r="B1245" s="66" t="s">
        <v>252</v>
      </c>
      <c r="C1245" s="67" t="s">
        <v>4454</v>
      </c>
      <c r="D1245" s="68">
        <v>5</v>
      </c>
      <c r="E1245" s="69"/>
      <c r="F1245" s="70">
        <v>20</v>
      </c>
      <c r="G1245" s="67"/>
      <c r="H1245" s="71"/>
      <c r="I1245" s="72"/>
      <c r="J1245" s="72"/>
      <c r="K1245" s="34" t="s">
        <v>66</v>
      </c>
      <c r="L1245" s="79">
        <v>1245</v>
      </c>
      <c r="M1245" s="79"/>
      <c r="N1245" s="74"/>
      <c r="O1245" s="81" t="s">
        <v>944</v>
      </c>
      <c r="P1245">
        <v>1</v>
      </c>
      <c r="Q1245" s="80" t="str">
        <f>REPLACE(INDEX(GroupVertices[Group],MATCH(Edges[[#This Row],[Vertex 1]],GroupVertices[Vertex],0)),1,1,"")</f>
        <v>1</v>
      </c>
      <c r="R1245" s="80" t="str">
        <f>REPLACE(INDEX(GroupVertices[Group],MATCH(Edges[[#This Row],[Vertex 2]],GroupVertices[Vertex],0)),1,1,"")</f>
        <v>1</v>
      </c>
      <c r="S1245" s="34"/>
      <c r="T1245" s="34"/>
      <c r="U1245" s="34"/>
      <c r="V1245" s="34"/>
      <c r="W1245" s="34"/>
      <c r="X1245" s="34"/>
      <c r="Y1245" s="34"/>
      <c r="Z1245" s="34"/>
      <c r="AA1245" s="34"/>
    </row>
    <row r="1246" spans="1:27" ht="15">
      <c r="A1246" s="66" t="s">
        <v>229</v>
      </c>
      <c r="B1246" s="66" t="s">
        <v>253</v>
      </c>
      <c r="C1246" s="67" t="s">
        <v>4454</v>
      </c>
      <c r="D1246" s="68">
        <v>5</v>
      </c>
      <c r="E1246" s="69"/>
      <c r="F1246" s="70">
        <v>20</v>
      </c>
      <c r="G1246" s="67"/>
      <c r="H1246" s="71"/>
      <c r="I1246" s="72"/>
      <c r="J1246" s="72"/>
      <c r="K1246" s="34" t="s">
        <v>65</v>
      </c>
      <c r="L1246" s="79">
        <v>1246</v>
      </c>
      <c r="M1246" s="79"/>
      <c r="N1246" s="74"/>
      <c r="O1246" s="81" t="s">
        <v>944</v>
      </c>
      <c r="P1246">
        <v>1</v>
      </c>
      <c r="Q1246" s="80" t="str">
        <f>REPLACE(INDEX(GroupVertices[Group],MATCH(Edges[[#This Row],[Vertex 1]],GroupVertices[Vertex],0)),1,1,"")</f>
        <v>1</v>
      </c>
      <c r="R1246" s="80" t="str">
        <f>REPLACE(INDEX(GroupVertices[Group],MATCH(Edges[[#This Row],[Vertex 2]],GroupVertices[Vertex],0)),1,1,"")</f>
        <v>1</v>
      </c>
      <c r="S1246" s="34"/>
      <c r="T1246" s="34"/>
      <c r="U1246" s="34"/>
      <c r="V1246" s="34"/>
      <c r="W1246" s="34"/>
      <c r="X1246" s="34"/>
      <c r="Y1246" s="34"/>
      <c r="Z1246" s="34"/>
      <c r="AA1246" s="34"/>
    </row>
    <row r="1247" spans="1:27" ht="15">
      <c r="A1247" s="66" t="s">
        <v>229</v>
      </c>
      <c r="B1247" s="66" t="s">
        <v>485</v>
      </c>
      <c r="C1247" s="67" t="s">
        <v>4454</v>
      </c>
      <c r="D1247" s="68">
        <v>5</v>
      </c>
      <c r="E1247" s="69"/>
      <c r="F1247" s="70">
        <v>20</v>
      </c>
      <c r="G1247" s="67"/>
      <c r="H1247" s="71"/>
      <c r="I1247" s="72"/>
      <c r="J1247" s="72"/>
      <c r="K1247" s="34" t="s">
        <v>65</v>
      </c>
      <c r="L1247" s="79">
        <v>1247</v>
      </c>
      <c r="M1247" s="79"/>
      <c r="N1247" s="74"/>
      <c r="O1247" s="81" t="s">
        <v>944</v>
      </c>
      <c r="P1247">
        <v>1</v>
      </c>
      <c r="Q1247" s="80" t="str">
        <f>REPLACE(INDEX(GroupVertices[Group],MATCH(Edges[[#This Row],[Vertex 1]],GroupVertices[Vertex],0)),1,1,"")</f>
        <v>1</v>
      </c>
      <c r="R1247" s="80" t="str">
        <f>REPLACE(INDEX(GroupVertices[Group],MATCH(Edges[[#This Row],[Vertex 2]],GroupVertices[Vertex],0)),1,1,"")</f>
        <v>1</v>
      </c>
      <c r="S1247" s="34"/>
      <c r="T1247" s="34"/>
      <c r="U1247" s="34"/>
      <c r="V1247" s="34"/>
      <c r="W1247" s="34"/>
      <c r="X1247" s="34"/>
      <c r="Y1247" s="34"/>
      <c r="Z1247" s="34"/>
      <c r="AA1247" s="34"/>
    </row>
    <row r="1248" spans="1:27" ht="15">
      <c r="A1248" s="66" t="s">
        <v>229</v>
      </c>
      <c r="B1248" s="66" t="s">
        <v>217</v>
      </c>
      <c r="C1248" s="67" t="s">
        <v>4454</v>
      </c>
      <c r="D1248" s="68">
        <v>5</v>
      </c>
      <c r="E1248" s="69"/>
      <c r="F1248" s="70">
        <v>20</v>
      </c>
      <c r="G1248" s="67"/>
      <c r="H1248" s="71"/>
      <c r="I1248" s="72"/>
      <c r="J1248" s="72"/>
      <c r="K1248" s="34" t="s">
        <v>65</v>
      </c>
      <c r="L1248" s="79">
        <v>1248</v>
      </c>
      <c r="M1248" s="79"/>
      <c r="N1248" s="74"/>
      <c r="O1248" s="81" t="s">
        <v>944</v>
      </c>
      <c r="P1248">
        <v>1</v>
      </c>
      <c r="Q1248" s="80" t="str">
        <f>REPLACE(INDEX(GroupVertices[Group],MATCH(Edges[[#This Row],[Vertex 1]],GroupVertices[Vertex],0)),1,1,"")</f>
        <v>1</v>
      </c>
      <c r="R1248" s="80" t="str">
        <f>REPLACE(INDEX(GroupVertices[Group],MATCH(Edges[[#This Row],[Vertex 2]],GroupVertices[Vertex],0)),1,1,"")</f>
        <v>4</v>
      </c>
      <c r="S1248" s="34"/>
      <c r="T1248" s="34"/>
      <c r="U1248" s="34"/>
      <c r="V1248" s="34"/>
      <c r="W1248" s="34"/>
      <c r="X1248" s="34"/>
      <c r="Y1248" s="34"/>
      <c r="Z1248" s="34"/>
      <c r="AA1248" s="34"/>
    </row>
    <row r="1249" spans="1:27" ht="15">
      <c r="A1249" s="66" t="s">
        <v>229</v>
      </c>
      <c r="B1249" s="66" t="s">
        <v>254</v>
      </c>
      <c r="C1249" s="67" t="s">
        <v>4454</v>
      </c>
      <c r="D1249" s="68">
        <v>5</v>
      </c>
      <c r="E1249" s="69"/>
      <c r="F1249" s="70">
        <v>20</v>
      </c>
      <c r="G1249" s="67"/>
      <c r="H1249" s="71"/>
      <c r="I1249" s="72"/>
      <c r="J1249" s="72"/>
      <c r="K1249" s="34" t="s">
        <v>65</v>
      </c>
      <c r="L1249" s="79">
        <v>1249</v>
      </c>
      <c r="M1249" s="79"/>
      <c r="N1249" s="74"/>
      <c r="O1249" s="81" t="s">
        <v>944</v>
      </c>
      <c r="P1249">
        <v>1</v>
      </c>
      <c r="Q1249" s="80" t="str">
        <f>REPLACE(INDEX(GroupVertices[Group],MATCH(Edges[[#This Row],[Vertex 1]],GroupVertices[Vertex],0)),1,1,"")</f>
        <v>1</v>
      </c>
      <c r="R1249" s="80" t="str">
        <f>REPLACE(INDEX(GroupVertices[Group],MATCH(Edges[[#This Row],[Vertex 2]],GroupVertices[Vertex],0)),1,1,"")</f>
        <v>3</v>
      </c>
      <c r="S1249" s="34"/>
      <c r="T1249" s="34"/>
      <c r="U1249" s="34"/>
      <c r="V1249" s="34"/>
      <c r="W1249" s="34"/>
      <c r="X1249" s="34"/>
      <c r="Y1249" s="34"/>
      <c r="Z1249" s="34"/>
      <c r="AA1249" s="34"/>
    </row>
    <row r="1250" spans="1:27" ht="15">
      <c r="A1250" s="66" t="s">
        <v>231</v>
      </c>
      <c r="B1250" s="66" t="s">
        <v>229</v>
      </c>
      <c r="C1250" s="67" t="s">
        <v>4454</v>
      </c>
      <c r="D1250" s="68">
        <v>5</v>
      </c>
      <c r="E1250" s="69"/>
      <c r="F1250" s="70">
        <v>20</v>
      </c>
      <c r="G1250" s="67"/>
      <c r="H1250" s="71"/>
      <c r="I1250" s="72"/>
      <c r="J1250" s="72"/>
      <c r="K1250" s="34" t="s">
        <v>66</v>
      </c>
      <c r="L1250" s="79">
        <v>1250</v>
      </c>
      <c r="M1250" s="79"/>
      <c r="N1250" s="74"/>
      <c r="O1250" s="81" t="s">
        <v>944</v>
      </c>
      <c r="P1250">
        <v>1</v>
      </c>
      <c r="Q1250" s="80" t="str">
        <f>REPLACE(INDEX(GroupVertices[Group],MATCH(Edges[[#This Row],[Vertex 1]],GroupVertices[Vertex],0)),1,1,"")</f>
        <v>1</v>
      </c>
      <c r="R1250" s="80" t="str">
        <f>REPLACE(INDEX(GroupVertices[Group],MATCH(Edges[[#This Row],[Vertex 2]],GroupVertices[Vertex],0)),1,1,"")</f>
        <v>1</v>
      </c>
      <c r="S1250" s="34"/>
      <c r="T1250" s="34"/>
      <c r="U1250" s="34"/>
      <c r="V1250" s="34"/>
      <c r="W1250" s="34"/>
      <c r="X1250" s="34"/>
      <c r="Y1250" s="34"/>
      <c r="Z1250" s="34"/>
      <c r="AA1250" s="34"/>
    </row>
    <row r="1251" spans="1:27" ht="15">
      <c r="A1251" s="66" t="s">
        <v>236</v>
      </c>
      <c r="B1251" s="66" t="s">
        <v>229</v>
      </c>
      <c r="C1251" s="67" t="s">
        <v>4454</v>
      </c>
      <c r="D1251" s="68">
        <v>5</v>
      </c>
      <c r="E1251" s="69"/>
      <c r="F1251" s="70">
        <v>20</v>
      </c>
      <c r="G1251" s="67"/>
      <c r="H1251" s="71"/>
      <c r="I1251" s="72"/>
      <c r="J1251" s="72"/>
      <c r="K1251" s="34" t="s">
        <v>66</v>
      </c>
      <c r="L1251" s="79">
        <v>1251</v>
      </c>
      <c r="M1251" s="79"/>
      <c r="N1251" s="74"/>
      <c r="O1251" s="81" t="s">
        <v>944</v>
      </c>
      <c r="P1251">
        <v>1</v>
      </c>
      <c r="Q1251" s="80" t="str">
        <f>REPLACE(INDEX(GroupVertices[Group],MATCH(Edges[[#This Row],[Vertex 1]],GroupVertices[Vertex],0)),1,1,"")</f>
        <v>1</v>
      </c>
      <c r="R1251" s="80" t="str">
        <f>REPLACE(INDEX(GroupVertices[Group],MATCH(Edges[[#This Row],[Vertex 2]],GroupVertices[Vertex],0)),1,1,"")</f>
        <v>1</v>
      </c>
      <c r="S1251" s="34"/>
      <c r="T1251" s="34"/>
      <c r="U1251" s="34"/>
      <c r="V1251" s="34"/>
      <c r="W1251" s="34"/>
      <c r="X1251" s="34"/>
      <c r="Y1251" s="34"/>
      <c r="Z1251" s="34"/>
      <c r="AA1251" s="34"/>
    </row>
    <row r="1252" spans="1:27" ht="15">
      <c r="A1252" s="66" t="s">
        <v>243</v>
      </c>
      <c r="B1252" s="66" t="s">
        <v>229</v>
      </c>
      <c r="C1252" s="67" t="s">
        <v>4454</v>
      </c>
      <c r="D1252" s="68">
        <v>5</v>
      </c>
      <c r="E1252" s="69"/>
      <c r="F1252" s="70">
        <v>20</v>
      </c>
      <c r="G1252" s="67"/>
      <c r="H1252" s="71"/>
      <c r="I1252" s="72"/>
      <c r="J1252" s="72"/>
      <c r="K1252" s="34" t="s">
        <v>65</v>
      </c>
      <c r="L1252" s="79">
        <v>1252</v>
      </c>
      <c r="M1252" s="79"/>
      <c r="N1252" s="74"/>
      <c r="O1252" s="81" t="s">
        <v>944</v>
      </c>
      <c r="P1252">
        <v>1</v>
      </c>
      <c r="Q1252" s="80" t="str">
        <f>REPLACE(INDEX(GroupVertices[Group],MATCH(Edges[[#This Row],[Vertex 1]],GroupVertices[Vertex],0)),1,1,"")</f>
        <v>2</v>
      </c>
      <c r="R1252" s="80" t="str">
        <f>REPLACE(INDEX(GroupVertices[Group],MATCH(Edges[[#This Row],[Vertex 2]],GroupVertices[Vertex],0)),1,1,"")</f>
        <v>1</v>
      </c>
      <c r="S1252" s="34"/>
      <c r="T1252" s="34"/>
      <c r="U1252" s="34"/>
      <c r="V1252" s="34"/>
      <c r="W1252" s="34"/>
      <c r="X1252" s="34"/>
      <c r="Y1252" s="34"/>
      <c r="Z1252" s="34"/>
      <c r="AA1252" s="34"/>
    </row>
    <row r="1253" spans="1:27" ht="15">
      <c r="A1253" s="66" t="s">
        <v>248</v>
      </c>
      <c r="B1253" s="66" t="s">
        <v>229</v>
      </c>
      <c r="C1253" s="67" t="s">
        <v>4454</v>
      </c>
      <c r="D1253" s="68">
        <v>5</v>
      </c>
      <c r="E1253" s="69"/>
      <c r="F1253" s="70">
        <v>20</v>
      </c>
      <c r="G1253" s="67"/>
      <c r="H1253" s="71"/>
      <c r="I1253" s="72"/>
      <c r="J1253" s="72"/>
      <c r="K1253" s="34" t="s">
        <v>66</v>
      </c>
      <c r="L1253" s="79">
        <v>1253</v>
      </c>
      <c r="M1253" s="79"/>
      <c r="N1253" s="74"/>
      <c r="O1253" s="81" t="s">
        <v>944</v>
      </c>
      <c r="P1253">
        <v>1</v>
      </c>
      <c r="Q1253" s="80" t="str">
        <f>REPLACE(INDEX(GroupVertices[Group],MATCH(Edges[[#This Row],[Vertex 1]],GroupVertices[Vertex],0)),1,1,"")</f>
        <v>1</v>
      </c>
      <c r="R1253" s="80" t="str">
        <f>REPLACE(INDEX(GroupVertices[Group],MATCH(Edges[[#This Row],[Vertex 2]],GroupVertices[Vertex],0)),1,1,"")</f>
        <v>1</v>
      </c>
      <c r="S1253" s="34"/>
      <c r="T1253" s="34"/>
      <c r="U1253" s="34"/>
      <c r="V1253" s="34"/>
      <c r="W1253" s="34"/>
      <c r="X1253" s="34"/>
      <c r="Y1253" s="34"/>
      <c r="Z1253" s="34"/>
      <c r="AA1253" s="34"/>
    </row>
    <row r="1254" spans="1:27" ht="15">
      <c r="A1254" s="66" t="s">
        <v>251</v>
      </c>
      <c r="B1254" s="66" t="s">
        <v>229</v>
      </c>
      <c r="C1254" s="67" t="s">
        <v>4454</v>
      </c>
      <c r="D1254" s="68">
        <v>5</v>
      </c>
      <c r="E1254" s="69"/>
      <c r="F1254" s="70">
        <v>20</v>
      </c>
      <c r="G1254" s="67"/>
      <c r="H1254" s="71"/>
      <c r="I1254" s="72"/>
      <c r="J1254" s="72"/>
      <c r="K1254" s="34" t="s">
        <v>65</v>
      </c>
      <c r="L1254" s="79">
        <v>1254</v>
      </c>
      <c r="M1254" s="79"/>
      <c r="N1254" s="74"/>
      <c r="O1254" s="81" t="s">
        <v>944</v>
      </c>
      <c r="P1254">
        <v>1</v>
      </c>
      <c r="Q1254" s="80" t="str">
        <f>REPLACE(INDEX(GroupVertices[Group],MATCH(Edges[[#This Row],[Vertex 1]],GroupVertices[Vertex],0)),1,1,"")</f>
        <v>2</v>
      </c>
      <c r="R1254" s="80" t="str">
        <f>REPLACE(INDEX(GroupVertices[Group],MATCH(Edges[[#This Row],[Vertex 2]],GroupVertices[Vertex],0)),1,1,"")</f>
        <v>1</v>
      </c>
      <c r="S1254" s="34"/>
      <c r="T1254" s="34"/>
      <c r="U1254" s="34"/>
      <c r="V1254" s="34"/>
      <c r="W1254" s="34"/>
      <c r="X1254" s="34"/>
      <c r="Y1254" s="34"/>
      <c r="Z1254" s="34"/>
      <c r="AA1254" s="34"/>
    </row>
    <row r="1255" spans="1:27" ht="15">
      <c r="A1255" s="66" t="s">
        <v>252</v>
      </c>
      <c r="B1255" s="66" t="s">
        <v>229</v>
      </c>
      <c r="C1255" s="67" t="s">
        <v>4454</v>
      </c>
      <c r="D1255" s="68">
        <v>5</v>
      </c>
      <c r="E1255" s="69"/>
      <c r="F1255" s="70">
        <v>20</v>
      </c>
      <c r="G1255" s="67"/>
      <c r="H1255" s="71"/>
      <c r="I1255" s="72"/>
      <c r="J1255" s="72"/>
      <c r="K1255" s="34" t="s">
        <v>66</v>
      </c>
      <c r="L1255" s="79">
        <v>1255</v>
      </c>
      <c r="M1255" s="79"/>
      <c r="N1255" s="74"/>
      <c r="O1255" s="81" t="s">
        <v>944</v>
      </c>
      <c r="P1255">
        <v>1</v>
      </c>
      <c r="Q1255" s="80" t="str">
        <f>REPLACE(INDEX(GroupVertices[Group],MATCH(Edges[[#This Row],[Vertex 1]],GroupVertices[Vertex],0)),1,1,"")</f>
        <v>1</v>
      </c>
      <c r="R1255" s="80" t="str">
        <f>REPLACE(INDEX(GroupVertices[Group],MATCH(Edges[[#This Row],[Vertex 2]],GroupVertices[Vertex],0)),1,1,"")</f>
        <v>1</v>
      </c>
      <c r="S1255" s="34"/>
      <c r="T1255" s="34"/>
      <c r="U1255" s="34"/>
      <c r="V1255" s="34"/>
      <c r="W1255" s="34"/>
      <c r="X1255" s="34"/>
      <c r="Y1255" s="34"/>
      <c r="Z1255" s="34"/>
      <c r="AA1255" s="34"/>
    </row>
    <row r="1256" spans="1:27" ht="15">
      <c r="A1256" s="66" t="s">
        <v>257</v>
      </c>
      <c r="B1256" s="66" t="s">
        <v>229</v>
      </c>
      <c r="C1256" s="67" t="s">
        <v>4454</v>
      </c>
      <c r="D1256" s="68">
        <v>5</v>
      </c>
      <c r="E1256" s="69"/>
      <c r="F1256" s="70">
        <v>20</v>
      </c>
      <c r="G1256" s="67"/>
      <c r="H1256" s="71"/>
      <c r="I1256" s="72"/>
      <c r="J1256" s="72"/>
      <c r="K1256" s="34" t="s">
        <v>65</v>
      </c>
      <c r="L1256" s="79">
        <v>1256</v>
      </c>
      <c r="M1256" s="79"/>
      <c r="N1256" s="74"/>
      <c r="O1256" s="81" t="s">
        <v>944</v>
      </c>
      <c r="P1256">
        <v>1</v>
      </c>
      <c r="Q1256" s="80" t="str">
        <f>REPLACE(INDEX(GroupVertices[Group],MATCH(Edges[[#This Row],[Vertex 1]],GroupVertices[Vertex],0)),1,1,"")</f>
        <v>2</v>
      </c>
      <c r="R1256" s="80" t="str">
        <f>REPLACE(INDEX(GroupVertices[Group],MATCH(Edges[[#This Row],[Vertex 2]],GroupVertices[Vertex],0)),1,1,"")</f>
        <v>1</v>
      </c>
      <c r="S1256" s="34"/>
      <c r="T1256" s="34"/>
      <c r="U1256" s="34"/>
      <c r="V1256" s="34"/>
      <c r="W1256" s="34"/>
      <c r="X1256" s="34"/>
      <c r="Y1256" s="34"/>
      <c r="Z1256" s="34"/>
      <c r="AA1256" s="34"/>
    </row>
    <row r="1257" spans="1:27" ht="15">
      <c r="A1257" s="66" t="s">
        <v>215</v>
      </c>
      <c r="B1257" s="66" t="s">
        <v>228</v>
      </c>
      <c r="C1257" s="67" t="s">
        <v>4454</v>
      </c>
      <c r="D1257" s="68">
        <v>5</v>
      </c>
      <c r="E1257" s="69"/>
      <c r="F1257" s="70">
        <v>20</v>
      </c>
      <c r="G1257" s="67"/>
      <c r="H1257" s="71"/>
      <c r="I1257" s="72"/>
      <c r="J1257" s="72"/>
      <c r="K1257" s="34" t="s">
        <v>66</v>
      </c>
      <c r="L1257" s="79">
        <v>1257</v>
      </c>
      <c r="M1257" s="79"/>
      <c r="N1257" s="74"/>
      <c r="O1257" s="81" t="s">
        <v>944</v>
      </c>
      <c r="P1257">
        <v>1</v>
      </c>
      <c r="Q1257" s="80" t="str">
        <f>REPLACE(INDEX(GroupVertices[Group],MATCH(Edges[[#This Row],[Vertex 1]],GroupVertices[Vertex],0)),1,1,"")</f>
        <v>3</v>
      </c>
      <c r="R1257" s="80" t="str">
        <f>REPLACE(INDEX(GroupVertices[Group],MATCH(Edges[[#This Row],[Vertex 2]],GroupVertices[Vertex],0)),1,1,"")</f>
        <v>3</v>
      </c>
      <c r="S1257" s="34"/>
      <c r="T1257" s="34"/>
      <c r="U1257" s="34"/>
      <c r="V1257" s="34"/>
      <c r="W1257" s="34"/>
      <c r="X1257" s="34"/>
      <c r="Y1257" s="34"/>
      <c r="Z1257" s="34"/>
      <c r="AA1257" s="34"/>
    </row>
    <row r="1258" spans="1:27" ht="15">
      <c r="A1258" s="66" t="s">
        <v>223</v>
      </c>
      <c r="B1258" s="66" t="s">
        <v>228</v>
      </c>
      <c r="C1258" s="67" t="s">
        <v>4454</v>
      </c>
      <c r="D1258" s="68">
        <v>5</v>
      </c>
      <c r="E1258" s="69"/>
      <c r="F1258" s="70">
        <v>20</v>
      </c>
      <c r="G1258" s="67"/>
      <c r="H1258" s="71"/>
      <c r="I1258" s="72"/>
      <c r="J1258" s="72"/>
      <c r="K1258" s="34" t="s">
        <v>66</v>
      </c>
      <c r="L1258" s="79">
        <v>1258</v>
      </c>
      <c r="M1258" s="79"/>
      <c r="N1258" s="74"/>
      <c r="O1258" s="81" t="s">
        <v>944</v>
      </c>
      <c r="P1258">
        <v>1</v>
      </c>
      <c r="Q1258" s="80" t="str">
        <f>REPLACE(INDEX(GroupVertices[Group],MATCH(Edges[[#This Row],[Vertex 1]],GroupVertices[Vertex],0)),1,1,"")</f>
        <v>3</v>
      </c>
      <c r="R1258" s="80" t="str">
        <f>REPLACE(INDEX(GroupVertices[Group],MATCH(Edges[[#This Row],[Vertex 2]],GroupVertices[Vertex],0)),1,1,"")</f>
        <v>3</v>
      </c>
      <c r="S1258" s="34"/>
      <c r="T1258" s="34"/>
      <c r="U1258" s="34"/>
      <c r="V1258" s="34"/>
      <c r="W1258" s="34"/>
      <c r="X1258" s="34"/>
      <c r="Y1258" s="34"/>
      <c r="Z1258" s="34"/>
      <c r="AA1258" s="34"/>
    </row>
    <row r="1259" spans="1:27" ht="15">
      <c r="A1259" s="66" t="s">
        <v>228</v>
      </c>
      <c r="B1259" s="66" t="s">
        <v>873</v>
      </c>
      <c r="C1259" s="67" t="s">
        <v>4454</v>
      </c>
      <c r="D1259" s="68">
        <v>5</v>
      </c>
      <c r="E1259" s="69"/>
      <c r="F1259" s="70">
        <v>20</v>
      </c>
      <c r="G1259" s="67"/>
      <c r="H1259" s="71"/>
      <c r="I1259" s="72"/>
      <c r="J1259" s="72"/>
      <c r="K1259" s="34" t="s">
        <v>65</v>
      </c>
      <c r="L1259" s="79">
        <v>1259</v>
      </c>
      <c r="M1259" s="79"/>
      <c r="N1259" s="74"/>
      <c r="O1259" s="81" t="s">
        <v>944</v>
      </c>
      <c r="P1259">
        <v>1</v>
      </c>
      <c r="Q1259" s="80" t="str">
        <f>REPLACE(INDEX(GroupVertices[Group],MATCH(Edges[[#This Row],[Vertex 1]],GroupVertices[Vertex],0)),1,1,"")</f>
        <v>3</v>
      </c>
      <c r="R1259" s="80" t="str">
        <f>REPLACE(INDEX(GroupVertices[Group],MATCH(Edges[[#This Row],[Vertex 2]],GroupVertices[Vertex],0)),1,1,"")</f>
        <v>3</v>
      </c>
      <c r="S1259" s="34"/>
      <c r="T1259" s="34"/>
      <c r="U1259" s="34"/>
      <c r="V1259" s="34"/>
      <c r="W1259" s="34"/>
      <c r="X1259" s="34"/>
      <c r="Y1259" s="34"/>
      <c r="Z1259" s="34"/>
      <c r="AA1259" s="34"/>
    </row>
    <row r="1260" spans="1:27" ht="15">
      <c r="A1260" s="66" t="s">
        <v>228</v>
      </c>
      <c r="B1260" s="66" t="s">
        <v>226</v>
      </c>
      <c r="C1260" s="67" t="s">
        <v>4454</v>
      </c>
      <c r="D1260" s="68">
        <v>5</v>
      </c>
      <c r="E1260" s="69"/>
      <c r="F1260" s="70">
        <v>20</v>
      </c>
      <c r="G1260" s="67"/>
      <c r="H1260" s="71"/>
      <c r="I1260" s="72"/>
      <c r="J1260" s="72"/>
      <c r="K1260" s="34" t="s">
        <v>65</v>
      </c>
      <c r="L1260" s="79">
        <v>1260</v>
      </c>
      <c r="M1260" s="79"/>
      <c r="N1260" s="74"/>
      <c r="O1260" s="81" t="s">
        <v>944</v>
      </c>
      <c r="P1260">
        <v>1</v>
      </c>
      <c r="Q1260" s="80" t="str">
        <f>REPLACE(INDEX(GroupVertices[Group],MATCH(Edges[[#This Row],[Vertex 1]],GroupVertices[Vertex],0)),1,1,"")</f>
        <v>3</v>
      </c>
      <c r="R1260" s="80" t="str">
        <f>REPLACE(INDEX(GroupVertices[Group],MATCH(Edges[[#This Row],[Vertex 2]],GroupVertices[Vertex],0)),1,1,"")</f>
        <v>4</v>
      </c>
      <c r="S1260" s="34"/>
      <c r="T1260" s="34"/>
      <c r="U1260" s="34"/>
      <c r="V1260" s="34"/>
      <c r="W1260" s="34"/>
      <c r="X1260" s="34"/>
      <c r="Y1260" s="34"/>
      <c r="Z1260" s="34"/>
      <c r="AA1260" s="34"/>
    </row>
    <row r="1261" spans="1:27" ht="15">
      <c r="A1261" s="66" t="s">
        <v>228</v>
      </c>
      <c r="B1261" s="66" t="s">
        <v>616</v>
      </c>
      <c r="C1261" s="67" t="s">
        <v>4454</v>
      </c>
      <c r="D1261" s="68">
        <v>5</v>
      </c>
      <c r="E1261" s="69"/>
      <c r="F1261" s="70">
        <v>20</v>
      </c>
      <c r="G1261" s="67"/>
      <c r="H1261" s="71"/>
      <c r="I1261" s="72"/>
      <c r="J1261" s="72"/>
      <c r="K1261" s="34" t="s">
        <v>65</v>
      </c>
      <c r="L1261" s="79">
        <v>1261</v>
      </c>
      <c r="M1261" s="79"/>
      <c r="N1261" s="74"/>
      <c r="O1261" s="81" t="s">
        <v>944</v>
      </c>
      <c r="P1261">
        <v>1</v>
      </c>
      <c r="Q1261" s="80" t="str">
        <f>REPLACE(INDEX(GroupVertices[Group],MATCH(Edges[[#This Row],[Vertex 1]],GroupVertices[Vertex],0)),1,1,"")</f>
        <v>3</v>
      </c>
      <c r="R1261" s="80" t="str">
        <f>REPLACE(INDEX(GroupVertices[Group],MATCH(Edges[[#This Row],[Vertex 2]],GroupVertices[Vertex],0)),1,1,"")</f>
        <v>1</v>
      </c>
      <c r="S1261" s="34"/>
      <c r="T1261" s="34"/>
      <c r="U1261" s="34"/>
      <c r="V1261" s="34"/>
      <c r="W1261" s="34"/>
      <c r="X1261" s="34"/>
      <c r="Y1261" s="34"/>
      <c r="Z1261" s="34"/>
      <c r="AA1261" s="34"/>
    </row>
    <row r="1262" spans="1:27" ht="15">
      <c r="A1262" s="66" t="s">
        <v>228</v>
      </c>
      <c r="B1262" s="66" t="s">
        <v>251</v>
      </c>
      <c r="C1262" s="67" t="s">
        <v>4454</v>
      </c>
      <c r="D1262" s="68">
        <v>5</v>
      </c>
      <c r="E1262" s="69"/>
      <c r="F1262" s="70">
        <v>20</v>
      </c>
      <c r="G1262" s="67"/>
      <c r="H1262" s="71"/>
      <c r="I1262" s="72"/>
      <c r="J1262" s="72"/>
      <c r="K1262" s="34" t="s">
        <v>65</v>
      </c>
      <c r="L1262" s="79">
        <v>1262</v>
      </c>
      <c r="M1262" s="79"/>
      <c r="N1262" s="74"/>
      <c r="O1262" s="81" t="s">
        <v>944</v>
      </c>
      <c r="P1262">
        <v>1</v>
      </c>
      <c r="Q1262" s="80" t="str">
        <f>REPLACE(INDEX(GroupVertices[Group],MATCH(Edges[[#This Row],[Vertex 1]],GroupVertices[Vertex],0)),1,1,"")</f>
        <v>3</v>
      </c>
      <c r="R1262" s="80" t="str">
        <f>REPLACE(INDEX(GroupVertices[Group],MATCH(Edges[[#This Row],[Vertex 2]],GroupVertices[Vertex],0)),1,1,"")</f>
        <v>2</v>
      </c>
      <c r="S1262" s="34"/>
      <c r="T1262" s="34"/>
      <c r="U1262" s="34"/>
      <c r="V1262" s="34"/>
      <c r="W1262" s="34"/>
      <c r="X1262" s="34"/>
      <c r="Y1262" s="34"/>
      <c r="Z1262" s="34"/>
      <c r="AA1262" s="34"/>
    </row>
    <row r="1263" spans="1:27" ht="15">
      <c r="A1263" s="66" t="s">
        <v>228</v>
      </c>
      <c r="B1263" s="66" t="s">
        <v>247</v>
      </c>
      <c r="C1263" s="67" t="s">
        <v>4454</v>
      </c>
      <c r="D1263" s="68">
        <v>5</v>
      </c>
      <c r="E1263" s="69"/>
      <c r="F1263" s="70">
        <v>20</v>
      </c>
      <c r="G1263" s="67"/>
      <c r="H1263" s="71"/>
      <c r="I1263" s="72"/>
      <c r="J1263" s="72"/>
      <c r="K1263" s="34" t="s">
        <v>65</v>
      </c>
      <c r="L1263" s="79">
        <v>1263</v>
      </c>
      <c r="M1263" s="79"/>
      <c r="N1263" s="74"/>
      <c r="O1263" s="81" t="s">
        <v>944</v>
      </c>
      <c r="P1263">
        <v>1</v>
      </c>
      <c r="Q1263" s="80" t="str">
        <f>REPLACE(INDEX(GroupVertices[Group],MATCH(Edges[[#This Row],[Vertex 1]],GroupVertices[Vertex],0)),1,1,"")</f>
        <v>3</v>
      </c>
      <c r="R1263" s="80" t="str">
        <f>REPLACE(INDEX(GroupVertices[Group],MATCH(Edges[[#This Row],[Vertex 2]],GroupVertices[Vertex],0)),1,1,"")</f>
        <v>2</v>
      </c>
      <c r="S1263" s="34"/>
      <c r="T1263" s="34"/>
      <c r="U1263" s="34"/>
      <c r="V1263" s="34"/>
      <c r="W1263" s="34"/>
      <c r="X1263" s="34"/>
      <c r="Y1263" s="34"/>
      <c r="Z1263" s="34"/>
      <c r="AA1263" s="34"/>
    </row>
    <row r="1264" spans="1:27" ht="15">
      <c r="A1264" s="66" t="s">
        <v>228</v>
      </c>
      <c r="B1264" s="66" t="s">
        <v>256</v>
      </c>
      <c r="C1264" s="67" t="s">
        <v>4454</v>
      </c>
      <c r="D1264" s="68">
        <v>5</v>
      </c>
      <c r="E1264" s="69"/>
      <c r="F1264" s="70">
        <v>20</v>
      </c>
      <c r="G1264" s="67"/>
      <c r="H1264" s="71"/>
      <c r="I1264" s="72"/>
      <c r="J1264" s="72"/>
      <c r="K1264" s="34" t="s">
        <v>66</v>
      </c>
      <c r="L1264" s="79">
        <v>1264</v>
      </c>
      <c r="M1264" s="79"/>
      <c r="N1264" s="74"/>
      <c r="O1264" s="81" t="s">
        <v>944</v>
      </c>
      <c r="P1264">
        <v>1</v>
      </c>
      <c r="Q1264" s="80" t="str">
        <f>REPLACE(INDEX(GroupVertices[Group],MATCH(Edges[[#This Row],[Vertex 1]],GroupVertices[Vertex],0)),1,1,"")</f>
        <v>3</v>
      </c>
      <c r="R1264" s="80" t="str">
        <f>REPLACE(INDEX(GroupVertices[Group],MATCH(Edges[[#This Row],[Vertex 2]],GroupVertices[Vertex],0)),1,1,"")</f>
        <v>1</v>
      </c>
      <c r="S1264" s="34"/>
      <c r="T1264" s="34"/>
      <c r="U1264" s="34"/>
      <c r="V1264" s="34"/>
      <c r="W1264" s="34"/>
      <c r="X1264" s="34"/>
      <c r="Y1264" s="34"/>
      <c r="Z1264" s="34"/>
      <c r="AA1264" s="34"/>
    </row>
    <row r="1265" spans="1:27" ht="15">
      <c r="A1265" s="66" t="s">
        <v>228</v>
      </c>
      <c r="B1265" s="66" t="s">
        <v>246</v>
      </c>
      <c r="C1265" s="67" t="s">
        <v>4454</v>
      </c>
      <c r="D1265" s="68">
        <v>5</v>
      </c>
      <c r="E1265" s="69"/>
      <c r="F1265" s="70">
        <v>20</v>
      </c>
      <c r="G1265" s="67"/>
      <c r="H1265" s="71"/>
      <c r="I1265" s="72"/>
      <c r="J1265" s="72"/>
      <c r="K1265" s="34" t="s">
        <v>66</v>
      </c>
      <c r="L1265" s="79">
        <v>1265</v>
      </c>
      <c r="M1265" s="79"/>
      <c r="N1265" s="74"/>
      <c r="O1265" s="81" t="s">
        <v>944</v>
      </c>
      <c r="P1265">
        <v>1</v>
      </c>
      <c r="Q1265" s="80" t="str">
        <f>REPLACE(INDEX(GroupVertices[Group],MATCH(Edges[[#This Row],[Vertex 1]],GroupVertices[Vertex],0)),1,1,"")</f>
        <v>3</v>
      </c>
      <c r="R1265" s="80" t="str">
        <f>REPLACE(INDEX(GroupVertices[Group],MATCH(Edges[[#This Row],[Vertex 2]],GroupVertices[Vertex],0)),1,1,"")</f>
        <v>2</v>
      </c>
      <c r="S1265" s="34"/>
      <c r="T1265" s="34"/>
      <c r="U1265" s="34"/>
      <c r="V1265" s="34"/>
      <c r="W1265" s="34"/>
      <c r="X1265" s="34"/>
      <c r="Y1265" s="34"/>
      <c r="Z1265" s="34"/>
      <c r="AA1265" s="34"/>
    </row>
    <row r="1266" spans="1:27" ht="15">
      <c r="A1266" s="66" t="s">
        <v>228</v>
      </c>
      <c r="B1266" s="66" t="s">
        <v>258</v>
      </c>
      <c r="C1266" s="67" t="s">
        <v>4454</v>
      </c>
      <c r="D1266" s="68">
        <v>5</v>
      </c>
      <c r="E1266" s="69"/>
      <c r="F1266" s="70">
        <v>20</v>
      </c>
      <c r="G1266" s="67"/>
      <c r="H1266" s="71"/>
      <c r="I1266" s="72"/>
      <c r="J1266" s="72"/>
      <c r="K1266" s="34" t="s">
        <v>65</v>
      </c>
      <c r="L1266" s="79">
        <v>1266</v>
      </c>
      <c r="M1266" s="79"/>
      <c r="N1266" s="74"/>
      <c r="O1266" s="81" t="s">
        <v>944</v>
      </c>
      <c r="P1266">
        <v>1</v>
      </c>
      <c r="Q1266" s="80" t="str">
        <f>REPLACE(INDEX(GroupVertices[Group],MATCH(Edges[[#This Row],[Vertex 1]],GroupVertices[Vertex],0)),1,1,"")</f>
        <v>3</v>
      </c>
      <c r="R1266" s="80" t="str">
        <f>REPLACE(INDEX(GroupVertices[Group],MATCH(Edges[[#This Row],[Vertex 2]],GroupVertices[Vertex],0)),1,1,"")</f>
        <v>1</v>
      </c>
      <c r="S1266" s="34"/>
      <c r="T1266" s="34"/>
      <c r="U1266" s="34"/>
      <c r="V1266" s="34"/>
      <c r="W1266" s="34"/>
      <c r="X1266" s="34"/>
      <c r="Y1266" s="34"/>
      <c r="Z1266" s="34"/>
      <c r="AA1266" s="34"/>
    </row>
    <row r="1267" spans="1:27" ht="15">
      <c r="A1267" s="66" t="s">
        <v>228</v>
      </c>
      <c r="B1267" s="66" t="s">
        <v>257</v>
      </c>
      <c r="C1267" s="67" t="s">
        <v>4454</v>
      </c>
      <c r="D1267" s="68">
        <v>5</v>
      </c>
      <c r="E1267" s="69"/>
      <c r="F1267" s="70">
        <v>20</v>
      </c>
      <c r="G1267" s="67"/>
      <c r="H1267" s="71"/>
      <c r="I1267" s="72"/>
      <c r="J1267" s="72"/>
      <c r="K1267" s="34" t="s">
        <v>66</v>
      </c>
      <c r="L1267" s="79">
        <v>1267</v>
      </c>
      <c r="M1267" s="79"/>
      <c r="N1267" s="74"/>
      <c r="O1267" s="81" t="s">
        <v>944</v>
      </c>
      <c r="P1267">
        <v>1</v>
      </c>
      <c r="Q1267" s="80" t="str">
        <f>REPLACE(INDEX(GroupVertices[Group],MATCH(Edges[[#This Row],[Vertex 1]],GroupVertices[Vertex],0)),1,1,"")</f>
        <v>3</v>
      </c>
      <c r="R1267" s="80" t="str">
        <f>REPLACE(INDEX(GroupVertices[Group],MATCH(Edges[[#This Row],[Vertex 2]],GroupVertices[Vertex],0)),1,1,"")</f>
        <v>2</v>
      </c>
      <c r="S1267" s="34"/>
      <c r="T1267" s="34"/>
      <c r="U1267" s="34"/>
      <c r="V1267" s="34"/>
      <c r="W1267" s="34"/>
      <c r="X1267" s="34"/>
      <c r="Y1267" s="34"/>
      <c r="Z1267" s="34"/>
      <c r="AA1267" s="34"/>
    </row>
    <row r="1268" spans="1:27" ht="15">
      <c r="A1268" s="66" t="s">
        <v>228</v>
      </c>
      <c r="B1268" s="66" t="s">
        <v>241</v>
      </c>
      <c r="C1268" s="67" t="s">
        <v>4454</v>
      </c>
      <c r="D1268" s="68">
        <v>5</v>
      </c>
      <c r="E1268" s="69"/>
      <c r="F1268" s="70">
        <v>20</v>
      </c>
      <c r="G1268" s="67"/>
      <c r="H1268" s="71"/>
      <c r="I1268" s="72"/>
      <c r="J1268" s="72"/>
      <c r="K1268" s="34" t="s">
        <v>66</v>
      </c>
      <c r="L1268" s="79">
        <v>1268</v>
      </c>
      <c r="M1268" s="79"/>
      <c r="N1268" s="74"/>
      <c r="O1268" s="81" t="s">
        <v>944</v>
      </c>
      <c r="P1268">
        <v>1</v>
      </c>
      <c r="Q1268" s="80" t="str">
        <f>REPLACE(INDEX(GroupVertices[Group],MATCH(Edges[[#This Row],[Vertex 1]],GroupVertices[Vertex],0)),1,1,"")</f>
        <v>3</v>
      </c>
      <c r="R1268" s="80" t="str">
        <f>REPLACE(INDEX(GroupVertices[Group],MATCH(Edges[[#This Row],[Vertex 2]],GroupVertices[Vertex],0)),1,1,"")</f>
        <v>2</v>
      </c>
      <c r="S1268" s="34"/>
      <c r="T1268" s="34"/>
      <c r="U1268" s="34"/>
      <c r="V1268" s="34"/>
      <c r="W1268" s="34"/>
      <c r="X1268" s="34"/>
      <c r="Y1268" s="34"/>
      <c r="Z1268" s="34"/>
      <c r="AA1268" s="34"/>
    </row>
    <row r="1269" spans="1:27" ht="15">
      <c r="A1269" s="66" t="s">
        <v>228</v>
      </c>
      <c r="B1269" s="66" t="s">
        <v>238</v>
      </c>
      <c r="C1269" s="67" t="s">
        <v>4454</v>
      </c>
      <c r="D1269" s="68">
        <v>5</v>
      </c>
      <c r="E1269" s="69"/>
      <c r="F1269" s="70">
        <v>20</v>
      </c>
      <c r="G1269" s="67"/>
      <c r="H1269" s="71"/>
      <c r="I1269" s="72"/>
      <c r="J1269" s="72"/>
      <c r="K1269" s="34" t="s">
        <v>65</v>
      </c>
      <c r="L1269" s="79">
        <v>1269</v>
      </c>
      <c r="M1269" s="79"/>
      <c r="N1269" s="74"/>
      <c r="O1269" s="81" t="s">
        <v>944</v>
      </c>
      <c r="P1269">
        <v>1</v>
      </c>
      <c r="Q1269" s="80" t="str">
        <f>REPLACE(INDEX(GroupVertices[Group],MATCH(Edges[[#This Row],[Vertex 1]],GroupVertices[Vertex],0)),1,1,"")</f>
        <v>3</v>
      </c>
      <c r="R1269" s="80" t="str">
        <f>REPLACE(INDEX(GroupVertices[Group],MATCH(Edges[[#This Row],[Vertex 2]],GroupVertices[Vertex],0)),1,1,"")</f>
        <v>2</v>
      </c>
      <c r="S1269" s="34"/>
      <c r="T1269" s="34"/>
      <c r="U1269" s="34"/>
      <c r="V1269" s="34"/>
      <c r="W1269" s="34"/>
      <c r="X1269" s="34"/>
      <c r="Y1269" s="34"/>
      <c r="Z1269" s="34"/>
      <c r="AA1269" s="34"/>
    </row>
    <row r="1270" spans="1:27" ht="15">
      <c r="A1270" s="66" t="s">
        <v>228</v>
      </c>
      <c r="B1270" s="66" t="s">
        <v>234</v>
      </c>
      <c r="C1270" s="67" t="s">
        <v>4454</v>
      </c>
      <c r="D1270" s="68">
        <v>5</v>
      </c>
      <c r="E1270" s="69"/>
      <c r="F1270" s="70">
        <v>20</v>
      </c>
      <c r="G1270" s="67"/>
      <c r="H1270" s="71"/>
      <c r="I1270" s="72"/>
      <c r="J1270" s="72"/>
      <c r="K1270" s="34" t="s">
        <v>65</v>
      </c>
      <c r="L1270" s="79">
        <v>1270</v>
      </c>
      <c r="M1270" s="79"/>
      <c r="N1270" s="74"/>
      <c r="O1270" s="81" t="s">
        <v>944</v>
      </c>
      <c r="P1270">
        <v>1</v>
      </c>
      <c r="Q1270" s="80" t="str">
        <f>REPLACE(INDEX(GroupVertices[Group],MATCH(Edges[[#This Row],[Vertex 1]],GroupVertices[Vertex],0)),1,1,"")</f>
        <v>3</v>
      </c>
      <c r="R1270" s="80" t="str">
        <f>REPLACE(INDEX(GroupVertices[Group],MATCH(Edges[[#This Row],[Vertex 2]],GroupVertices[Vertex],0)),1,1,"")</f>
        <v>4</v>
      </c>
      <c r="S1270" s="34"/>
      <c r="T1270" s="34"/>
      <c r="U1270" s="34"/>
      <c r="V1270" s="34"/>
      <c r="W1270" s="34"/>
      <c r="X1270" s="34"/>
      <c r="Y1270" s="34"/>
      <c r="Z1270" s="34"/>
      <c r="AA1270" s="34"/>
    </row>
    <row r="1271" spans="1:27" ht="15">
      <c r="A1271" s="66" t="s">
        <v>228</v>
      </c>
      <c r="B1271" s="66" t="s">
        <v>260</v>
      </c>
      <c r="C1271" s="67" t="s">
        <v>4454</v>
      </c>
      <c r="D1271" s="68">
        <v>5</v>
      </c>
      <c r="E1271" s="69"/>
      <c r="F1271" s="70">
        <v>20</v>
      </c>
      <c r="G1271" s="67"/>
      <c r="H1271" s="71"/>
      <c r="I1271" s="72"/>
      <c r="J1271" s="72"/>
      <c r="K1271" s="34" t="s">
        <v>65</v>
      </c>
      <c r="L1271" s="79">
        <v>1271</v>
      </c>
      <c r="M1271" s="79"/>
      <c r="N1271" s="74"/>
      <c r="O1271" s="81" t="s">
        <v>944</v>
      </c>
      <c r="P1271">
        <v>1</v>
      </c>
      <c r="Q1271" s="80" t="str">
        <f>REPLACE(INDEX(GroupVertices[Group],MATCH(Edges[[#This Row],[Vertex 1]],GroupVertices[Vertex],0)),1,1,"")</f>
        <v>3</v>
      </c>
      <c r="R1271" s="80" t="str">
        <f>REPLACE(INDEX(GroupVertices[Group],MATCH(Edges[[#This Row],[Vertex 2]],GroupVertices[Vertex],0)),1,1,"")</f>
        <v>2</v>
      </c>
      <c r="S1271" s="34"/>
      <c r="T1271" s="34"/>
      <c r="U1271" s="34"/>
      <c r="V1271" s="34"/>
      <c r="W1271" s="34"/>
      <c r="X1271" s="34"/>
      <c r="Y1271" s="34"/>
      <c r="Z1271" s="34"/>
      <c r="AA1271" s="34"/>
    </row>
    <row r="1272" spans="1:27" ht="15">
      <c r="A1272" s="66" t="s">
        <v>228</v>
      </c>
      <c r="B1272" s="66" t="s">
        <v>240</v>
      </c>
      <c r="C1272" s="67" t="s">
        <v>4454</v>
      </c>
      <c r="D1272" s="68">
        <v>5</v>
      </c>
      <c r="E1272" s="69"/>
      <c r="F1272" s="70">
        <v>20</v>
      </c>
      <c r="G1272" s="67"/>
      <c r="H1272" s="71"/>
      <c r="I1272" s="72"/>
      <c r="J1272" s="72"/>
      <c r="K1272" s="34" t="s">
        <v>66</v>
      </c>
      <c r="L1272" s="79">
        <v>1272</v>
      </c>
      <c r="M1272" s="79"/>
      <c r="N1272" s="74"/>
      <c r="O1272" s="81" t="s">
        <v>944</v>
      </c>
      <c r="P1272">
        <v>1</v>
      </c>
      <c r="Q1272" s="80" t="str">
        <f>REPLACE(INDEX(GroupVertices[Group],MATCH(Edges[[#This Row],[Vertex 1]],GroupVertices[Vertex],0)),1,1,"")</f>
        <v>3</v>
      </c>
      <c r="R1272" s="80" t="str">
        <f>REPLACE(INDEX(GroupVertices[Group],MATCH(Edges[[#This Row],[Vertex 2]],GroupVertices[Vertex],0)),1,1,"")</f>
        <v>2</v>
      </c>
      <c r="S1272" s="34"/>
      <c r="T1272" s="34"/>
      <c r="U1272" s="34"/>
      <c r="V1272" s="34"/>
      <c r="W1272" s="34"/>
      <c r="X1272" s="34"/>
      <c r="Y1272" s="34"/>
      <c r="Z1272" s="34"/>
      <c r="AA1272" s="34"/>
    </row>
    <row r="1273" spans="1:27" ht="15">
      <c r="A1273" s="66" t="s">
        <v>228</v>
      </c>
      <c r="B1273" s="66" t="s">
        <v>261</v>
      </c>
      <c r="C1273" s="67" t="s">
        <v>4454</v>
      </c>
      <c r="D1273" s="68">
        <v>5</v>
      </c>
      <c r="E1273" s="69"/>
      <c r="F1273" s="70">
        <v>20</v>
      </c>
      <c r="G1273" s="67"/>
      <c r="H1273" s="71"/>
      <c r="I1273" s="72"/>
      <c r="J1273" s="72"/>
      <c r="K1273" s="34" t="s">
        <v>65</v>
      </c>
      <c r="L1273" s="79">
        <v>1273</v>
      </c>
      <c r="M1273" s="79"/>
      <c r="N1273" s="74"/>
      <c r="O1273" s="81" t="s">
        <v>944</v>
      </c>
      <c r="P1273">
        <v>1</v>
      </c>
      <c r="Q1273" s="80" t="str">
        <f>REPLACE(INDEX(GroupVertices[Group],MATCH(Edges[[#This Row],[Vertex 1]],GroupVertices[Vertex],0)),1,1,"")</f>
        <v>3</v>
      </c>
      <c r="R1273" s="80" t="str">
        <f>REPLACE(INDEX(GroupVertices[Group],MATCH(Edges[[#This Row],[Vertex 2]],GroupVertices[Vertex],0)),1,1,"")</f>
        <v>1</v>
      </c>
      <c r="S1273" s="34"/>
      <c r="T1273" s="34"/>
      <c r="U1273" s="34"/>
      <c r="V1273" s="34"/>
      <c r="W1273" s="34"/>
      <c r="X1273" s="34"/>
      <c r="Y1273" s="34"/>
      <c r="Z1273" s="34"/>
      <c r="AA1273" s="34"/>
    </row>
    <row r="1274" spans="1:27" ht="15">
      <c r="A1274" s="66" t="s">
        <v>228</v>
      </c>
      <c r="B1274" s="66" t="s">
        <v>236</v>
      </c>
      <c r="C1274" s="67" t="s">
        <v>4454</v>
      </c>
      <c r="D1274" s="68">
        <v>5</v>
      </c>
      <c r="E1274" s="69"/>
      <c r="F1274" s="70">
        <v>20</v>
      </c>
      <c r="G1274" s="67"/>
      <c r="H1274" s="71"/>
      <c r="I1274" s="72"/>
      <c r="J1274" s="72"/>
      <c r="K1274" s="34" t="s">
        <v>65</v>
      </c>
      <c r="L1274" s="79">
        <v>1274</v>
      </c>
      <c r="M1274" s="79"/>
      <c r="N1274" s="74"/>
      <c r="O1274" s="81" t="s">
        <v>944</v>
      </c>
      <c r="P1274">
        <v>1</v>
      </c>
      <c r="Q1274" s="80" t="str">
        <f>REPLACE(INDEX(GroupVertices[Group],MATCH(Edges[[#This Row],[Vertex 1]],GroupVertices[Vertex],0)),1,1,"")</f>
        <v>3</v>
      </c>
      <c r="R1274" s="80" t="str">
        <f>REPLACE(INDEX(GroupVertices[Group],MATCH(Edges[[#This Row],[Vertex 2]],GroupVertices[Vertex],0)),1,1,"")</f>
        <v>1</v>
      </c>
      <c r="S1274" s="34"/>
      <c r="T1274" s="34"/>
      <c r="U1274" s="34"/>
      <c r="V1274" s="34"/>
      <c r="W1274" s="34"/>
      <c r="X1274" s="34"/>
      <c r="Y1274" s="34"/>
      <c r="Z1274" s="34"/>
      <c r="AA1274" s="34"/>
    </row>
    <row r="1275" spans="1:27" ht="15">
      <c r="A1275" s="66" t="s">
        <v>228</v>
      </c>
      <c r="B1275" s="66" t="s">
        <v>812</v>
      </c>
      <c r="C1275" s="67" t="s">
        <v>4454</v>
      </c>
      <c r="D1275" s="68">
        <v>5</v>
      </c>
      <c r="E1275" s="69"/>
      <c r="F1275" s="70">
        <v>20</v>
      </c>
      <c r="G1275" s="67"/>
      <c r="H1275" s="71"/>
      <c r="I1275" s="72"/>
      <c r="J1275" s="72"/>
      <c r="K1275" s="34" t="s">
        <v>65</v>
      </c>
      <c r="L1275" s="79">
        <v>1275</v>
      </c>
      <c r="M1275" s="79"/>
      <c r="N1275" s="74"/>
      <c r="O1275" s="81" t="s">
        <v>944</v>
      </c>
      <c r="P1275">
        <v>1</v>
      </c>
      <c r="Q1275" s="80" t="str">
        <f>REPLACE(INDEX(GroupVertices[Group],MATCH(Edges[[#This Row],[Vertex 1]],GroupVertices[Vertex],0)),1,1,"")</f>
        <v>3</v>
      </c>
      <c r="R1275" s="80" t="str">
        <f>REPLACE(INDEX(GroupVertices[Group],MATCH(Edges[[#This Row],[Vertex 2]],GroupVertices[Vertex],0)),1,1,"")</f>
        <v>3</v>
      </c>
      <c r="S1275" s="34"/>
      <c r="T1275" s="34"/>
      <c r="U1275" s="34"/>
      <c r="V1275" s="34"/>
      <c r="W1275" s="34"/>
      <c r="X1275" s="34"/>
      <c r="Y1275" s="34"/>
      <c r="Z1275" s="34"/>
      <c r="AA1275" s="34"/>
    </row>
    <row r="1276" spans="1:27" ht="15">
      <c r="A1276" s="66" t="s">
        <v>228</v>
      </c>
      <c r="B1276" s="66" t="s">
        <v>249</v>
      </c>
      <c r="C1276" s="67" t="s">
        <v>4454</v>
      </c>
      <c r="D1276" s="68">
        <v>5</v>
      </c>
      <c r="E1276" s="69"/>
      <c r="F1276" s="70">
        <v>20</v>
      </c>
      <c r="G1276" s="67"/>
      <c r="H1276" s="71"/>
      <c r="I1276" s="72"/>
      <c r="J1276" s="72"/>
      <c r="K1276" s="34" t="s">
        <v>65</v>
      </c>
      <c r="L1276" s="79">
        <v>1276</v>
      </c>
      <c r="M1276" s="79"/>
      <c r="N1276" s="74"/>
      <c r="O1276" s="81" t="s">
        <v>944</v>
      </c>
      <c r="P1276">
        <v>1</v>
      </c>
      <c r="Q1276" s="80" t="str">
        <f>REPLACE(INDEX(GroupVertices[Group],MATCH(Edges[[#This Row],[Vertex 1]],GroupVertices[Vertex],0)),1,1,"")</f>
        <v>3</v>
      </c>
      <c r="R1276" s="80" t="str">
        <f>REPLACE(INDEX(GroupVertices[Group],MATCH(Edges[[#This Row],[Vertex 2]],GroupVertices[Vertex],0)),1,1,"")</f>
        <v>2</v>
      </c>
      <c r="S1276" s="34"/>
      <c r="T1276" s="34"/>
      <c r="U1276" s="34"/>
      <c r="V1276" s="34"/>
      <c r="W1276" s="34"/>
      <c r="X1276" s="34"/>
      <c r="Y1276" s="34"/>
      <c r="Z1276" s="34"/>
      <c r="AA1276" s="34"/>
    </row>
    <row r="1277" spans="1:27" ht="15">
      <c r="A1277" s="66" t="s">
        <v>228</v>
      </c>
      <c r="B1277" s="66" t="s">
        <v>243</v>
      </c>
      <c r="C1277" s="67" t="s">
        <v>4454</v>
      </c>
      <c r="D1277" s="68">
        <v>5</v>
      </c>
      <c r="E1277" s="69"/>
      <c r="F1277" s="70">
        <v>20</v>
      </c>
      <c r="G1277" s="67"/>
      <c r="H1277" s="71"/>
      <c r="I1277" s="72"/>
      <c r="J1277" s="72"/>
      <c r="K1277" s="34" t="s">
        <v>66</v>
      </c>
      <c r="L1277" s="79">
        <v>1277</v>
      </c>
      <c r="M1277" s="79"/>
      <c r="N1277" s="74"/>
      <c r="O1277" s="81" t="s">
        <v>944</v>
      </c>
      <c r="P1277">
        <v>1</v>
      </c>
      <c r="Q1277" s="80" t="str">
        <f>REPLACE(INDEX(GroupVertices[Group],MATCH(Edges[[#This Row],[Vertex 1]],GroupVertices[Vertex],0)),1,1,"")</f>
        <v>3</v>
      </c>
      <c r="R1277" s="80" t="str">
        <f>REPLACE(INDEX(GroupVertices[Group],MATCH(Edges[[#This Row],[Vertex 2]],GroupVertices[Vertex],0)),1,1,"")</f>
        <v>2</v>
      </c>
      <c r="S1277" s="34"/>
      <c r="T1277" s="34"/>
      <c r="U1277" s="34"/>
      <c r="V1277" s="34"/>
      <c r="W1277" s="34"/>
      <c r="X1277" s="34"/>
      <c r="Y1277" s="34"/>
      <c r="Z1277" s="34"/>
      <c r="AA1277" s="34"/>
    </row>
    <row r="1278" spans="1:27" ht="15">
      <c r="A1278" s="66" t="s">
        <v>228</v>
      </c>
      <c r="B1278" s="66" t="s">
        <v>235</v>
      </c>
      <c r="C1278" s="67" t="s">
        <v>4454</v>
      </c>
      <c r="D1278" s="68">
        <v>5</v>
      </c>
      <c r="E1278" s="69"/>
      <c r="F1278" s="70">
        <v>20</v>
      </c>
      <c r="G1278" s="67"/>
      <c r="H1278" s="71"/>
      <c r="I1278" s="72"/>
      <c r="J1278" s="72"/>
      <c r="K1278" s="34" t="s">
        <v>66</v>
      </c>
      <c r="L1278" s="79">
        <v>1278</v>
      </c>
      <c r="M1278" s="79"/>
      <c r="N1278" s="74"/>
      <c r="O1278" s="81" t="s">
        <v>944</v>
      </c>
      <c r="P1278">
        <v>1</v>
      </c>
      <c r="Q1278" s="80" t="str">
        <f>REPLACE(INDEX(GroupVertices[Group],MATCH(Edges[[#This Row],[Vertex 1]],GroupVertices[Vertex],0)),1,1,"")</f>
        <v>3</v>
      </c>
      <c r="R1278" s="80" t="str">
        <f>REPLACE(INDEX(GroupVertices[Group],MATCH(Edges[[#This Row],[Vertex 2]],GroupVertices[Vertex],0)),1,1,"")</f>
        <v>2</v>
      </c>
      <c r="S1278" s="34"/>
      <c r="T1278" s="34"/>
      <c r="U1278" s="34"/>
      <c r="V1278" s="34"/>
      <c r="W1278" s="34"/>
      <c r="X1278" s="34"/>
      <c r="Y1278" s="34"/>
      <c r="Z1278" s="34"/>
      <c r="AA1278" s="34"/>
    </row>
    <row r="1279" spans="1:27" ht="15">
      <c r="A1279" s="66" t="s">
        <v>228</v>
      </c>
      <c r="B1279" s="66" t="s">
        <v>223</v>
      </c>
      <c r="C1279" s="67" t="s">
        <v>4454</v>
      </c>
      <c r="D1279" s="68">
        <v>5</v>
      </c>
      <c r="E1279" s="69"/>
      <c r="F1279" s="70">
        <v>20</v>
      </c>
      <c r="G1279" s="67"/>
      <c r="H1279" s="71"/>
      <c r="I1279" s="72"/>
      <c r="J1279" s="72"/>
      <c r="K1279" s="34" t="s">
        <v>66</v>
      </c>
      <c r="L1279" s="79">
        <v>1279</v>
      </c>
      <c r="M1279" s="79"/>
      <c r="N1279" s="74"/>
      <c r="O1279" s="81" t="s">
        <v>944</v>
      </c>
      <c r="P1279">
        <v>1</v>
      </c>
      <c r="Q1279" s="80" t="str">
        <f>REPLACE(INDEX(GroupVertices[Group],MATCH(Edges[[#This Row],[Vertex 1]],GroupVertices[Vertex],0)),1,1,"")</f>
        <v>3</v>
      </c>
      <c r="R1279" s="80" t="str">
        <f>REPLACE(INDEX(GroupVertices[Group],MATCH(Edges[[#This Row],[Vertex 2]],GroupVertices[Vertex],0)),1,1,"")</f>
        <v>3</v>
      </c>
      <c r="S1279" s="34"/>
      <c r="T1279" s="34"/>
      <c r="U1279" s="34"/>
      <c r="V1279" s="34"/>
      <c r="W1279" s="34"/>
      <c r="X1279" s="34"/>
      <c r="Y1279" s="34"/>
      <c r="Z1279" s="34"/>
      <c r="AA1279" s="34"/>
    </row>
    <row r="1280" spans="1:27" ht="15">
      <c r="A1280" s="66" t="s">
        <v>228</v>
      </c>
      <c r="B1280" s="66" t="s">
        <v>220</v>
      </c>
      <c r="C1280" s="67" t="s">
        <v>4454</v>
      </c>
      <c r="D1280" s="68">
        <v>5</v>
      </c>
      <c r="E1280" s="69"/>
      <c r="F1280" s="70">
        <v>20</v>
      </c>
      <c r="G1280" s="67"/>
      <c r="H1280" s="71"/>
      <c r="I1280" s="72"/>
      <c r="J1280" s="72"/>
      <c r="K1280" s="34" t="s">
        <v>65</v>
      </c>
      <c r="L1280" s="79">
        <v>1280</v>
      </c>
      <c r="M1280" s="79"/>
      <c r="N1280" s="74"/>
      <c r="O1280" s="81" t="s">
        <v>944</v>
      </c>
      <c r="P1280">
        <v>1</v>
      </c>
      <c r="Q1280" s="80" t="str">
        <f>REPLACE(INDEX(GroupVertices[Group],MATCH(Edges[[#This Row],[Vertex 1]],GroupVertices[Vertex],0)),1,1,"")</f>
        <v>3</v>
      </c>
      <c r="R1280" s="80" t="str">
        <f>REPLACE(INDEX(GroupVertices[Group],MATCH(Edges[[#This Row],[Vertex 2]],GroupVertices[Vertex],0)),1,1,"")</f>
        <v>2</v>
      </c>
      <c r="S1280" s="34"/>
      <c r="T1280" s="34"/>
      <c r="U1280" s="34"/>
      <c r="V1280" s="34"/>
      <c r="W1280" s="34"/>
      <c r="X1280" s="34"/>
      <c r="Y1280" s="34"/>
      <c r="Z1280" s="34"/>
      <c r="AA1280" s="34"/>
    </row>
    <row r="1281" spans="1:27" ht="15">
      <c r="A1281" s="66" t="s">
        <v>228</v>
      </c>
      <c r="B1281" s="66" t="s">
        <v>510</v>
      </c>
      <c r="C1281" s="67" t="s">
        <v>4454</v>
      </c>
      <c r="D1281" s="68">
        <v>5</v>
      </c>
      <c r="E1281" s="69"/>
      <c r="F1281" s="70">
        <v>20</v>
      </c>
      <c r="G1281" s="67"/>
      <c r="H1281" s="71"/>
      <c r="I1281" s="72"/>
      <c r="J1281" s="72"/>
      <c r="K1281" s="34" t="s">
        <v>65</v>
      </c>
      <c r="L1281" s="79">
        <v>1281</v>
      </c>
      <c r="M1281" s="79"/>
      <c r="N1281" s="74"/>
      <c r="O1281" s="81" t="s">
        <v>944</v>
      </c>
      <c r="P1281">
        <v>1</v>
      </c>
      <c r="Q1281" s="80" t="str">
        <f>REPLACE(INDEX(GroupVertices[Group],MATCH(Edges[[#This Row],[Vertex 1]],GroupVertices[Vertex],0)),1,1,"")</f>
        <v>3</v>
      </c>
      <c r="R1281" s="80" t="str">
        <f>REPLACE(INDEX(GroupVertices[Group],MATCH(Edges[[#This Row],[Vertex 2]],GroupVertices[Vertex],0)),1,1,"")</f>
        <v>2</v>
      </c>
      <c r="S1281" s="34"/>
      <c r="T1281" s="34"/>
      <c r="U1281" s="34"/>
      <c r="V1281" s="34"/>
      <c r="W1281" s="34"/>
      <c r="X1281" s="34"/>
      <c r="Y1281" s="34"/>
      <c r="Z1281" s="34"/>
      <c r="AA1281" s="34"/>
    </row>
    <row r="1282" spans="1:27" ht="15">
      <c r="A1282" s="66" t="s">
        <v>228</v>
      </c>
      <c r="B1282" s="66" t="s">
        <v>850</v>
      </c>
      <c r="C1282" s="67" t="s">
        <v>4454</v>
      </c>
      <c r="D1282" s="68">
        <v>5</v>
      </c>
      <c r="E1282" s="69"/>
      <c r="F1282" s="70">
        <v>20</v>
      </c>
      <c r="G1282" s="67"/>
      <c r="H1282" s="71"/>
      <c r="I1282" s="72"/>
      <c r="J1282" s="72"/>
      <c r="K1282" s="34" t="s">
        <v>65</v>
      </c>
      <c r="L1282" s="79">
        <v>1282</v>
      </c>
      <c r="M1282" s="79"/>
      <c r="N1282" s="74"/>
      <c r="O1282" s="81" t="s">
        <v>944</v>
      </c>
      <c r="P1282">
        <v>1</v>
      </c>
      <c r="Q1282" s="80" t="str">
        <f>REPLACE(INDEX(GroupVertices[Group],MATCH(Edges[[#This Row],[Vertex 1]],GroupVertices[Vertex],0)),1,1,"")</f>
        <v>3</v>
      </c>
      <c r="R1282" s="80" t="str">
        <f>REPLACE(INDEX(GroupVertices[Group],MATCH(Edges[[#This Row],[Vertex 2]],GroupVertices[Vertex],0)),1,1,"")</f>
        <v>3</v>
      </c>
      <c r="S1282" s="34"/>
      <c r="T1282" s="34"/>
      <c r="U1282" s="34"/>
      <c r="V1282" s="34"/>
      <c r="W1282" s="34"/>
      <c r="X1282" s="34"/>
      <c r="Y1282" s="34"/>
      <c r="Z1282" s="34"/>
      <c r="AA1282" s="34"/>
    </row>
    <row r="1283" spans="1:27" ht="15">
      <c r="A1283" s="66" t="s">
        <v>228</v>
      </c>
      <c r="B1283" s="66" t="s">
        <v>253</v>
      </c>
      <c r="C1283" s="67" t="s">
        <v>4454</v>
      </c>
      <c r="D1283" s="68">
        <v>5</v>
      </c>
      <c r="E1283" s="69"/>
      <c r="F1283" s="70">
        <v>20</v>
      </c>
      <c r="G1283" s="67"/>
      <c r="H1283" s="71"/>
      <c r="I1283" s="72"/>
      <c r="J1283" s="72"/>
      <c r="K1283" s="34" t="s">
        <v>65</v>
      </c>
      <c r="L1283" s="79">
        <v>1283</v>
      </c>
      <c r="M1283" s="79"/>
      <c r="N1283" s="74"/>
      <c r="O1283" s="81" t="s">
        <v>944</v>
      </c>
      <c r="P1283">
        <v>1</v>
      </c>
      <c r="Q1283" s="80" t="str">
        <f>REPLACE(INDEX(GroupVertices[Group],MATCH(Edges[[#This Row],[Vertex 1]],GroupVertices[Vertex],0)),1,1,"")</f>
        <v>3</v>
      </c>
      <c r="R1283" s="80" t="str">
        <f>REPLACE(INDEX(GroupVertices[Group],MATCH(Edges[[#This Row],[Vertex 2]],GroupVertices[Vertex],0)),1,1,"")</f>
        <v>1</v>
      </c>
      <c r="S1283" s="34"/>
      <c r="T1283" s="34"/>
      <c r="U1283" s="34"/>
      <c r="V1283" s="34"/>
      <c r="W1283" s="34"/>
      <c r="X1283" s="34"/>
      <c r="Y1283" s="34"/>
      <c r="Z1283" s="34"/>
      <c r="AA1283" s="34"/>
    </row>
    <row r="1284" spans="1:27" ht="15">
      <c r="A1284" s="66" t="s">
        <v>228</v>
      </c>
      <c r="B1284" s="66" t="s">
        <v>250</v>
      </c>
      <c r="C1284" s="67" t="s">
        <v>4454</v>
      </c>
      <c r="D1284" s="68">
        <v>5</v>
      </c>
      <c r="E1284" s="69"/>
      <c r="F1284" s="70">
        <v>20</v>
      </c>
      <c r="G1284" s="67"/>
      <c r="H1284" s="71"/>
      <c r="I1284" s="72"/>
      <c r="J1284" s="72"/>
      <c r="K1284" s="34" t="s">
        <v>66</v>
      </c>
      <c r="L1284" s="79">
        <v>1284</v>
      </c>
      <c r="M1284" s="79"/>
      <c r="N1284" s="74"/>
      <c r="O1284" s="81" t="s">
        <v>944</v>
      </c>
      <c r="P1284">
        <v>1</v>
      </c>
      <c r="Q1284" s="80" t="str">
        <f>REPLACE(INDEX(GroupVertices[Group],MATCH(Edges[[#This Row],[Vertex 1]],GroupVertices[Vertex],0)),1,1,"")</f>
        <v>3</v>
      </c>
      <c r="R1284" s="80" t="str">
        <f>REPLACE(INDEX(GroupVertices[Group],MATCH(Edges[[#This Row],[Vertex 2]],GroupVertices[Vertex],0)),1,1,"")</f>
        <v>2</v>
      </c>
      <c r="S1284" s="34"/>
      <c r="T1284" s="34"/>
      <c r="U1284" s="34"/>
      <c r="V1284" s="34"/>
      <c r="W1284" s="34"/>
      <c r="X1284" s="34"/>
      <c r="Y1284" s="34"/>
      <c r="Z1284" s="34"/>
      <c r="AA1284" s="34"/>
    </row>
    <row r="1285" spans="1:27" ht="15">
      <c r="A1285" s="66" t="s">
        <v>228</v>
      </c>
      <c r="B1285" s="66" t="s">
        <v>215</v>
      </c>
      <c r="C1285" s="67" t="s">
        <v>4454</v>
      </c>
      <c r="D1285" s="68">
        <v>5</v>
      </c>
      <c r="E1285" s="69"/>
      <c r="F1285" s="70">
        <v>20</v>
      </c>
      <c r="G1285" s="67"/>
      <c r="H1285" s="71"/>
      <c r="I1285" s="72"/>
      <c r="J1285" s="72"/>
      <c r="K1285" s="34" t="s">
        <v>66</v>
      </c>
      <c r="L1285" s="79">
        <v>1285</v>
      </c>
      <c r="M1285" s="79"/>
      <c r="N1285" s="74"/>
      <c r="O1285" s="81" t="s">
        <v>944</v>
      </c>
      <c r="P1285">
        <v>1</v>
      </c>
      <c r="Q1285" s="80" t="str">
        <f>REPLACE(INDEX(GroupVertices[Group],MATCH(Edges[[#This Row],[Vertex 1]],GroupVertices[Vertex],0)),1,1,"")</f>
        <v>3</v>
      </c>
      <c r="R1285" s="80" t="str">
        <f>REPLACE(INDEX(GroupVertices[Group],MATCH(Edges[[#This Row],[Vertex 2]],GroupVertices[Vertex],0)),1,1,"")</f>
        <v>3</v>
      </c>
      <c r="S1285" s="34"/>
      <c r="T1285" s="34"/>
      <c r="U1285" s="34"/>
      <c r="V1285" s="34"/>
      <c r="W1285" s="34"/>
      <c r="X1285" s="34"/>
      <c r="Y1285" s="34"/>
      <c r="Z1285" s="34"/>
      <c r="AA1285" s="34"/>
    </row>
    <row r="1286" spans="1:27" ht="15">
      <c r="A1286" s="66" t="s">
        <v>228</v>
      </c>
      <c r="B1286" s="66" t="s">
        <v>239</v>
      </c>
      <c r="C1286" s="67" t="s">
        <v>4454</v>
      </c>
      <c r="D1286" s="68">
        <v>5</v>
      </c>
      <c r="E1286" s="69"/>
      <c r="F1286" s="70">
        <v>20</v>
      </c>
      <c r="G1286" s="67"/>
      <c r="H1286" s="71"/>
      <c r="I1286" s="72"/>
      <c r="J1286" s="72"/>
      <c r="K1286" s="34" t="s">
        <v>66</v>
      </c>
      <c r="L1286" s="79">
        <v>1286</v>
      </c>
      <c r="M1286" s="79"/>
      <c r="N1286" s="74"/>
      <c r="O1286" s="81" t="s">
        <v>944</v>
      </c>
      <c r="P1286">
        <v>1</v>
      </c>
      <c r="Q1286" s="80" t="str">
        <f>REPLACE(INDEX(GroupVertices[Group],MATCH(Edges[[#This Row],[Vertex 1]],GroupVertices[Vertex],0)),1,1,"")</f>
        <v>3</v>
      </c>
      <c r="R1286" s="80" t="str">
        <f>REPLACE(INDEX(GroupVertices[Group],MATCH(Edges[[#This Row],[Vertex 2]],GroupVertices[Vertex],0)),1,1,"")</f>
        <v>3</v>
      </c>
      <c r="S1286" s="34"/>
      <c r="T1286" s="34"/>
      <c r="U1286" s="34"/>
      <c r="V1286" s="34"/>
      <c r="W1286" s="34"/>
      <c r="X1286" s="34"/>
      <c r="Y1286" s="34"/>
      <c r="Z1286" s="34"/>
      <c r="AA1286" s="34"/>
    </row>
    <row r="1287" spans="1:27" ht="15">
      <c r="A1287" s="66" t="s">
        <v>228</v>
      </c>
      <c r="B1287" s="66" t="s">
        <v>259</v>
      </c>
      <c r="C1287" s="67" t="s">
        <v>4454</v>
      </c>
      <c r="D1287" s="68">
        <v>5</v>
      </c>
      <c r="E1287" s="69"/>
      <c r="F1287" s="70">
        <v>20</v>
      </c>
      <c r="G1287" s="67"/>
      <c r="H1287" s="71"/>
      <c r="I1287" s="72"/>
      <c r="J1287" s="72"/>
      <c r="K1287" s="34" t="s">
        <v>65</v>
      </c>
      <c r="L1287" s="79">
        <v>1287</v>
      </c>
      <c r="M1287" s="79"/>
      <c r="N1287" s="74"/>
      <c r="O1287" s="81" t="s">
        <v>944</v>
      </c>
      <c r="P1287">
        <v>1</v>
      </c>
      <c r="Q1287" s="80" t="str">
        <f>REPLACE(INDEX(GroupVertices[Group],MATCH(Edges[[#This Row],[Vertex 1]],GroupVertices[Vertex],0)),1,1,"")</f>
        <v>3</v>
      </c>
      <c r="R1287" s="80" t="str">
        <f>REPLACE(INDEX(GroupVertices[Group],MATCH(Edges[[#This Row],[Vertex 2]],GroupVertices[Vertex],0)),1,1,"")</f>
        <v>2</v>
      </c>
      <c r="S1287" s="34"/>
      <c r="T1287" s="34"/>
      <c r="U1287" s="34"/>
      <c r="V1287" s="34"/>
      <c r="W1287" s="34"/>
      <c r="X1287" s="34"/>
      <c r="Y1287" s="34"/>
      <c r="Z1287" s="34"/>
      <c r="AA1287" s="34"/>
    </row>
    <row r="1288" spans="1:27" ht="15">
      <c r="A1288" s="66" t="s">
        <v>228</v>
      </c>
      <c r="B1288" s="66" t="s">
        <v>254</v>
      </c>
      <c r="C1288" s="67" t="s">
        <v>4454</v>
      </c>
      <c r="D1288" s="68">
        <v>5</v>
      </c>
      <c r="E1288" s="69"/>
      <c r="F1288" s="70">
        <v>20</v>
      </c>
      <c r="G1288" s="67"/>
      <c r="H1288" s="71"/>
      <c r="I1288" s="72"/>
      <c r="J1288" s="72"/>
      <c r="K1288" s="34" t="s">
        <v>65</v>
      </c>
      <c r="L1288" s="79">
        <v>1288</v>
      </c>
      <c r="M1288" s="79"/>
      <c r="N1288" s="74"/>
      <c r="O1288" s="81" t="s">
        <v>944</v>
      </c>
      <c r="P1288">
        <v>1</v>
      </c>
      <c r="Q1288" s="80" t="str">
        <f>REPLACE(INDEX(GroupVertices[Group],MATCH(Edges[[#This Row],[Vertex 1]],GroupVertices[Vertex],0)),1,1,"")</f>
        <v>3</v>
      </c>
      <c r="R1288" s="80" t="str">
        <f>REPLACE(INDEX(GroupVertices[Group],MATCH(Edges[[#This Row],[Vertex 2]],GroupVertices[Vertex],0)),1,1,"")</f>
        <v>3</v>
      </c>
      <c r="S1288" s="34"/>
      <c r="T1288" s="34"/>
      <c r="U1288" s="34"/>
      <c r="V1288" s="34"/>
      <c r="W1288" s="34"/>
      <c r="X1288" s="34"/>
      <c r="Y1288" s="34"/>
      <c r="Z1288" s="34"/>
      <c r="AA1288" s="34"/>
    </row>
    <row r="1289" spans="1:27" ht="15">
      <c r="A1289" s="66" t="s">
        <v>233</v>
      </c>
      <c r="B1289" s="66" t="s">
        <v>228</v>
      </c>
      <c r="C1289" s="67" t="s">
        <v>4454</v>
      </c>
      <c r="D1289" s="68">
        <v>5</v>
      </c>
      <c r="E1289" s="69"/>
      <c r="F1289" s="70">
        <v>20</v>
      </c>
      <c r="G1289" s="67"/>
      <c r="H1289" s="71"/>
      <c r="I1289" s="72"/>
      <c r="J1289" s="72"/>
      <c r="K1289" s="34" t="s">
        <v>65</v>
      </c>
      <c r="L1289" s="79">
        <v>1289</v>
      </c>
      <c r="M1289" s="79"/>
      <c r="N1289" s="74"/>
      <c r="O1289" s="81" t="s">
        <v>944</v>
      </c>
      <c r="P1289">
        <v>1</v>
      </c>
      <c r="Q1289" s="80" t="str">
        <f>REPLACE(INDEX(GroupVertices[Group],MATCH(Edges[[#This Row],[Vertex 1]],GroupVertices[Vertex],0)),1,1,"")</f>
        <v>2</v>
      </c>
      <c r="R1289" s="80" t="str">
        <f>REPLACE(INDEX(GroupVertices[Group],MATCH(Edges[[#This Row],[Vertex 2]],GroupVertices[Vertex],0)),1,1,"")</f>
        <v>3</v>
      </c>
      <c r="S1289" s="34"/>
      <c r="T1289" s="34"/>
      <c r="U1289" s="34"/>
      <c r="V1289" s="34"/>
      <c r="W1289" s="34"/>
      <c r="X1289" s="34"/>
      <c r="Y1289" s="34"/>
      <c r="Z1289" s="34"/>
      <c r="AA1289" s="34"/>
    </row>
    <row r="1290" spans="1:27" ht="15">
      <c r="A1290" s="66" t="s">
        <v>235</v>
      </c>
      <c r="B1290" s="66" t="s">
        <v>228</v>
      </c>
      <c r="C1290" s="67" t="s">
        <v>4454</v>
      </c>
      <c r="D1290" s="68">
        <v>5</v>
      </c>
      <c r="E1290" s="69"/>
      <c r="F1290" s="70">
        <v>20</v>
      </c>
      <c r="G1290" s="67"/>
      <c r="H1290" s="71"/>
      <c r="I1290" s="72"/>
      <c r="J1290" s="72"/>
      <c r="K1290" s="34" t="s">
        <v>66</v>
      </c>
      <c r="L1290" s="79">
        <v>1290</v>
      </c>
      <c r="M1290" s="79"/>
      <c r="N1290" s="74"/>
      <c r="O1290" s="81" t="s">
        <v>944</v>
      </c>
      <c r="P1290">
        <v>1</v>
      </c>
      <c r="Q1290" s="80" t="str">
        <f>REPLACE(INDEX(GroupVertices[Group],MATCH(Edges[[#This Row],[Vertex 1]],GroupVertices[Vertex],0)),1,1,"")</f>
        <v>2</v>
      </c>
      <c r="R1290" s="80" t="str">
        <f>REPLACE(INDEX(GroupVertices[Group],MATCH(Edges[[#This Row],[Vertex 2]],GroupVertices[Vertex],0)),1,1,"")</f>
        <v>3</v>
      </c>
      <c r="S1290" s="34"/>
      <c r="T1290" s="34"/>
      <c r="U1290" s="34"/>
      <c r="V1290" s="34"/>
      <c r="W1290" s="34"/>
      <c r="X1290" s="34"/>
      <c r="Y1290" s="34"/>
      <c r="Z1290" s="34"/>
      <c r="AA1290" s="34"/>
    </row>
    <row r="1291" spans="1:27" ht="15">
      <c r="A1291" s="66" t="s">
        <v>239</v>
      </c>
      <c r="B1291" s="66" t="s">
        <v>228</v>
      </c>
      <c r="C1291" s="67" t="s">
        <v>4454</v>
      </c>
      <c r="D1291" s="68">
        <v>5</v>
      </c>
      <c r="E1291" s="69"/>
      <c r="F1291" s="70">
        <v>20</v>
      </c>
      <c r="G1291" s="67"/>
      <c r="H1291" s="71"/>
      <c r="I1291" s="72"/>
      <c r="J1291" s="72"/>
      <c r="K1291" s="34" t="s">
        <v>66</v>
      </c>
      <c r="L1291" s="79">
        <v>1291</v>
      </c>
      <c r="M1291" s="79"/>
      <c r="N1291" s="74"/>
      <c r="O1291" s="81" t="s">
        <v>944</v>
      </c>
      <c r="P1291">
        <v>1</v>
      </c>
      <c r="Q1291" s="80" t="str">
        <f>REPLACE(INDEX(GroupVertices[Group],MATCH(Edges[[#This Row],[Vertex 1]],GroupVertices[Vertex],0)),1,1,"")</f>
        <v>3</v>
      </c>
      <c r="R1291" s="80" t="str">
        <f>REPLACE(INDEX(GroupVertices[Group],MATCH(Edges[[#This Row],[Vertex 2]],GroupVertices[Vertex],0)),1,1,"")</f>
        <v>3</v>
      </c>
      <c r="S1291" s="34"/>
      <c r="T1291" s="34"/>
      <c r="U1291" s="34"/>
      <c r="V1291" s="34"/>
      <c r="W1291" s="34"/>
      <c r="X1291" s="34"/>
      <c r="Y1291" s="34"/>
      <c r="Z1291" s="34"/>
      <c r="AA1291" s="34"/>
    </row>
    <row r="1292" spans="1:27" ht="15">
      <c r="A1292" s="66" t="s">
        <v>240</v>
      </c>
      <c r="B1292" s="66" t="s">
        <v>228</v>
      </c>
      <c r="C1292" s="67" t="s">
        <v>4454</v>
      </c>
      <c r="D1292" s="68">
        <v>5</v>
      </c>
      <c r="E1292" s="69"/>
      <c r="F1292" s="70">
        <v>20</v>
      </c>
      <c r="G1292" s="67"/>
      <c r="H1292" s="71"/>
      <c r="I1292" s="72"/>
      <c r="J1292" s="72"/>
      <c r="K1292" s="34" t="s">
        <v>66</v>
      </c>
      <c r="L1292" s="79">
        <v>1292</v>
      </c>
      <c r="M1292" s="79"/>
      <c r="N1292" s="74"/>
      <c r="O1292" s="81" t="s">
        <v>944</v>
      </c>
      <c r="P1292">
        <v>1</v>
      </c>
      <c r="Q1292" s="80" t="str">
        <f>REPLACE(INDEX(GroupVertices[Group],MATCH(Edges[[#This Row],[Vertex 1]],GroupVertices[Vertex],0)),1,1,"")</f>
        <v>2</v>
      </c>
      <c r="R1292" s="80" t="str">
        <f>REPLACE(INDEX(GroupVertices[Group],MATCH(Edges[[#This Row],[Vertex 2]],GroupVertices[Vertex],0)),1,1,"")</f>
        <v>3</v>
      </c>
      <c r="S1292" s="34"/>
      <c r="T1292" s="34"/>
      <c r="U1292" s="34"/>
      <c r="V1292" s="34"/>
      <c r="W1292" s="34"/>
      <c r="X1292" s="34"/>
      <c r="Y1292" s="34"/>
      <c r="Z1292" s="34"/>
      <c r="AA1292" s="34"/>
    </row>
    <row r="1293" spans="1:27" ht="15">
      <c r="A1293" s="66" t="s">
        <v>241</v>
      </c>
      <c r="B1293" s="66" t="s">
        <v>228</v>
      </c>
      <c r="C1293" s="67" t="s">
        <v>4454</v>
      </c>
      <c r="D1293" s="68">
        <v>5</v>
      </c>
      <c r="E1293" s="69"/>
      <c r="F1293" s="70">
        <v>20</v>
      </c>
      <c r="G1293" s="67"/>
      <c r="H1293" s="71"/>
      <c r="I1293" s="72"/>
      <c r="J1293" s="72"/>
      <c r="K1293" s="34" t="s">
        <v>66</v>
      </c>
      <c r="L1293" s="79">
        <v>1293</v>
      </c>
      <c r="M1293" s="79"/>
      <c r="N1293" s="74"/>
      <c r="O1293" s="81" t="s">
        <v>944</v>
      </c>
      <c r="P1293">
        <v>1</v>
      </c>
      <c r="Q1293" s="80" t="str">
        <f>REPLACE(INDEX(GroupVertices[Group],MATCH(Edges[[#This Row],[Vertex 1]],GroupVertices[Vertex],0)),1,1,"")</f>
        <v>2</v>
      </c>
      <c r="R1293" s="80" t="str">
        <f>REPLACE(INDEX(GroupVertices[Group],MATCH(Edges[[#This Row],[Vertex 2]],GroupVertices[Vertex],0)),1,1,"")</f>
        <v>3</v>
      </c>
      <c r="S1293" s="34"/>
      <c r="T1293" s="34"/>
      <c r="U1293" s="34"/>
      <c r="V1293" s="34"/>
      <c r="W1293" s="34"/>
      <c r="X1293" s="34"/>
      <c r="Y1293" s="34"/>
      <c r="Z1293" s="34"/>
      <c r="AA1293" s="34"/>
    </row>
    <row r="1294" spans="1:27" ht="15">
      <c r="A1294" s="66" t="s">
        <v>243</v>
      </c>
      <c r="B1294" s="66" t="s">
        <v>228</v>
      </c>
      <c r="C1294" s="67" t="s">
        <v>4454</v>
      </c>
      <c r="D1294" s="68">
        <v>5</v>
      </c>
      <c r="E1294" s="69"/>
      <c r="F1294" s="70">
        <v>20</v>
      </c>
      <c r="G1294" s="67"/>
      <c r="H1294" s="71"/>
      <c r="I1294" s="72"/>
      <c r="J1294" s="72"/>
      <c r="K1294" s="34" t="s">
        <v>66</v>
      </c>
      <c r="L1294" s="79">
        <v>1294</v>
      </c>
      <c r="M1294" s="79"/>
      <c r="N1294" s="74"/>
      <c r="O1294" s="81" t="s">
        <v>944</v>
      </c>
      <c r="P1294">
        <v>1</v>
      </c>
      <c r="Q1294" s="80" t="str">
        <f>REPLACE(INDEX(GroupVertices[Group],MATCH(Edges[[#This Row],[Vertex 1]],GroupVertices[Vertex],0)),1,1,"")</f>
        <v>2</v>
      </c>
      <c r="R1294" s="80" t="str">
        <f>REPLACE(INDEX(GroupVertices[Group],MATCH(Edges[[#This Row],[Vertex 2]],GroupVertices[Vertex],0)),1,1,"")</f>
        <v>3</v>
      </c>
      <c r="S1294" s="34"/>
      <c r="T1294" s="34"/>
      <c r="U1294" s="34"/>
      <c r="V1294" s="34"/>
      <c r="W1294" s="34"/>
      <c r="X1294" s="34"/>
      <c r="Y1294" s="34"/>
      <c r="Z1294" s="34"/>
      <c r="AA1294" s="34"/>
    </row>
    <row r="1295" spans="1:27" ht="15">
      <c r="A1295" s="66" t="s">
        <v>246</v>
      </c>
      <c r="B1295" s="66" t="s">
        <v>228</v>
      </c>
      <c r="C1295" s="67" t="s">
        <v>4454</v>
      </c>
      <c r="D1295" s="68">
        <v>5</v>
      </c>
      <c r="E1295" s="69"/>
      <c r="F1295" s="70">
        <v>20</v>
      </c>
      <c r="G1295" s="67"/>
      <c r="H1295" s="71"/>
      <c r="I1295" s="72"/>
      <c r="J1295" s="72"/>
      <c r="K1295" s="34" t="s">
        <v>66</v>
      </c>
      <c r="L1295" s="79">
        <v>1295</v>
      </c>
      <c r="M1295" s="79"/>
      <c r="N1295" s="74"/>
      <c r="O1295" s="81" t="s">
        <v>944</v>
      </c>
      <c r="P1295">
        <v>1</v>
      </c>
      <c r="Q1295" s="80" t="str">
        <f>REPLACE(INDEX(GroupVertices[Group],MATCH(Edges[[#This Row],[Vertex 1]],GroupVertices[Vertex],0)),1,1,"")</f>
        <v>2</v>
      </c>
      <c r="R1295" s="80" t="str">
        <f>REPLACE(INDEX(GroupVertices[Group],MATCH(Edges[[#This Row],[Vertex 2]],GroupVertices[Vertex],0)),1,1,"")</f>
        <v>3</v>
      </c>
      <c r="S1295" s="34"/>
      <c r="T1295" s="34"/>
      <c r="U1295" s="34"/>
      <c r="V1295" s="34"/>
      <c r="W1295" s="34"/>
      <c r="X1295" s="34"/>
      <c r="Y1295" s="34"/>
      <c r="Z1295" s="34"/>
      <c r="AA1295" s="34"/>
    </row>
    <row r="1296" spans="1:27" ht="15">
      <c r="A1296" s="66" t="s">
        <v>250</v>
      </c>
      <c r="B1296" s="66" t="s">
        <v>228</v>
      </c>
      <c r="C1296" s="67" t="s">
        <v>4454</v>
      </c>
      <c r="D1296" s="68">
        <v>5</v>
      </c>
      <c r="E1296" s="69"/>
      <c r="F1296" s="70">
        <v>20</v>
      </c>
      <c r="G1296" s="67"/>
      <c r="H1296" s="71"/>
      <c r="I1296" s="72"/>
      <c r="J1296" s="72"/>
      <c r="K1296" s="34" t="s">
        <v>66</v>
      </c>
      <c r="L1296" s="79">
        <v>1296</v>
      </c>
      <c r="M1296" s="79"/>
      <c r="N1296" s="74"/>
      <c r="O1296" s="81" t="s">
        <v>944</v>
      </c>
      <c r="P1296">
        <v>1</v>
      </c>
      <c r="Q1296" s="80" t="str">
        <f>REPLACE(INDEX(GroupVertices[Group],MATCH(Edges[[#This Row],[Vertex 1]],GroupVertices[Vertex],0)),1,1,"")</f>
        <v>2</v>
      </c>
      <c r="R1296" s="80" t="str">
        <f>REPLACE(INDEX(GroupVertices[Group],MATCH(Edges[[#This Row],[Vertex 2]],GroupVertices[Vertex],0)),1,1,"")</f>
        <v>3</v>
      </c>
      <c r="S1296" s="34"/>
      <c r="T1296" s="34"/>
      <c r="U1296" s="34"/>
      <c r="V1296" s="34"/>
      <c r="W1296" s="34"/>
      <c r="X1296" s="34"/>
      <c r="Y1296" s="34"/>
      <c r="Z1296" s="34"/>
      <c r="AA1296" s="34"/>
    </row>
    <row r="1297" spans="1:27" ht="15">
      <c r="A1297" s="66" t="s">
        <v>256</v>
      </c>
      <c r="B1297" s="66" t="s">
        <v>228</v>
      </c>
      <c r="C1297" s="67" t="s">
        <v>4454</v>
      </c>
      <c r="D1297" s="68">
        <v>5</v>
      </c>
      <c r="E1297" s="69"/>
      <c r="F1297" s="70">
        <v>20</v>
      </c>
      <c r="G1297" s="67"/>
      <c r="H1297" s="71"/>
      <c r="I1297" s="72"/>
      <c r="J1297" s="72"/>
      <c r="K1297" s="34" t="s">
        <v>66</v>
      </c>
      <c r="L1297" s="79">
        <v>1297</v>
      </c>
      <c r="M1297" s="79"/>
      <c r="N1297" s="74"/>
      <c r="O1297" s="81" t="s">
        <v>944</v>
      </c>
      <c r="P1297">
        <v>1</v>
      </c>
      <c r="Q1297" s="80" t="str">
        <f>REPLACE(INDEX(GroupVertices[Group],MATCH(Edges[[#This Row],[Vertex 1]],GroupVertices[Vertex],0)),1,1,"")</f>
        <v>1</v>
      </c>
      <c r="R1297" s="80" t="str">
        <f>REPLACE(INDEX(GroupVertices[Group],MATCH(Edges[[#This Row],[Vertex 2]],GroupVertices[Vertex],0)),1,1,"")</f>
        <v>3</v>
      </c>
      <c r="S1297" s="34"/>
      <c r="T1297" s="34"/>
      <c r="U1297" s="34"/>
      <c r="V1297" s="34"/>
      <c r="W1297" s="34"/>
      <c r="X1297" s="34"/>
      <c r="Y1297" s="34"/>
      <c r="Z1297" s="34"/>
      <c r="AA1297" s="34"/>
    </row>
    <row r="1298" spans="1:27" ht="15">
      <c r="A1298" s="66" t="s">
        <v>257</v>
      </c>
      <c r="B1298" s="66" t="s">
        <v>228</v>
      </c>
      <c r="C1298" s="67" t="s">
        <v>4454</v>
      </c>
      <c r="D1298" s="68">
        <v>5</v>
      </c>
      <c r="E1298" s="69"/>
      <c r="F1298" s="70">
        <v>20</v>
      </c>
      <c r="G1298" s="67"/>
      <c r="H1298" s="71"/>
      <c r="I1298" s="72"/>
      <c r="J1298" s="72"/>
      <c r="K1298" s="34" t="s">
        <v>66</v>
      </c>
      <c r="L1298" s="79">
        <v>1298</v>
      </c>
      <c r="M1298" s="79"/>
      <c r="N1298" s="74"/>
      <c r="O1298" s="81" t="s">
        <v>944</v>
      </c>
      <c r="P1298">
        <v>1</v>
      </c>
      <c r="Q1298" s="80" t="str">
        <f>REPLACE(INDEX(GroupVertices[Group],MATCH(Edges[[#This Row],[Vertex 1]],GroupVertices[Vertex],0)),1,1,"")</f>
        <v>2</v>
      </c>
      <c r="R1298" s="80" t="str">
        <f>REPLACE(INDEX(GroupVertices[Group],MATCH(Edges[[#This Row],[Vertex 2]],GroupVertices[Vertex],0)),1,1,"")</f>
        <v>3</v>
      </c>
      <c r="S1298" s="34"/>
      <c r="T1298" s="34"/>
      <c r="U1298" s="34"/>
      <c r="V1298" s="34"/>
      <c r="W1298" s="34"/>
      <c r="X1298" s="34"/>
      <c r="Y1298" s="34"/>
      <c r="Z1298" s="34"/>
      <c r="AA1298" s="34"/>
    </row>
    <row r="1299" spans="1:27" ht="15">
      <c r="A1299" s="66" t="s">
        <v>257</v>
      </c>
      <c r="B1299" s="66" t="s">
        <v>874</v>
      </c>
      <c r="C1299" s="67" t="s">
        <v>4454</v>
      </c>
      <c r="D1299" s="68">
        <v>5</v>
      </c>
      <c r="E1299" s="69"/>
      <c r="F1299" s="70">
        <v>20</v>
      </c>
      <c r="G1299" s="67"/>
      <c r="H1299" s="71"/>
      <c r="I1299" s="72"/>
      <c r="J1299" s="72"/>
      <c r="K1299" s="34"/>
      <c r="L1299" s="79">
        <v>1299</v>
      </c>
      <c r="M1299" s="79"/>
      <c r="N1299" s="74"/>
      <c r="O1299" s="81" t="s">
        <v>944</v>
      </c>
      <c r="P1299">
        <v>1</v>
      </c>
      <c r="Q1299" s="80" t="str">
        <f>REPLACE(INDEX(GroupVertices[Group],MATCH(Edges[[#This Row],[Vertex 1]],GroupVertices[Vertex],0)),1,1,"")</f>
        <v>2</v>
      </c>
      <c r="R1299" s="80" t="e">
        <f>REPLACE(INDEX(GroupVertices[Group],MATCH(Edges[[#This Row],[Vertex 2]],GroupVertices[Vertex],0)),1,1,"")</f>
        <v>#N/A</v>
      </c>
      <c r="S1299" s="34"/>
      <c r="T1299" s="34"/>
      <c r="U1299" s="34"/>
      <c r="V1299" s="34"/>
      <c r="W1299" s="34"/>
      <c r="X1299" s="34"/>
      <c r="Y1299" s="34"/>
      <c r="Z1299" s="34"/>
      <c r="AA1299" s="34"/>
    </row>
    <row r="1300" spans="1:27" ht="15">
      <c r="A1300" s="66" t="s">
        <v>242</v>
      </c>
      <c r="B1300" s="66" t="s">
        <v>605</v>
      </c>
      <c r="C1300" s="67" t="s">
        <v>4454</v>
      </c>
      <c r="D1300" s="68">
        <v>5</v>
      </c>
      <c r="E1300" s="69"/>
      <c r="F1300" s="70">
        <v>20</v>
      </c>
      <c r="G1300" s="67"/>
      <c r="H1300" s="71"/>
      <c r="I1300" s="72"/>
      <c r="J1300" s="72"/>
      <c r="K1300" s="34" t="s">
        <v>65</v>
      </c>
      <c r="L1300" s="79">
        <v>1300</v>
      </c>
      <c r="M1300" s="79"/>
      <c r="N1300" s="74"/>
      <c r="O1300" s="81" t="s">
        <v>944</v>
      </c>
      <c r="P1300">
        <v>1</v>
      </c>
      <c r="Q1300" s="80" t="str">
        <f>REPLACE(INDEX(GroupVertices[Group],MATCH(Edges[[#This Row],[Vertex 1]],GroupVertices[Vertex],0)),1,1,"")</f>
        <v>1</v>
      </c>
      <c r="R1300" s="80" t="str">
        <f>REPLACE(INDEX(GroupVertices[Group],MATCH(Edges[[#This Row],[Vertex 2]],GroupVertices[Vertex],0)),1,1,"")</f>
        <v>1</v>
      </c>
      <c r="S1300" s="34"/>
      <c r="T1300" s="34"/>
      <c r="U1300" s="34"/>
      <c r="V1300" s="34"/>
      <c r="W1300" s="34"/>
      <c r="X1300" s="34"/>
      <c r="Y1300" s="34"/>
      <c r="Z1300" s="34"/>
      <c r="AA1300" s="34"/>
    </row>
    <row r="1301" spans="1:27" ht="15">
      <c r="A1301" s="66" t="s">
        <v>248</v>
      </c>
      <c r="B1301" s="66" t="s">
        <v>605</v>
      </c>
      <c r="C1301" s="67" t="s">
        <v>4454</v>
      </c>
      <c r="D1301" s="68">
        <v>5</v>
      </c>
      <c r="E1301" s="69"/>
      <c r="F1301" s="70">
        <v>20</v>
      </c>
      <c r="G1301" s="67"/>
      <c r="H1301" s="71"/>
      <c r="I1301" s="72"/>
      <c r="J1301" s="72"/>
      <c r="K1301" s="34" t="s">
        <v>65</v>
      </c>
      <c r="L1301" s="79">
        <v>1301</v>
      </c>
      <c r="M1301" s="79"/>
      <c r="N1301" s="74"/>
      <c r="O1301" s="81" t="s">
        <v>944</v>
      </c>
      <c r="P1301">
        <v>1</v>
      </c>
      <c r="Q1301" s="80" t="str">
        <f>REPLACE(INDEX(GroupVertices[Group],MATCH(Edges[[#This Row],[Vertex 1]],GroupVertices[Vertex],0)),1,1,"")</f>
        <v>1</v>
      </c>
      <c r="R1301" s="80" t="str">
        <f>REPLACE(INDEX(GroupVertices[Group],MATCH(Edges[[#This Row],[Vertex 2]],GroupVertices[Vertex],0)),1,1,"")</f>
        <v>1</v>
      </c>
      <c r="S1301" s="34"/>
      <c r="T1301" s="34"/>
      <c r="U1301" s="34"/>
      <c r="V1301" s="34"/>
      <c r="W1301" s="34"/>
      <c r="X1301" s="34"/>
      <c r="Y1301" s="34"/>
      <c r="Z1301" s="34"/>
      <c r="AA1301" s="34"/>
    </row>
    <row r="1302" spans="1:27" ht="15">
      <c r="A1302" s="66" t="s">
        <v>252</v>
      </c>
      <c r="B1302" s="66" t="s">
        <v>605</v>
      </c>
      <c r="C1302" s="67" t="s">
        <v>4454</v>
      </c>
      <c r="D1302" s="68">
        <v>5</v>
      </c>
      <c r="E1302" s="69"/>
      <c r="F1302" s="70">
        <v>20</v>
      </c>
      <c r="G1302" s="67"/>
      <c r="H1302" s="71"/>
      <c r="I1302" s="72"/>
      <c r="J1302" s="72"/>
      <c r="K1302" s="34" t="s">
        <v>65</v>
      </c>
      <c r="L1302" s="79">
        <v>1302</v>
      </c>
      <c r="M1302" s="79"/>
      <c r="N1302" s="74"/>
      <c r="O1302" s="81" t="s">
        <v>944</v>
      </c>
      <c r="P1302">
        <v>1</v>
      </c>
      <c r="Q1302" s="80" t="str">
        <f>REPLACE(INDEX(GroupVertices[Group],MATCH(Edges[[#This Row],[Vertex 1]],GroupVertices[Vertex],0)),1,1,"")</f>
        <v>1</v>
      </c>
      <c r="R1302" s="80" t="str">
        <f>REPLACE(INDEX(GroupVertices[Group],MATCH(Edges[[#This Row],[Vertex 2]],GroupVertices[Vertex],0)),1,1,"")</f>
        <v>1</v>
      </c>
      <c r="S1302" s="34"/>
      <c r="T1302" s="34"/>
      <c r="U1302" s="34"/>
      <c r="V1302" s="34"/>
      <c r="W1302" s="34"/>
      <c r="X1302" s="34"/>
      <c r="Y1302" s="34"/>
      <c r="Z1302" s="34"/>
      <c r="AA1302" s="34"/>
    </row>
    <row r="1303" spans="1:27" ht="15">
      <c r="A1303" s="66" t="s">
        <v>255</v>
      </c>
      <c r="B1303" s="66" t="s">
        <v>605</v>
      </c>
      <c r="C1303" s="67" t="s">
        <v>4454</v>
      </c>
      <c r="D1303" s="68">
        <v>5</v>
      </c>
      <c r="E1303" s="69"/>
      <c r="F1303" s="70">
        <v>20</v>
      </c>
      <c r="G1303" s="67"/>
      <c r="H1303" s="71"/>
      <c r="I1303" s="72"/>
      <c r="J1303" s="72"/>
      <c r="K1303" s="34" t="s">
        <v>65</v>
      </c>
      <c r="L1303" s="79">
        <v>1303</v>
      </c>
      <c r="M1303" s="79"/>
      <c r="N1303" s="74"/>
      <c r="O1303" s="81" t="s">
        <v>944</v>
      </c>
      <c r="P1303">
        <v>1</v>
      </c>
      <c r="Q1303" s="80" t="str">
        <f>REPLACE(INDEX(GroupVertices[Group],MATCH(Edges[[#This Row],[Vertex 1]],GroupVertices[Vertex],0)),1,1,"")</f>
        <v>4</v>
      </c>
      <c r="R1303" s="80" t="str">
        <f>REPLACE(INDEX(GroupVertices[Group],MATCH(Edges[[#This Row],[Vertex 2]],GroupVertices[Vertex],0)),1,1,"")</f>
        <v>1</v>
      </c>
      <c r="S1303" s="34"/>
      <c r="T1303" s="34"/>
      <c r="U1303" s="34"/>
      <c r="V1303" s="34"/>
      <c r="W1303" s="34"/>
      <c r="X1303" s="34"/>
      <c r="Y1303" s="34"/>
      <c r="Z1303" s="34"/>
      <c r="AA1303" s="34"/>
    </row>
    <row r="1304" spans="1:27" ht="15">
      <c r="A1304" s="66" t="s">
        <v>257</v>
      </c>
      <c r="B1304" s="66" t="s">
        <v>605</v>
      </c>
      <c r="C1304" s="67" t="s">
        <v>4454</v>
      </c>
      <c r="D1304" s="68">
        <v>5</v>
      </c>
      <c r="E1304" s="69"/>
      <c r="F1304" s="70">
        <v>20</v>
      </c>
      <c r="G1304" s="67"/>
      <c r="H1304" s="71"/>
      <c r="I1304" s="72"/>
      <c r="J1304" s="72"/>
      <c r="K1304" s="34" t="s">
        <v>65</v>
      </c>
      <c r="L1304" s="79">
        <v>1304</v>
      </c>
      <c r="M1304" s="79"/>
      <c r="N1304" s="74"/>
      <c r="O1304" s="81" t="s">
        <v>944</v>
      </c>
      <c r="P1304">
        <v>1</v>
      </c>
      <c r="Q1304" s="80" t="str">
        <f>REPLACE(INDEX(GroupVertices[Group],MATCH(Edges[[#This Row],[Vertex 1]],GroupVertices[Vertex],0)),1,1,"")</f>
        <v>2</v>
      </c>
      <c r="R1304" s="80" t="str">
        <f>REPLACE(INDEX(GroupVertices[Group],MATCH(Edges[[#This Row],[Vertex 2]],GroupVertices[Vertex],0)),1,1,"")</f>
        <v>1</v>
      </c>
      <c r="S1304" s="34"/>
      <c r="T1304" s="34"/>
      <c r="U1304" s="34"/>
      <c r="V1304" s="34"/>
      <c r="W1304" s="34"/>
      <c r="X1304" s="34"/>
      <c r="Y1304" s="34"/>
      <c r="Z1304" s="34"/>
      <c r="AA1304" s="34"/>
    </row>
    <row r="1305" spans="1:27" ht="15">
      <c r="A1305" s="66" t="s">
        <v>226</v>
      </c>
      <c r="B1305" s="66" t="s">
        <v>875</v>
      </c>
      <c r="C1305" s="67" t="s">
        <v>4454</v>
      </c>
      <c r="D1305" s="68">
        <v>5</v>
      </c>
      <c r="E1305" s="69"/>
      <c r="F1305" s="70">
        <v>20</v>
      </c>
      <c r="G1305" s="67"/>
      <c r="H1305" s="71"/>
      <c r="I1305" s="72"/>
      <c r="J1305" s="72"/>
      <c r="K1305" s="34" t="s">
        <v>65</v>
      </c>
      <c r="L1305" s="79">
        <v>1305</v>
      </c>
      <c r="M1305" s="79"/>
      <c r="N1305" s="74"/>
      <c r="O1305" s="81" t="s">
        <v>944</v>
      </c>
      <c r="P1305">
        <v>1</v>
      </c>
      <c r="Q1305" s="80" t="str">
        <f>REPLACE(INDEX(GroupVertices[Group],MATCH(Edges[[#This Row],[Vertex 1]],GroupVertices[Vertex],0)),1,1,"")</f>
        <v>4</v>
      </c>
      <c r="R1305" s="80" t="str">
        <f>REPLACE(INDEX(GroupVertices[Group],MATCH(Edges[[#This Row],[Vertex 2]],GroupVertices[Vertex],0)),1,1,"")</f>
        <v>4</v>
      </c>
      <c r="S1305" s="34"/>
      <c r="T1305" s="34"/>
      <c r="U1305" s="34"/>
      <c r="V1305" s="34"/>
      <c r="W1305" s="34"/>
      <c r="X1305" s="34"/>
      <c r="Y1305" s="34"/>
      <c r="Z1305" s="34"/>
      <c r="AA1305" s="34"/>
    </row>
    <row r="1306" spans="1:27" ht="15">
      <c r="A1306" s="66" t="s">
        <v>257</v>
      </c>
      <c r="B1306" s="66" t="s">
        <v>875</v>
      </c>
      <c r="C1306" s="67" t="s">
        <v>4454</v>
      </c>
      <c r="D1306" s="68">
        <v>5</v>
      </c>
      <c r="E1306" s="69"/>
      <c r="F1306" s="70">
        <v>20</v>
      </c>
      <c r="G1306" s="67"/>
      <c r="H1306" s="71"/>
      <c r="I1306" s="72"/>
      <c r="J1306" s="72"/>
      <c r="K1306" s="34" t="s">
        <v>65</v>
      </c>
      <c r="L1306" s="79">
        <v>1306</v>
      </c>
      <c r="M1306" s="79"/>
      <c r="N1306" s="74"/>
      <c r="O1306" s="81" t="s">
        <v>944</v>
      </c>
      <c r="P1306">
        <v>1</v>
      </c>
      <c r="Q1306" s="80" t="str">
        <f>REPLACE(INDEX(GroupVertices[Group],MATCH(Edges[[#This Row],[Vertex 1]],GroupVertices[Vertex],0)),1,1,"")</f>
        <v>2</v>
      </c>
      <c r="R1306" s="80" t="str">
        <f>REPLACE(INDEX(GroupVertices[Group],MATCH(Edges[[#This Row],[Vertex 2]],GroupVertices[Vertex],0)),1,1,"")</f>
        <v>4</v>
      </c>
      <c r="S1306" s="34"/>
      <c r="T1306" s="34"/>
      <c r="U1306" s="34"/>
      <c r="V1306" s="34"/>
      <c r="W1306" s="34"/>
      <c r="X1306" s="34"/>
      <c r="Y1306" s="34"/>
      <c r="Z1306" s="34"/>
      <c r="AA1306" s="34"/>
    </row>
    <row r="1307" spans="1:27" ht="15">
      <c r="A1307" s="66" t="s">
        <v>215</v>
      </c>
      <c r="B1307" s="66" t="s">
        <v>252</v>
      </c>
      <c r="C1307" s="67" t="s">
        <v>4454</v>
      </c>
      <c r="D1307" s="68">
        <v>5</v>
      </c>
      <c r="E1307" s="69"/>
      <c r="F1307" s="70">
        <v>20</v>
      </c>
      <c r="G1307" s="67"/>
      <c r="H1307" s="71"/>
      <c r="I1307" s="72"/>
      <c r="J1307" s="72"/>
      <c r="K1307" s="34" t="s">
        <v>65</v>
      </c>
      <c r="L1307" s="79">
        <v>1307</v>
      </c>
      <c r="M1307" s="79"/>
      <c r="N1307" s="74"/>
      <c r="O1307" s="81" t="s">
        <v>944</v>
      </c>
      <c r="P1307">
        <v>1</v>
      </c>
      <c r="Q1307" s="80" t="str">
        <f>REPLACE(INDEX(GroupVertices[Group],MATCH(Edges[[#This Row],[Vertex 1]],GroupVertices[Vertex],0)),1,1,"")</f>
        <v>3</v>
      </c>
      <c r="R1307" s="80" t="str">
        <f>REPLACE(INDEX(GroupVertices[Group],MATCH(Edges[[#This Row],[Vertex 2]],GroupVertices[Vertex],0)),1,1,"")</f>
        <v>1</v>
      </c>
      <c r="S1307" s="34"/>
      <c r="T1307" s="34"/>
      <c r="U1307" s="34"/>
      <c r="V1307" s="34"/>
      <c r="W1307" s="34"/>
      <c r="X1307" s="34"/>
      <c r="Y1307" s="34"/>
      <c r="Z1307" s="34"/>
      <c r="AA1307" s="34"/>
    </row>
    <row r="1308" spans="1:27" ht="15">
      <c r="A1308" s="66" t="s">
        <v>215</v>
      </c>
      <c r="B1308" s="66" t="s">
        <v>226</v>
      </c>
      <c r="C1308" s="67" t="s">
        <v>4454</v>
      </c>
      <c r="D1308" s="68">
        <v>5</v>
      </c>
      <c r="E1308" s="69"/>
      <c r="F1308" s="70">
        <v>20</v>
      </c>
      <c r="G1308" s="67"/>
      <c r="H1308" s="71"/>
      <c r="I1308" s="72"/>
      <c r="J1308" s="72"/>
      <c r="K1308" s="34" t="s">
        <v>65</v>
      </c>
      <c r="L1308" s="79">
        <v>1308</v>
      </c>
      <c r="M1308" s="79"/>
      <c r="N1308" s="74"/>
      <c r="O1308" s="81" t="s">
        <v>944</v>
      </c>
      <c r="P1308">
        <v>1</v>
      </c>
      <c r="Q1308" s="80" t="str">
        <f>REPLACE(INDEX(GroupVertices[Group],MATCH(Edges[[#This Row],[Vertex 1]],GroupVertices[Vertex],0)),1,1,"")</f>
        <v>3</v>
      </c>
      <c r="R1308" s="80" t="str">
        <f>REPLACE(INDEX(GroupVertices[Group],MATCH(Edges[[#This Row],[Vertex 2]],GroupVertices[Vertex],0)),1,1,"")</f>
        <v>4</v>
      </c>
      <c r="S1308" s="34"/>
      <c r="T1308" s="34"/>
      <c r="U1308" s="34"/>
      <c r="V1308" s="34"/>
      <c r="W1308" s="34"/>
      <c r="X1308" s="34"/>
      <c r="Y1308" s="34"/>
      <c r="Z1308" s="34"/>
      <c r="AA1308" s="34"/>
    </row>
    <row r="1309" spans="1:27" ht="15">
      <c r="A1309" s="66" t="s">
        <v>215</v>
      </c>
      <c r="B1309" s="66" t="s">
        <v>256</v>
      </c>
      <c r="C1309" s="67" t="s">
        <v>4454</v>
      </c>
      <c r="D1309" s="68">
        <v>5</v>
      </c>
      <c r="E1309" s="69"/>
      <c r="F1309" s="70">
        <v>20</v>
      </c>
      <c r="G1309" s="67"/>
      <c r="H1309" s="71"/>
      <c r="I1309" s="72"/>
      <c r="J1309" s="72"/>
      <c r="K1309" s="34" t="s">
        <v>66</v>
      </c>
      <c r="L1309" s="79">
        <v>1309</v>
      </c>
      <c r="M1309" s="79"/>
      <c r="N1309" s="74"/>
      <c r="O1309" s="81" t="s">
        <v>944</v>
      </c>
      <c r="P1309">
        <v>1</v>
      </c>
      <c r="Q1309" s="80" t="str">
        <f>REPLACE(INDEX(GroupVertices[Group],MATCH(Edges[[#This Row],[Vertex 1]],GroupVertices[Vertex],0)),1,1,"")</f>
        <v>3</v>
      </c>
      <c r="R1309" s="80" t="str">
        <f>REPLACE(INDEX(GroupVertices[Group],MATCH(Edges[[#This Row],[Vertex 2]],GroupVertices[Vertex],0)),1,1,"")</f>
        <v>1</v>
      </c>
      <c r="S1309" s="34"/>
      <c r="T1309" s="34"/>
      <c r="U1309" s="34"/>
      <c r="V1309" s="34"/>
      <c r="W1309" s="34"/>
      <c r="X1309" s="34"/>
      <c r="Y1309" s="34"/>
      <c r="Z1309" s="34"/>
      <c r="AA1309" s="34"/>
    </row>
    <row r="1310" spans="1:27" ht="15">
      <c r="A1310" s="66" t="s">
        <v>215</v>
      </c>
      <c r="B1310" s="66" t="s">
        <v>616</v>
      </c>
      <c r="C1310" s="67" t="s">
        <v>4454</v>
      </c>
      <c r="D1310" s="68">
        <v>5</v>
      </c>
      <c r="E1310" s="69"/>
      <c r="F1310" s="70">
        <v>20</v>
      </c>
      <c r="G1310" s="67"/>
      <c r="H1310" s="71"/>
      <c r="I1310" s="72"/>
      <c r="J1310" s="72"/>
      <c r="K1310" s="34" t="s">
        <v>65</v>
      </c>
      <c r="L1310" s="79">
        <v>1310</v>
      </c>
      <c r="M1310" s="79"/>
      <c r="N1310" s="74"/>
      <c r="O1310" s="81" t="s">
        <v>944</v>
      </c>
      <c r="P1310">
        <v>1</v>
      </c>
      <c r="Q1310" s="80" t="str">
        <f>REPLACE(INDEX(GroupVertices[Group],MATCH(Edges[[#This Row],[Vertex 1]],GroupVertices[Vertex],0)),1,1,"")</f>
        <v>3</v>
      </c>
      <c r="R1310" s="80" t="str">
        <f>REPLACE(INDEX(GroupVertices[Group],MATCH(Edges[[#This Row],[Vertex 2]],GroupVertices[Vertex],0)),1,1,"")</f>
        <v>1</v>
      </c>
      <c r="S1310" s="34"/>
      <c r="T1310" s="34"/>
      <c r="U1310" s="34"/>
      <c r="V1310" s="34"/>
      <c r="W1310" s="34"/>
      <c r="X1310" s="34"/>
      <c r="Y1310" s="34"/>
      <c r="Z1310" s="34"/>
      <c r="AA1310" s="34"/>
    </row>
    <row r="1311" spans="1:27" ht="15">
      <c r="A1311" s="66" t="s">
        <v>215</v>
      </c>
      <c r="B1311" s="66" t="s">
        <v>246</v>
      </c>
      <c r="C1311" s="67" t="s">
        <v>4454</v>
      </c>
      <c r="D1311" s="68">
        <v>5</v>
      </c>
      <c r="E1311" s="69"/>
      <c r="F1311" s="70">
        <v>20</v>
      </c>
      <c r="G1311" s="67"/>
      <c r="H1311" s="71"/>
      <c r="I1311" s="72"/>
      <c r="J1311" s="72"/>
      <c r="K1311" s="34" t="s">
        <v>66</v>
      </c>
      <c r="L1311" s="79">
        <v>1311</v>
      </c>
      <c r="M1311" s="79"/>
      <c r="N1311" s="74"/>
      <c r="O1311" s="81" t="s">
        <v>944</v>
      </c>
      <c r="P1311">
        <v>1</v>
      </c>
      <c r="Q1311" s="80" t="str">
        <f>REPLACE(INDEX(GroupVertices[Group],MATCH(Edges[[#This Row],[Vertex 1]],GroupVertices[Vertex],0)),1,1,"")</f>
        <v>3</v>
      </c>
      <c r="R1311" s="80" t="str">
        <f>REPLACE(INDEX(GroupVertices[Group],MATCH(Edges[[#This Row],[Vertex 2]],GroupVertices[Vertex],0)),1,1,"")</f>
        <v>2</v>
      </c>
      <c r="S1311" s="34"/>
      <c r="T1311" s="34"/>
      <c r="U1311" s="34"/>
      <c r="V1311" s="34"/>
      <c r="W1311" s="34"/>
      <c r="X1311" s="34"/>
      <c r="Y1311" s="34"/>
      <c r="Z1311" s="34"/>
      <c r="AA1311" s="34"/>
    </row>
    <row r="1312" spans="1:27" ht="15">
      <c r="A1312" s="66" t="s">
        <v>215</v>
      </c>
      <c r="B1312" s="66" t="s">
        <v>480</v>
      </c>
      <c r="C1312" s="67" t="s">
        <v>4454</v>
      </c>
      <c r="D1312" s="68">
        <v>5</v>
      </c>
      <c r="E1312" s="69"/>
      <c r="F1312" s="70">
        <v>20</v>
      </c>
      <c r="G1312" s="67"/>
      <c r="H1312" s="71"/>
      <c r="I1312" s="72"/>
      <c r="J1312" s="72"/>
      <c r="K1312" s="34" t="s">
        <v>65</v>
      </c>
      <c r="L1312" s="79">
        <v>1312</v>
      </c>
      <c r="M1312" s="79"/>
      <c r="N1312" s="74"/>
      <c r="O1312" s="81" t="s">
        <v>944</v>
      </c>
      <c r="P1312">
        <v>1</v>
      </c>
      <c r="Q1312" s="80" t="str">
        <f>REPLACE(INDEX(GroupVertices[Group],MATCH(Edges[[#This Row],[Vertex 1]],GroupVertices[Vertex],0)),1,1,"")</f>
        <v>3</v>
      </c>
      <c r="R1312" s="80" t="str">
        <f>REPLACE(INDEX(GroupVertices[Group],MATCH(Edges[[#This Row],[Vertex 2]],GroupVertices[Vertex],0)),1,1,"")</f>
        <v>1</v>
      </c>
      <c r="S1312" s="34"/>
      <c r="T1312" s="34"/>
      <c r="U1312" s="34"/>
      <c r="V1312" s="34"/>
      <c r="W1312" s="34"/>
      <c r="X1312" s="34"/>
      <c r="Y1312" s="34"/>
      <c r="Z1312" s="34"/>
      <c r="AA1312" s="34"/>
    </row>
    <row r="1313" spans="1:27" ht="15">
      <c r="A1313" s="66" t="s">
        <v>215</v>
      </c>
      <c r="B1313" s="66" t="s">
        <v>247</v>
      </c>
      <c r="C1313" s="67" t="s">
        <v>4454</v>
      </c>
      <c r="D1313" s="68">
        <v>5</v>
      </c>
      <c r="E1313" s="69"/>
      <c r="F1313" s="70">
        <v>20</v>
      </c>
      <c r="G1313" s="67"/>
      <c r="H1313" s="71"/>
      <c r="I1313" s="72"/>
      <c r="J1313" s="72"/>
      <c r="K1313" s="34" t="s">
        <v>66</v>
      </c>
      <c r="L1313" s="79">
        <v>1313</v>
      </c>
      <c r="M1313" s="79"/>
      <c r="N1313" s="74"/>
      <c r="O1313" s="81" t="s">
        <v>944</v>
      </c>
      <c r="P1313">
        <v>1</v>
      </c>
      <c r="Q1313" s="80" t="str">
        <f>REPLACE(INDEX(GroupVertices[Group],MATCH(Edges[[#This Row],[Vertex 1]],GroupVertices[Vertex],0)),1,1,"")</f>
        <v>3</v>
      </c>
      <c r="R1313" s="80" t="str">
        <f>REPLACE(INDEX(GroupVertices[Group],MATCH(Edges[[#This Row],[Vertex 2]],GroupVertices[Vertex],0)),1,1,"")</f>
        <v>2</v>
      </c>
      <c r="S1313" s="34"/>
      <c r="T1313" s="34"/>
      <c r="U1313" s="34"/>
      <c r="V1313" s="34"/>
      <c r="W1313" s="34"/>
      <c r="X1313" s="34"/>
      <c r="Y1313" s="34"/>
      <c r="Z1313" s="34"/>
      <c r="AA1313" s="34"/>
    </row>
    <row r="1314" spans="1:27" ht="15">
      <c r="A1314" s="66" t="s">
        <v>215</v>
      </c>
      <c r="B1314" s="66" t="s">
        <v>242</v>
      </c>
      <c r="C1314" s="67" t="s">
        <v>4454</v>
      </c>
      <c r="D1314" s="68">
        <v>5</v>
      </c>
      <c r="E1314" s="69"/>
      <c r="F1314" s="70">
        <v>20</v>
      </c>
      <c r="G1314" s="67"/>
      <c r="H1314" s="71"/>
      <c r="I1314" s="72"/>
      <c r="J1314" s="72"/>
      <c r="K1314" s="34" t="s">
        <v>65</v>
      </c>
      <c r="L1314" s="79">
        <v>1314</v>
      </c>
      <c r="M1314" s="79"/>
      <c r="N1314" s="74"/>
      <c r="O1314" s="81" t="s">
        <v>944</v>
      </c>
      <c r="P1314">
        <v>1</v>
      </c>
      <c r="Q1314" s="80" t="str">
        <f>REPLACE(INDEX(GroupVertices[Group],MATCH(Edges[[#This Row],[Vertex 1]],GroupVertices[Vertex],0)),1,1,"")</f>
        <v>3</v>
      </c>
      <c r="R1314" s="80" t="str">
        <f>REPLACE(INDEX(GroupVertices[Group],MATCH(Edges[[#This Row],[Vertex 2]],GroupVertices[Vertex],0)),1,1,"")</f>
        <v>1</v>
      </c>
      <c r="S1314" s="34"/>
      <c r="T1314" s="34"/>
      <c r="U1314" s="34"/>
      <c r="V1314" s="34"/>
      <c r="W1314" s="34"/>
      <c r="X1314" s="34"/>
      <c r="Y1314" s="34"/>
      <c r="Z1314" s="34"/>
      <c r="AA1314" s="34"/>
    </row>
    <row r="1315" spans="1:27" ht="15">
      <c r="A1315" s="66" t="s">
        <v>215</v>
      </c>
      <c r="B1315" s="66" t="s">
        <v>257</v>
      </c>
      <c r="C1315" s="67" t="s">
        <v>4454</v>
      </c>
      <c r="D1315" s="68">
        <v>5</v>
      </c>
      <c r="E1315" s="69"/>
      <c r="F1315" s="70">
        <v>20</v>
      </c>
      <c r="G1315" s="67"/>
      <c r="H1315" s="71"/>
      <c r="I1315" s="72"/>
      <c r="J1315" s="72"/>
      <c r="K1315" s="34" t="s">
        <v>66</v>
      </c>
      <c r="L1315" s="79">
        <v>1315</v>
      </c>
      <c r="M1315" s="79"/>
      <c r="N1315" s="74"/>
      <c r="O1315" s="81" t="s">
        <v>944</v>
      </c>
      <c r="P1315">
        <v>1</v>
      </c>
      <c r="Q1315" s="80" t="str">
        <f>REPLACE(INDEX(GroupVertices[Group],MATCH(Edges[[#This Row],[Vertex 1]],GroupVertices[Vertex],0)),1,1,"")</f>
        <v>3</v>
      </c>
      <c r="R1315" s="80" t="str">
        <f>REPLACE(INDEX(GroupVertices[Group],MATCH(Edges[[#This Row],[Vertex 2]],GroupVertices[Vertex],0)),1,1,"")</f>
        <v>2</v>
      </c>
      <c r="S1315" s="34"/>
      <c r="T1315" s="34"/>
      <c r="U1315" s="34"/>
      <c r="V1315" s="34"/>
      <c r="W1315" s="34"/>
      <c r="X1315" s="34"/>
      <c r="Y1315" s="34"/>
      <c r="Z1315" s="34"/>
      <c r="AA1315" s="34"/>
    </row>
    <row r="1316" spans="1:27" ht="15">
      <c r="A1316" s="66" t="s">
        <v>215</v>
      </c>
      <c r="B1316" s="66" t="s">
        <v>235</v>
      </c>
      <c r="C1316" s="67" t="s">
        <v>4454</v>
      </c>
      <c r="D1316" s="68">
        <v>5</v>
      </c>
      <c r="E1316" s="69"/>
      <c r="F1316" s="70">
        <v>20</v>
      </c>
      <c r="G1316" s="67"/>
      <c r="H1316" s="71"/>
      <c r="I1316" s="72"/>
      <c r="J1316" s="72"/>
      <c r="K1316" s="34" t="s">
        <v>66</v>
      </c>
      <c r="L1316" s="79">
        <v>1316</v>
      </c>
      <c r="M1316" s="79"/>
      <c r="N1316" s="74"/>
      <c r="O1316" s="81" t="s">
        <v>944</v>
      </c>
      <c r="P1316">
        <v>1</v>
      </c>
      <c r="Q1316" s="80" t="str">
        <f>REPLACE(INDEX(GroupVertices[Group],MATCH(Edges[[#This Row],[Vertex 1]],GroupVertices[Vertex],0)),1,1,"")</f>
        <v>3</v>
      </c>
      <c r="R1316" s="80" t="str">
        <f>REPLACE(INDEX(GroupVertices[Group],MATCH(Edges[[#This Row],[Vertex 2]],GroupVertices[Vertex],0)),1,1,"")</f>
        <v>2</v>
      </c>
      <c r="S1316" s="34"/>
      <c r="T1316" s="34"/>
      <c r="U1316" s="34"/>
      <c r="V1316" s="34"/>
      <c r="W1316" s="34"/>
      <c r="X1316" s="34"/>
      <c r="Y1316" s="34"/>
      <c r="Z1316" s="34"/>
      <c r="AA1316" s="34"/>
    </row>
    <row r="1317" spans="1:27" ht="15">
      <c r="A1317" s="66" t="s">
        <v>215</v>
      </c>
      <c r="B1317" s="66" t="s">
        <v>255</v>
      </c>
      <c r="C1317" s="67" t="s">
        <v>4454</v>
      </c>
      <c r="D1317" s="68">
        <v>5</v>
      </c>
      <c r="E1317" s="69"/>
      <c r="F1317" s="70">
        <v>20</v>
      </c>
      <c r="G1317" s="67"/>
      <c r="H1317" s="71"/>
      <c r="I1317" s="72"/>
      <c r="J1317" s="72"/>
      <c r="K1317" s="34" t="s">
        <v>66</v>
      </c>
      <c r="L1317" s="79">
        <v>1317</v>
      </c>
      <c r="M1317" s="79"/>
      <c r="N1317" s="74"/>
      <c r="O1317" s="81" t="s">
        <v>944</v>
      </c>
      <c r="P1317">
        <v>1</v>
      </c>
      <c r="Q1317" s="80" t="str">
        <f>REPLACE(INDEX(GroupVertices[Group],MATCH(Edges[[#This Row],[Vertex 1]],GroupVertices[Vertex],0)),1,1,"")</f>
        <v>3</v>
      </c>
      <c r="R1317" s="80" t="str">
        <f>REPLACE(INDEX(GroupVertices[Group],MATCH(Edges[[#This Row],[Vertex 2]],GroupVertices[Vertex],0)),1,1,"")</f>
        <v>4</v>
      </c>
      <c r="S1317" s="34"/>
      <c r="T1317" s="34"/>
      <c r="U1317" s="34"/>
      <c r="V1317" s="34"/>
      <c r="W1317" s="34"/>
      <c r="X1317" s="34"/>
      <c r="Y1317" s="34"/>
      <c r="Z1317" s="34"/>
      <c r="AA1317" s="34"/>
    </row>
    <row r="1318" spans="1:27" ht="15">
      <c r="A1318" s="66" t="s">
        <v>215</v>
      </c>
      <c r="B1318" s="66" t="s">
        <v>260</v>
      </c>
      <c r="C1318" s="67" t="s">
        <v>4454</v>
      </c>
      <c r="D1318" s="68">
        <v>5</v>
      </c>
      <c r="E1318" s="69"/>
      <c r="F1318" s="70">
        <v>20</v>
      </c>
      <c r="G1318" s="67"/>
      <c r="H1318" s="71"/>
      <c r="I1318" s="72"/>
      <c r="J1318" s="72"/>
      <c r="K1318" s="34" t="s">
        <v>65</v>
      </c>
      <c r="L1318" s="79">
        <v>1318</v>
      </c>
      <c r="M1318" s="79"/>
      <c r="N1318" s="74"/>
      <c r="O1318" s="81" t="s">
        <v>944</v>
      </c>
      <c r="P1318">
        <v>1</v>
      </c>
      <c r="Q1318" s="80" t="str">
        <f>REPLACE(INDEX(GroupVertices[Group],MATCH(Edges[[#This Row],[Vertex 1]],GroupVertices[Vertex],0)),1,1,"")</f>
        <v>3</v>
      </c>
      <c r="R1318" s="80" t="str">
        <f>REPLACE(INDEX(GroupVertices[Group],MATCH(Edges[[#This Row],[Vertex 2]],GroupVertices[Vertex],0)),1,1,"")</f>
        <v>2</v>
      </c>
      <c r="S1318" s="34"/>
      <c r="T1318" s="34"/>
      <c r="U1318" s="34"/>
      <c r="V1318" s="34"/>
      <c r="W1318" s="34"/>
      <c r="X1318" s="34"/>
      <c r="Y1318" s="34"/>
      <c r="Z1318" s="34"/>
      <c r="AA1318" s="34"/>
    </row>
    <row r="1319" spans="1:27" ht="15">
      <c r="A1319" s="66" t="s">
        <v>215</v>
      </c>
      <c r="B1319" s="66" t="s">
        <v>261</v>
      </c>
      <c r="C1319" s="67" t="s">
        <v>4454</v>
      </c>
      <c r="D1319" s="68">
        <v>5</v>
      </c>
      <c r="E1319" s="69"/>
      <c r="F1319" s="70">
        <v>20</v>
      </c>
      <c r="G1319" s="67"/>
      <c r="H1319" s="71"/>
      <c r="I1319" s="72"/>
      <c r="J1319" s="72"/>
      <c r="K1319" s="34" t="s">
        <v>65</v>
      </c>
      <c r="L1319" s="79">
        <v>1319</v>
      </c>
      <c r="M1319" s="79"/>
      <c r="N1319" s="74"/>
      <c r="O1319" s="81" t="s">
        <v>944</v>
      </c>
      <c r="P1319">
        <v>1</v>
      </c>
      <c r="Q1319" s="80" t="str">
        <f>REPLACE(INDEX(GroupVertices[Group],MATCH(Edges[[#This Row],[Vertex 1]],GroupVertices[Vertex],0)),1,1,"")</f>
        <v>3</v>
      </c>
      <c r="R1319" s="80" t="str">
        <f>REPLACE(INDEX(GroupVertices[Group],MATCH(Edges[[#This Row],[Vertex 2]],GroupVertices[Vertex],0)),1,1,"")</f>
        <v>1</v>
      </c>
      <c r="S1319" s="34"/>
      <c r="T1319" s="34"/>
      <c r="U1319" s="34"/>
      <c r="V1319" s="34"/>
      <c r="W1319" s="34"/>
      <c r="X1319" s="34"/>
      <c r="Y1319" s="34"/>
      <c r="Z1319" s="34"/>
      <c r="AA1319" s="34"/>
    </row>
    <row r="1320" spans="1:27" ht="15">
      <c r="A1320" s="66" t="s">
        <v>215</v>
      </c>
      <c r="B1320" s="66" t="s">
        <v>240</v>
      </c>
      <c r="C1320" s="67" t="s">
        <v>4454</v>
      </c>
      <c r="D1320" s="68">
        <v>5</v>
      </c>
      <c r="E1320" s="69"/>
      <c r="F1320" s="70">
        <v>20</v>
      </c>
      <c r="G1320" s="67"/>
      <c r="H1320" s="71"/>
      <c r="I1320" s="72"/>
      <c r="J1320" s="72"/>
      <c r="K1320" s="34" t="s">
        <v>66</v>
      </c>
      <c r="L1320" s="79">
        <v>1320</v>
      </c>
      <c r="M1320" s="79"/>
      <c r="N1320" s="74"/>
      <c r="O1320" s="81" t="s">
        <v>944</v>
      </c>
      <c r="P1320">
        <v>1</v>
      </c>
      <c r="Q1320" s="80" t="str">
        <f>REPLACE(INDEX(GroupVertices[Group],MATCH(Edges[[#This Row],[Vertex 1]],GroupVertices[Vertex],0)),1,1,"")</f>
        <v>3</v>
      </c>
      <c r="R1320" s="80" t="str">
        <f>REPLACE(INDEX(GroupVertices[Group],MATCH(Edges[[#This Row],[Vertex 2]],GroupVertices[Vertex],0)),1,1,"")</f>
        <v>2</v>
      </c>
      <c r="S1320" s="34"/>
      <c r="T1320" s="34"/>
      <c r="U1320" s="34"/>
      <c r="V1320" s="34"/>
      <c r="W1320" s="34"/>
      <c r="X1320" s="34"/>
      <c r="Y1320" s="34"/>
      <c r="Z1320" s="34"/>
      <c r="AA1320" s="34"/>
    </row>
    <row r="1321" spans="1:27" ht="15">
      <c r="A1321" s="66" t="s">
        <v>215</v>
      </c>
      <c r="B1321" s="66" t="s">
        <v>236</v>
      </c>
      <c r="C1321" s="67" t="s">
        <v>4454</v>
      </c>
      <c r="D1321" s="68">
        <v>5</v>
      </c>
      <c r="E1321" s="69"/>
      <c r="F1321" s="70">
        <v>20</v>
      </c>
      <c r="G1321" s="67"/>
      <c r="H1321" s="71"/>
      <c r="I1321" s="72"/>
      <c r="J1321" s="72"/>
      <c r="K1321" s="34" t="s">
        <v>65</v>
      </c>
      <c r="L1321" s="79">
        <v>1321</v>
      </c>
      <c r="M1321" s="79"/>
      <c r="N1321" s="74"/>
      <c r="O1321" s="81" t="s">
        <v>944</v>
      </c>
      <c r="P1321">
        <v>1</v>
      </c>
      <c r="Q1321" s="80" t="str">
        <f>REPLACE(INDEX(GroupVertices[Group],MATCH(Edges[[#This Row],[Vertex 1]],GroupVertices[Vertex],0)),1,1,"")</f>
        <v>3</v>
      </c>
      <c r="R1321" s="80" t="str">
        <f>REPLACE(INDEX(GroupVertices[Group],MATCH(Edges[[#This Row],[Vertex 2]],GroupVertices[Vertex],0)),1,1,"")</f>
        <v>1</v>
      </c>
      <c r="S1321" s="34"/>
      <c r="T1321" s="34"/>
      <c r="U1321" s="34"/>
      <c r="V1321" s="34"/>
      <c r="W1321" s="34"/>
      <c r="X1321" s="34"/>
      <c r="Y1321" s="34"/>
      <c r="Z1321" s="34"/>
      <c r="AA1321" s="34"/>
    </row>
    <row r="1322" spans="1:27" ht="15">
      <c r="A1322" s="66" t="s">
        <v>215</v>
      </c>
      <c r="B1322" s="66" t="s">
        <v>249</v>
      </c>
      <c r="C1322" s="67" t="s">
        <v>4454</v>
      </c>
      <c r="D1322" s="68">
        <v>5</v>
      </c>
      <c r="E1322" s="69"/>
      <c r="F1322" s="70">
        <v>20</v>
      </c>
      <c r="G1322" s="67"/>
      <c r="H1322" s="71"/>
      <c r="I1322" s="72"/>
      <c r="J1322" s="72"/>
      <c r="K1322" s="34" t="s">
        <v>65</v>
      </c>
      <c r="L1322" s="79">
        <v>1322</v>
      </c>
      <c r="M1322" s="79"/>
      <c r="N1322" s="74"/>
      <c r="O1322" s="81" t="s">
        <v>944</v>
      </c>
      <c r="P1322">
        <v>1</v>
      </c>
      <c r="Q1322" s="80" t="str">
        <f>REPLACE(INDEX(GroupVertices[Group],MATCH(Edges[[#This Row],[Vertex 1]],GroupVertices[Vertex],0)),1,1,"")</f>
        <v>3</v>
      </c>
      <c r="R1322" s="80" t="str">
        <f>REPLACE(INDEX(GroupVertices[Group],MATCH(Edges[[#This Row],[Vertex 2]],GroupVertices[Vertex],0)),1,1,"")</f>
        <v>2</v>
      </c>
      <c r="S1322" s="34"/>
      <c r="T1322" s="34"/>
      <c r="U1322" s="34"/>
      <c r="V1322" s="34"/>
      <c r="W1322" s="34"/>
      <c r="X1322" s="34"/>
      <c r="Y1322" s="34"/>
      <c r="Z1322" s="34"/>
      <c r="AA1322" s="34"/>
    </row>
    <row r="1323" spans="1:27" ht="15">
      <c r="A1323" s="66" t="s">
        <v>215</v>
      </c>
      <c r="B1323" s="66" t="s">
        <v>243</v>
      </c>
      <c r="C1323" s="67" t="s">
        <v>4454</v>
      </c>
      <c r="D1323" s="68">
        <v>5</v>
      </c>
      <c r="E1323" s="69"/>
      <c r="F1323" s="70">
        <v>20</v>
      </c>
      <c r="G1323" s="67"/>
      <c r="H1323" s="71"/>
      <c r="I1323" s="72"/>
      <c r="J1323" s="72"/>
      <c r="K1323" s="34" t="s">
        <v>66</v>
      </c>
      <c r="L1323" s="79">
        <v>1323</v>
      </c>
      <c r="M1323" s="79"/>
      <c r="N1323" s="74"/>
      <c r="O1323" s="81" t="s">
        <v>944</v>
      </c>
      <c r="P1323">
        <v>1</v>
      </c>
      <c r="Q1323" s="80" t="str">
        <f>REPLACE(INDEX(GroupVertices[Group],MATCH(Edges[[#This Row],[Vertex 1]],GroupVertices[Vertex],0)),1,1,"")</f>
        <v>3</v>
      </c>
      <c r="R1323" s="80" t="str">
        <f>REPLACE(INDEX(GroupVertices[Group],MATCH(Edges[[#This Row],[Vertex 2]],GroupVertices[Vertex],0)),1,1,"")</f>
        <v>2</v>
      </c>
      <c r="S1323" s="34"/>
      <c r="T1323" s="34"/>
      <c r="U1323" s="34"/>
      <c r="V1323" s="34"/>
      <c r="W1323" s="34"/>
      <c r="X1323" s="34"/>
      <c r="Y1323" s="34"/>
      <c r="Z1323" s="34"/>
      <c r="AA1323" s="34"/>
    </row>
    <row r="1324" spans="1:27" ht="15">
      <c r="A1324" s="66" t="s">
        <v>215</v>
      </c>
      <c r="B1324" s="66" t="s">
        <v>238</v>
      </c>
      <c r="C1324" s="67" t="s">
        <v>4454</v>
      </c>
      <c r="D1324" s="68">
        <v>5</v>
      </c>
      <c r="E1324" s="69"/>
      <c r="F1324" s="70">
        <v>20</v>
      </c>
      <c r="G1324" s="67"/>
      <c r="H1324" s="71"/>
      <c r="I1324" s="72"/>
      <c r="J1324" s="72"/>
      <c r="K1324" s="34" t="s">
        <v>65</v>
      </c>
      <c r="L1324" s="79">
        <v>1324</v>
      </c>
      <c r="M1324" s="79"/>
      <c r="N1324" s="74"/>
      <c r="O1324" s="81" t="s">
        <v>944</v>
      </c>
      <c r="P1324">
        <v>1</v>
      </c>
      <c r="Q1324" s="80" t="str">
        <f>REPLACE(INDEX(GroupVertices[Group],MATCH(Edges[[#This Row],[Vertex 1]],GroupVertices[Vertex],0)),1,1,"")</f>
        <v>3</v>
      </c>
      <c r="R1324" s="80" t="str">
        <f>REPLACE(INDEX(GroupVertices[Group],MATCH(Edges[[#This Row],[Vertex 2]],GroupVertices[Vertex],0)),1,1,"")</f>
        <v>2</v>
      </c>
      <c r="S1324" s="34"/>
      <c r="T1324" s="34"/>
      <c r="U1324" s="34"/>
      <c r="V1324" s="34"/>
      <c r="W1324" s="34"/>
      <c r="X1324" s="34"/>
      <c r="Y1324" s="34"/>
      <c r="Z1324" s="34"/>
      <c r="AA1324" s="34"/>
    </row>
    <row r="1325" spans="1:27" ht="15">
      <c r="A1325" s="66" t="s">
        <v>215</v>
      </c>
      <c r="B1325" s="66" t="s">
        <v>510</v>
      </c>
      <c r="C1325" s="67" t="s">
        <v>4454</v>
      </c>
      <c r="D1325" s="68">
        <v>5</v>
      </c>
      <c r="E1325" s="69"/>
      <c r="F1325" s="70">
        <v>20</v>
      </c>
      <c r="G1325" s="67"/>
      <c r="H1325" s="71"/>
      <c r="I1325" s="72"/>
      <c r="J1325" s="72"/>
      <c r="K1325" s="34" t="s">
        <v>65</v>
      </c>
      <c r="L1325" s="79">
        <v>1325</v>
      </c>
      <c r="M1325" s="79"/>
      <c r="N1325" s="74"/>
      <c r="O1325" s="81" t="s">
        <v>944</v>
      </c>
      <c r="P1325">
        <v>1</v>
      </c>
      <c r="Q1325" s="80" t="str">
        <f>REPLACE(INDEX(GroupVertices[Group],MATCH(Edges[[#This Row],[Vertex 1]],GroupVertices[Vertex],0)),1,1,"")</f>
        <v>3</v>
      </c>
      <c r="R1325" s="80" t="str">
        <f>REPLACE(INDEX(GroupVertices[Group],MATCH(Edges[[#This Row],[Vertex 2]],GroupVertices[Vertex],0)),1,1,"")</f>
        <v>2</v>
      </c>
      <c r="S1325" s="34"/>
      <c r="T1325" s="34"/>
      <c r="U1325" s="34"/>
      <c r="V1325" s="34"/>
      <c r="W1325" s="34"/>
      <c r="X1325" s="34"/>
      <c r="Y1325" s="34"/>
      <c r="Z1325" s="34"/>
      <c r="AA1325" s="34"/>
    </row>
    <row r="1326" spans="1:27" ht="15">
      <c r="A1326" s="66" t="s">
        <v>215</v>
      </c>
      <c r="B1326" s="66" t="s">
        <v>485</v>
      </c>
      <c r="C1326" s="67" t="s">
        <v>4454</v>
      </c>
      <c r="D1326" s="68">
        <v>5</v>
      </c>
      <c r="E1326" s="69"/>
      <c r="F1326" s="70">
        <v>20</v>
      </c>
      <c r="G1326" s="67"/>
      <c r="H1326" s="71"/>
      <c r="I1326" s="72"/>
      <c r="J1326" s="72"/>
      <c r="K1326" s="34" t="s">
        <v>65</v>
      </c>
      <c r="L1326" s="79">
        <v>1326</v>
      </c>
      <c r="M1326" s="79"/>
      <c r="N1326" s="74"/>
      <c r="O1326" s="81" t="s">
        <v>944</v>
      </c>
      <c r="P1326">
        <v>1</v>
      </c>
      <c r="Q1326" s="80" t="str">
        <f>REPLACE(INDEX(GroupVertices[Group],MATCH(Edges[[#This Row],[Vertex 1]],GroupVertices[Vertex],0)),1,1,"")</f>
        <v>3</v>
      </c>
      <c r="R1326" s="80" t="str">
        <f>REPLACE(INDEX(GroupVertices[Group],MATCH(Edges[[#This Row],[Vertex 2]],GroupVertices[Vertex],0)),1,1,"")</f>
        <v>1</v>
      </c>
      <c r="S1326" s="34"/>
      <c r="T1326" s="34"/>
      <c r="U1326" s="34"/>
      <c r="V1326" s="34"/>
      <c r="W1326" s="34"/>
      <c r="X1326" s="34"/>
      <c r="Y1326" s="34"/>
      <c r="Z1326" s="34"/>
      <c r="AA1326" s="34"/>
    </row>
    <row r="1327" spans="1:27" ht="15">
      <c r="A1327" s="66" t="s">
        <v>215</v>
      </c>
      <c r="B1327" s="66" t="s">
        <v>254</v>
      </c>
      <c r="C1327" s="67" t="s">
        <v>4454</v>
      </c>
      <c r="D1327" s="68">
        <v>5</v>
      </c>
      <c r="E1327" s="69"/>
      <c r="F1327" s="70">
        <v>20</v>
      </c>
      <c r="G1327" s="67"/>
      <c r="H1327" s="71"/>
      <c r="I1327" s="72"/>
      <c r="J1327" s="72"/>
      <c r="K1327" s="34" t="s">
        <v>65</v>
      </c>
      <c r="L1327" s="79">
        <v>1327</v>
      </c>
      <c r="M1327" s="79"/>
      <c r="N1327" s="74"/>
      <c r="O1327" s="81" t="s">
        <v>944</v>
      </c>
      <c r="P1327">
        <v>1</v>
      </c>
      <c r="Q1327" s="80" t="str">
        <f>REPLACE(INDEX(GroupVertices[Group],MATCH(Edges[[#This Row],[Vertex 1]],GroupVertices[Vertex],0)),1,1,"")</f>
        <v>3</v>
      </c>
      <c r="R1327" s="80" t="str">
        <f>REPLACE(INDEX(GroupVertices[Group],MATCH(Edges[[#This Row],[Vertex 2]],GroupVertices[Vertex],0)),1,1,"")</f>
        <v>3</v>
      </c>
      <c r="S1327" s="34"/>
      <c r="T1327" s="34"/>
      <c r="U1327" s="34"/>
      <c r="V1327" s="34"/>
      <c r="W1327" s="34"/>
      <c r="X1327" s="34"/>
      <c r="Y1327" s="34"/>
      <c r="Z1327" s="34"/>
      <c r="AA1327" s="34"/>
    </row>
    <row r="1328" spans="1:27" ht="15">
      <c r="A1328" s="66" t="s">
        <v>215</v>
      </c>
      <c r="B1328" s="66" t="s">
        <v>239</v>
      </c>
      <c r="C1328" s="67" t="s">
        <v>4454</v>
      </c>
      <c r="D1328" s="68">
        <v>5</v>
      </c>
      <c r="E1328" s="69"/>
      <c r="F1328" s="70">
        <v>20</v>
      </c>
      <c r="G1328" s="67"/>
      <c r="H1328" s="71"/>
      <c r="I1328" s="72"/>
      <c r="J1328" s="72"/>
      <c r="K1328" s="34" t="s">
        <v>66</v>
      </c>
      <c r="L1328" s="79">
        <v>1328</v>
      </c>
      <c r="M1328" s="79"/>
      <c r="N1328" s="74"/>
      <c r="O1328" s="81" t="s">
        <v>944</v>
      </c>
      <c r="P1328">
        <v>1</v>
      </c>
      <c r="Q1328" s="80" t="str">
        <f>REPLACE(INDEX(GroupVertices[Group],MATCH(Edges[[#This Row],[Vertex 1]],GroupVertices[Vertex],0)),1,1,"")</f>
        <v>3</v>
      </c>
      <c r="R1328" s="80" t="str">
        <f>REPLACE(INDEX(GroupVertices[Group],MATCH(Edges[[#This Row],[Vertex 2]],GroupVertices[Vertex],0)),1,1,"")</f>
        <v>3</v>
      </c>
      <c r="S1328" s="34"/>
      <c r="T1328" s="34"/>
      <c r="U1328" s="34"/>
      <c r="V1328" s="34"/>
      <c r="W1328" s="34"/>
      <c r="X1328" s="34"/>
      <c r="Y1328" s="34"/>
      <c r="Z1328" s="34"/>
      <c r="AA1328" s="34"/>
    </row>
    <row r="1329" spans="1:27" ht="15">
      <c r="A1329" s="66" t="s">
        <v>215</v>
      </c>
      <c r="B1329" s="66" t="s">
        <v>850</v>
      </c>
      <c r="C1329" s="67" t="s">
        <v>4454</v>
      </c>
      <c r="D1329" s="68">
        <v>5</v>
      </c>
      <c r="E1329" s="69"/>
      <c r="F1329" s="70">
        <v>20</v>
      </c>
      <c r="G1329" s="67"/>
      <c r="H1329" s="71"/>
      <c r="I1329" s="72"/>
      <c r="J1329" s="72"/>
      <c r="K1329" s="34" t="s">
        <v>65</v>
      </c>
      <c r="L1329" s="79">
        <v>1329</v>
      </c>
      <c r="M1329" s="79"/>
      <c r="N1329" s="74"/>
      <c r="O1329" s="81" t="s">
        <v>944</v>
      </c>
      <c r="P1329">
        <v>1</v>
      </c>
      <c r="Q1329" s="80" t="str">
        <f>REPLACE(INDEX(GroupVertices[Group],MATCH(Edges[[#This Row],[Vertex 1]],GroupVertices[Vertex],0)),1,1,"")</f>
        <v>3</v>
      </c>
      <c r="R1329" s="80" t="str">
        <f>REPLACE(INDEX(GroupVertices[Group],MATCH(Edges[[#This Row],[Vertex 2]],GroupVertices[Vertex],0)),1,1,"")</f>
        <v>3</v>
      </c>
      <c r="S1329" s="34"/>
      <c r="T1329" s="34"/>
      <c r="U1329" s="34"/>
      <c r="V1329" s="34"/>
      <c r="W1329" s="34"/>
      <c r="X1329" s="34"/>
      <c r="Y1329" s="34"/>
      <c r="Z1329" s="34"/>
      <c r="AA1329" s="34"/>
    </row>
    <row r="1330" spans="1:27" ht="15">
      <c r="A1330" s="66" t="s">
        <v>215</v>
      </c>
      <c r="B1330" s="66" t="s">
        <v>253</v>
      </c>
      <c r="C1330" s="67" t="s">
        <v>4454</v>
      </c>
      <c r="D1330" s="68">
        <v>5</v>
      </c>
      <c r="E1330" s="69"/>
      <c r="F1330" s="70">
        <v>20</v>
      </c>
      <c r="G1330" s="67"/>
      <c r="H1330" s="71"/>
      <c r="I1330" s="72"/>
      <c r="J1330" s="72"/>
      <c r="K1330" s="34" t="s">
        <v>65</v>
      </c>
      <c r="L1330" s="79">
        <v>1330</v>
      </c>
      <c r="M1330" s="79"/>
      <c r="N1330" s="74"/>
      <c r="O1330" s="81" t="s">
        <v>944</v>
      </c>
      <c r="P1330">
        <v>1</v>
      </c>
      <c r="Q1330" s="80" t="str">
        <f>REPLACE(INDEX(GroupVertices[Group],MATCH(Edges[[#This Row],[Vertex 1]],GroupVertices[Vertex],0)),1,1,"")</f>
        <v>3</v>
      </c>
      <c r="R1330" s="80" t="str">
        <f>REPLACE(INDEX(GroupVertices[Group],MATCH(Edges[[#This Row],[Vertex 2]],GroupVertices[Vertex],0)),1,1,"")</f>
        <v>1</v>
      </c>
      <c r="S1330" s="34"/>
      <c r="T1330" s="34"/>
      <c r="U1330" s="34"/>
      <c r="V1330" s="34"/>
      <c r="W1330" s="34"/>
      <c r="X1330" s="34"/>
      <c r="Y1330" s="34"/>
      <c r="Z1330" s="34"/>
      <c r="AA1330" s="34"/>
    </row>
    <row r="1331" spans="1:27" ht="15">
      <c r="A1331" s="66" t="s">
        <v>215</v>
      </c>
      <c r="B1331" s="66" t="s">
        <v>223</v>
      </c>
      <c r="C1331" s="67" t="s">
        <v>4454</v>
      </c>
      <c r="D1331" s="68">
        <v>5</v>
      </c>
      <c r="E1331" s="69"/>
      <c r="F1331" s="70">
        <v>20</v>
      </c>
      <c r="G1331" s="67"/>
      <c r="H1331" s="71"/>
      <c r="I1331" s="72"/>
      <c r="J1331" s="72"/>
      <c r="K1331" s="34" t="s">
        <v>66</v>
      </c>
      <c r="L1331" s="79">
        <v>1331</v>
      </c>
      <c r="M1331" s="79"/>
      <c r="N1331" s="74"/>
      <c r="O1331" s="81" t="s">
        <v>944</v>
      </c>
      <c r="P1331">
        <v>1</v>
      </c>
      <c r="Q1331" s="80" t="str">
        <f>REPLACE(INDEX(GroupVertices[Group],MATCH(Edges[[#This Row],[Vertex 1]],GroupVertices[Vertex],0)),1,1,"")</f>
        <v>3</v>
      </c>
      <c r="R1331" s="80" t="str">
        <f>REPLACE(INDEX(GroupVertices[Group],MATCH(Edges[[#This Row],[Vertex 2]],GroupVertices[Vertex],0)),1,1,"")</f>
        <v>3</v>
      </c>
      <c r="S1331" s="34"/>
      <c r="T1331" s="34"/>
      <c r="U1331" s="34"/>
      <c r="V1331" s="34"/>
      <c r="W1331" s="34"/>
      <c r="X1331" s="34"/>
      <c r="Y1331" s="34"/>
      <c r="Z1331" s="34"/>
      <c r="AA1331" s="34"/>
    </row>
    <row r="1332" spans="1:27" ht="15">
      <c r="A1332" s="66" t="s">
        <v>215</v>
      </c>
      <c r="B1332" s="66" t="s">
        <v>259</v>
      </c>
      <c r="C1332" s="67" t="s">
        <v>4454</v>
      </c>
      <c r="D1332" s="68">
        <v>5</v>
      </c>
      <c r="E1332" s="69"/>
      <c r="F1332" s="70">
        <v>20</v>
      </c>
      <c r="G1332" s="67"/>
      <c r="H1332" s="71"/>
      <c r="I1332" s="72"/>
      <c r="J1332" s="72"/>
      <c r="K1332" s="34" t="s">
        <v>65</v>
      </c>
      <c r="L1332" s="79">
        <v>1332</v>
      </c>
      <c r="M1332" s="79"/>
      <c r="N1332" s="74"/>
      <c r="O1332" s="81" t="s">
        <v>944</v>
      </c>
      <c r="P1332">
        <v>1</v>
      </c>
      <c r="Q1332" s="80" t="str">
        <f>REPLACE(INDEX(GroupVertices[Group],MATCH(Edges[[#This Row],[Vertex 1]],GroupVertices[Vertex],0)),1,1,"")</f>
        <v>3</v>
      </c>
      <c r="R1332" s="80" t="str">
        <f>REPLACE(INDEX(GroupVertices[Group],MATCH(Edges[[#This Row],[Vertex 2]],GroupVertices[Vertex],0)),1,1,"")</f>
        <v>2</v>
      </c>
      <c r="S1332" s="34"/>
      <c r="T1332" s="34"/>
      <c r="U1332" s="34"/>
      <c r="V1332" s="34"/>
      <c r="W1332" s="34"/>
      <c r="X1332" s="34"/>
      <c r="Y1332" s="34"/>
      <c r="Z1332" s="34"/>
      <c r="AA1332" s="34"/>
    </row>
    <row r="1333" spans="1:27" ht="15">
      <c r="A1333" s="66" t="s">
        <v>223</v>
      </c>
      <c r="B1333" s="66" t="s">
        <v>215</v>
      </c>
      <c r="C1333" s="67" t="s">
        <v>4454</v>
      </c>
      <c r="D1333" s="68">
        <v>5</v>
      </c>
      <c r="E1333" s="69"/>
      <c r="F1333" s="70">
        <v>20</v>
      </c>
      <c r="G1333" s="67"/>
      <c r="H1333" s="71"/>
      <c r="I1333" s="72"/>
      <c r="J1333" s="72"/>
      <c r="K1333" s="34" t="s">
        <v>66</v>
      </c>
      <c r="L1333" s="79">
        <v>1333</v>
      </c>
      <c r="M1333" s="79"/>
      <c r="N1333" s="74"/>
      <c r="O1333" s="81" t="s">
        <v>944</v>
      </c>
      <c r="P1333">
        <v>1</v>
      </c>
      <c r="Q1333" s="80" t="str">
        <f>REPLACE(INDEX(GroupVertices[Group],MATCH(Edges[[#This Row],[Vertex 1]],GroupVertices[Vertex],0)),1,1,"")</f>
        <v>3</v>
      </c>
      <c r="R1333" s="80" t="str">
        <f>REPLACE(INDEX(GroupVertices[Group],MATCH(Edges[[#This Row],[Vertex 2]],GroupVertices[Vertex],0)),1,1,"")</f>
        <v>3</v>
      </c>
      <c r="S1333" s="34"/>
      <c r="T1333" s="34"/>
      <c r="U1333" s="34"/>
      <c r="V1333" s="34"/>
      <c r="W1333" s="34"/>
      <c r="X1333" s="34"/>
      <c r="Y1333" s="34"/>
      <c r="Z1333" s="34"/>
      <c r="AA1333" s="34"/>
    </row>
    <row r="1334" spans="1:27" ht="15">
      <c r="A1334" s="66" t="s">
        <v>233</v>
      </c>
      <c r="B1334" s="66" t="s">
        <v>215</v>
      </c>
      <c r="C1334" s="67" t="s">
        <v>4454</v>
      </c>
      <c r="D1334" s="68">
        <v>5</v>
      </c>
      <c r="E1334" s="69"/>
      <c r="F1334" s="70">
        <v>20</v>
      </c>
      <c r="G1334" s="67"/>
      <c r="H1334" s="71"/>
      <c r="I1334" s="72"/>
      <c r="J1334" s="72"/>
      <c r="K1334" s="34" t="s">
        <v>65</v>
      </c>
      <c r="L1334" s="79">
        <v>1334</v>
      </c>
      <c r="M1334" s="79"/>
      <c r="N1334" s="74"/>
      <c r="O1334" s="81" t="s">
        <v>944</v>
      </c>
      <c r="P1334">
        <v>1</v>
      </c>
      <c r="Q1334" s="80" t="str">
        <f>REPLACE(INDEX(GroupVertices[Group],MATCH(Edges[[#This Row],[Vertex 1]],GroupVertices[Vertex],0)),1,1,"")</f>
        <v>2</v>
      </c>
      <c r="R1334" s="80" t="str">
        <f>REPLACE(INDEX(GroupVertices[Group],MATCH(Edges[[#This Row],[Vertex 2]],GroupVertices[Vertex],0)),1,1,"")</f>
        <v>3</v>
      </c>
      <c r="S1334" s="34"/>
      <c r="T1334" s="34"/>
      <c r="U1334" s="34"/>
      <c r="V1334" s="34"/>
      <c r="W1334" s="34"/>
      <c r="X1334" s="34"/>
      <c r="Y1334" s="34"/>
      <c r="Z1334" s="34"/>
      <c r="AA1334" s="34"/>
    </row>
    <row r="1335" spans="1:27" ht="15">
      <c r="A1335" s="66" t="s">
        <v>235</v>
      </c>
      <c r="B1335" s="66" t="s">
        <v>215</v>
      </c>
      <c r="C1335" s="67" t="s">
        <v>4454</v>
      </c>
      <c r="D1335" s="68">
        <v>5</v>
      </c>
      <c r="E1335" s="69"/>
      <c r="F1335" s="70">
        <v>20</v>
      </c>
      <c r="G1335" s="67"/>
      <c r="H1335" s="71"/>
      <c r="I1335" s="72"/>
      <c r="J1335" s="72"/>
      <c r="K1335" s="34" t="s">
        <v>66</v>
      </c>
      <c r="L1335" s="79">
        <v>1335</v>
      </c>
      <c r="M1335" s="79"/>
      <c r="N1335" s="74"/>
      <c r="O1335" s="81" t="s">
        <v>944</v>
      </c>
      <c r="P1335">
        <v>1</v>
      </c>
      <c r="Q1335" s="80" t="str">
        <f>REPLACE(INDEX(GroupVertices[Group],MATCH(Edges[[#This Row],[Vertex 1]],GroupVertices[Vertex],0)),1,1,"")</f>
        <v>2</v>
      </c>
      <c r="R1335" s="80" t="str">
        <f>REPLACE(INDEX(GroupVertices[Group],MATCH(Edges[[#This Row],[Vertex 2]],GroupVertices[Vertex],0)),1,1,"")</f>
        <v>3</v>
      </c>
      <c r="S1335" s="34"/>
      <c r="T1335" s="34"/>
      <c r="U1335" s="34"/>
      <c r="V1335" s="34"/>
      <c r="W1335" s="34"/>
      <c r="X1335" s="34"/>
      <c r="Y1335" s="34"/>
      <c r="Z1335" s="34"/>
      <c r="AA1335" s="34"/>
    </row>
    <row r="1336" spans="1:27" ht="15">
      <c r="A1336" s="66" t="s">
        <v>239</v>
      </c>
      <c r="B1336" s="66" t="s">
        <v>215</v>
      </c>
      <c r="C1336" s="67" t="s">
        <v>4454</v>
      </c>
      <c r="D1336" s="68">
        <v>5</v>
      </c>
      <c r="E1336" s="69"/>
      <c r="F1336" s="70">
        <v>20</v>
      </c>
      <c r="G1336" s="67"/>
      <c r="H1336" s="71"/>
      <c r="I1336" s="72"/>
      <c r="J1336" s="72"/>
      <c r="K1336" s="34" t="s">
        <v>66</v>
      </c>
      <c r="L1336" s="79">
        <v>1336</v>
      </c>
      <c r="M1336" s="79"/>
      <c r="N1336" s="74"/>
      <c r="O1336" s="81" t="s">
        <v>944</v>
      </c>
      <c r="P1336">
        <v>1</v>
      </c>
      <c r="Q1336" s="80" t="str">
        <f>REPLACE(INDEX(GroupVertices[Group],MATCH(Edges[[#This Row],[Vertex 1]],GroupVertices[Vertex],0)),1,1,"")</f>
        <v>3</v>
      </c>
      <c r="R1336" s="80" t="str">
        <f>REPLACE(INDEX(GroupVertices[Group],MATCH(Edges[[#This Row],[Vertex 2]],GroupVertices[Vertex],0)),1,1,"")</f>
        <v>3</v>
      </c>
      <c r="S1336" s="34"/>
      <c r="T1336" s="34"/>
      <c r="U1336" s="34"/>
      <c r="V1336" s="34"/>
      <c r="W1336" s="34"/>
      <c r="X1336" s="34"/>
      <c r="Y1336" s="34"/>
      <c r="Z1336" s="34"/>
      <c r="AA1336" s="34"/>
    </row>
    <row r="1337" spans="1:27" ht="15">
      <c r="A1337" s="66" t="s">
        <v>240</v>
      </c>
      <c r="B1337" s="66" t="s">
        <v>215</v>
      </c>
      <c r="C1337" s="67" t="s">
        <v>4454</v>
      </c>
      <c r="D1337" s="68">
        <v>5</v>
      </c>
      <c r="E1337" s="69"/>
      <c r="F1337" s="70">
        <v>20</v>
      </c>
      <c r="G1337" s="67"/>
      <c r="H1337" s="71"/>
      <c r="I1337" s="72"/>
      <c r="J1337" s="72"/>
      <c r="K1337" s="34" t="s">
        <v>66</v>
      </c>
      <c r="L1337" s="79">
        <v>1337</v>
      </c>
      <c r="M1337" s="79"/>
      <c r="N1337" s="74"/>
      <c r="O1337" s="81" t="s">
        <v>944</v>
      </c>
      <c r="P1337">
        <v>1</v>
      </c>
      <c r="Q1337" s="80" t="str">
        <f>REPLACE(INDEX(GroupVertices[Group],MATCH(Edges[[#This Row],[Vertex 1]],GroupVertices[Vertex],0)),1,1,"")</f>
        <v>2</v>
      </c>
      <c r="R1337" s="80" t="str">
        <f>REPLACE(INDEX(GroupVertices[Group],MATCH(Edges[[#This Row],[Vertex 2]],GroupVertices[Vertex],0)),1,1,"")</f>
        <v>3</v>
      </c>
      <c r="S1337" s="34"/>
      <c r="T1337" s="34"/>
      <c r="U1337" s="34"/>
      <c r="V1337" s="34"/>
      <c r="W1337" s="34"/>
      <c r="X1337" s="34"/>
      <c r="Y1337" s="34"/>
      <c r="Z1337" s="34"/>
      <c r="AA1337" s="34"/>
    </row>
    <row r="1338" spans="1:27" ht="15">
      <c r="A1338" s="66" t="s">
        <v>243</v>
      </c>
      <c r="B1338" s="66" t="s">
        <v>215</v>
      </c>
      <c r="C1338" s="67" t="s">
        <v>4454</v>
      </c>
      <c r="D1338" s="68">
        <v>5</v>
      </c>
      <c r="E1338" s="69"/>
      <c r="F1338" s="70">
        <v>20</v>
      </c>
      <c r="G1338" s="67"/>
      <c r="H1338" s="71"/>
      <c r="I1338" s="72"/>
      <c r="J1338" s="72"/>
      <c r="K1338" s="34" t="s">
        <v>66</v>
      </c>
      <c r="L1338" s="79">
        <v>1338</v>
      </c>
      <c r="M1338" s="79"/>
      <c r="N1338" s="74"/>
      <c r="O1338" s="81" t="s">
        <v>944</v>
      </c>
      <c r="P1338">
        <v>1</v>
      </c>
      <c r="Q1338" s="80" t="str">
        <f>REPLACE(INDEX(GroupVertices[Group],MATCH(Edges[[#This Row],[Vertex 1]],GroupVertices[Vertex],0)),1,1,"")</f>
        <v>2</v>
      </c>
      <c r="R1338" s="80" t="str">
        <f>REPLACE(INDEX(GroupVertices[Group],MATCH(Edges[[#This Row],[Vertex 2]],GroupVertices[Vertex],0)),1,1,"")</f>
        <v>3</v>
      </c>
      <c r="S1338" s="34"/>
      <c r="T1338" s="34"/>
      <c r="U1338" s="34"/>
      <c r="V1338" s="34"/>
      <c r="W1338" s="34"/>
      <c r="X1338" s="34"/>
      <c r="Y1338" s="34"/>
      <c r="Z1338" s="34"/>
      <c r="AA1338" s="34"/>
    </row>
    <row r="1339" spans="1:27" ht="15">
      <c r="A1339" s="66" t="s">
        <v>246</v>
      </c>
      <c r="B1339" s="66" t="s">
        <v>215</v>
      </c>
      <c r="C1339" s="67" t="s">
        <v>4454</v>
      </c>
      <c r="D1339" s="68">
        <v>5</v>
      </c>
      <c r="E1339" s="69"/>
      <c r="F1339" s="70">
        <v>20</v>
      </c>
      <c r="G1339" s="67"/>
      <c r="H1339" s="71"/>
      <c r="I1339" s="72"/>
      <c r="J1339" s="72"/>
      <c r="K1339" s="34" t="s">
        <v>66</v>
      </c>
      <c r="L1339" s="79">
        <v>1339</v>
      </c>
      <c r="M1339" s="79"/>
      <c r="N1339" s="74"/>
      <c r="O1339" s="81" t="s">
        <v>944</v>
      </c>
      <c r="P1339">
        <v>1</v>
      </c>
      <c r="Q1339" s="80" t="str">
        <f>REPLACE(INDEX(GroupVertices[Group],MATCH(Edges[[#This Row],[Vertex 1]],GroupVertices[Vertex],0)),1,1,"")</f>
        <v>2</v>
      </c>
      <c r="R1339" s="80" t="str">
        <f>REPLACE(INDEX(GroupVertices[Group],MATCH(Edges[[#This Row],[Vertex 2]],GroupVertices[Vertex],0)),1,1,"")</f>
        <v>3</v>
      </c>
      <c r="S1339" s="34"/>
      <c r="T1339" s="34"/>
      <c r="U1339" s="34"/>
      <c r="V1339" s="34"/>
      <c r="W1339" s="34"/>
      <c r="X1339" s="34"/>
      <c r="Y1339" s="34"/>
      <c r="Z1339" s="34"/>
      <c r="AA1339" s="34"/>
    </row>
    <row r="1340" spans="1:27" ht="15">
      <c r="A1340" s="66" t="s">
        <v>247</v>
      </c>
      <c r="B1340" s="66" t="s">
        <v>215</v>
      </c>
      <c r="C1340" s="67" t="s">
        <v>4454</v>
      </c>
      <c r="D1340" s="68">
        <v>5</v>
      </c>
      <c r="E1340" s="69"/>
      <c r="F1340" s="70">
        <v>20</v>
      </c>
      <c r="G1340" s="67"/>
      <c r="H1340" s="71"/>
      <c r="I1340" s="72"/>
      <c r="J1340" s="72"/>
      <c r="K1340" s="34" t="s">
        <v>66</v>
      </c>
      <c r="L1340" s="79">
        <v>1340</v>
      </c>
      <c r="M1340" s="79"/>
      <c r="N1340" s="74"/>
      <c r="O1340" s="81" t="s">
        <v>944</v>
      </c>
      <c r="P1340">
        <v>1</v>
      </c>
      <c r="Q1340" s="80" t="str">
        <f>REPLACE(INDEX(GroupVertices[Group],MATCH(Edges[[#This Row],[Vertex 1]],GroupVertices[Vertex],0)),1,1,"")</f>
        <v>2</v>
      </c>
      <c r="R1340" s="80" t="str">
        <f>REPLACE(INDEX(GroupVertices[Group],MATCH(Edges[[#This Row],[Vertex 2]],GroupVertices[Vertex],0)),1,1,"")</f>
        <v>3</v>
      </c>
      <c r="S1340" s="34"/>
      <c r="T1340" s="34"/>
      <c r="U1340" s="34"/>
      <c r="V1340" s="34"/>
      <c r="W1340" s="34"/>
      <c r="X1340" s="34"/>
      <c r="Y1340" s="34"/>
      <c r="Z1340" s="34"/>
      <c r="AA1340" s="34"/>
    </row>
    <row r="1341" spans="1:27" ht="15">
      <c r="A1341" s="66" t="s">
        <v>251</v>
      </c>
      <c r="B1341" s="66" t="s">
        <v>215</v>
      </c>
      <c r="C1341" s="67" t="s">
        <v>4454</v>
      </c>
      <c r="D1341" s="68">
        <v>5</v>
      </c>
      <c r="E1341" s="69"/>
      <c r="F1341" s="70">
        <v>20</v>
      </c>
      <c r="G1341" s="67"/>
      <c r="H1341" s="71"/>
      <c r="I1341" s="72"/>
      <c r="J1341" s="72"/>
      <c r="K1341" s="34" t="s">
        <v>65</v>
      </c>
      <c r="L1341" s="79">
        <v>1341</v>
      </c>
      <c r="M1341" s="79"/>
      <c r="N1341" s="74"/>
      <c r="O1341" s="81" t="s">
        <v>944</v>
      </c>
      <c r="P1341">
        <v>1</v>
      </c>
      <c r="Q1341" s="80" t="str">
        <f>REPLACE(INDEX(GroupVertices[Group],MATCH(Edges[[#This Row],[Vertex 1]],GroupVertices[Vertex],0)),1,1,"")</f>
        <v>2</v>
      </c>
      <c r="R1341" s="80" t="str">
        <f>REPLACE(INDEX(GroupVertices[Group],MATCH(Edges[[#This Row],[Vertex 2]],GroupVertices[Vertex],0)),1,1,"")</f>
        <v>3</v>
      </c>
      <c r="S1341" s="34"/>
      <c r="T1341" s="34"/>
      <c r="U1341" s="34"/>
      <c r="V1341" s="34"/>
      <c r="W1341" s="34"/>
      <c r="X1341" s="34"/>
      <c r="Y1341" s="34"/>
      <c r="Z1341" s="34"/>
      <c r="AA1341" s="34"/>
    </row>
    <row r="1342" spans="1:27" ht="15">
      <c r="A1342" s="66" t="s">
        <v>255</v>
      </c>
      <c r="B1342" s="66" t="s">
        <v>215</v>
      </c>
      <c r="C1342" s="67" t="s">
        <v>4454</v>
      </c>
      <c r="D1342" s="68">
        <v>5</v>
      </c>
      <c r="E1342" s="69"/>
      <c r="F1342" s="70">
        <v>20</v>
      </c>
      <c r="G1342" s="67"/>
      <c r="H1342" s="71"/>
      <c r="I1342" s="72"/>
      <c r="J1342" s="72"/>
      <c r="K1342" s="34" t="s">
        <v>66</v>
      </c>
      <c r="L1342" s="79">
        <v>1342</v>
      </c>
      <c r="M1342" s="79"/>
      <c r="N1342" s="74"/>
      <c r="O1342" s="81" t="s">
        <v>944</v>
      </c>
      <c r="P1342">
        <v>1</v>
      </c>
      <c r="Q1342" s="80" t="str">
        <f>REPLACE(INDEX(GroupVertices[Group],MATCH(Edges[[#This Row],[Vertex 1]],GroupVertices[Vertex],0)),1,1,"")</f>
        <v>4</v>
      </c>
      <c r="R1342" s="80" t="str">
        <f>REPLACE(INDEX(GroupVertices[Group],MATCH(Edges[[#This Row],[Vertex 2]],GroupVertices[Vertex],0)),1,1,"")</f>
        <v>3</v>
      </c>
      <c r="S1342" s="34"/>
      <c r="T1342" s="34"/>
      <c r="U1342" s="34"/>
      <c r="V1342" s="34"/>
      <c r="W1342" s="34"/>
      <c r="X1342" s="34"/>
      <c r="Y1342" s="34"/>
      <c r="Z1342" s="34"/>
      <c r="AA1342" s="34"/>
    </row>
    <row r="1343" spans="1:27" ht="15">
      <c r="A1343" s="66" t="s">
        <v>256</v>
      </c>
      <c r="B1343" s="66" t="s">
        <v>215</v>
      </c>
      <c r="C1343" s="67" t="s">
        <v>4454</v>
      </c>
      <c r="D1343" s="68">
        <v>5</v>
      </c>
      <c r="E1343" s="69"/>
      <c r="F1343" s="70">
        <v>20</v>
      </c>
      <c r="G1343" s="67"/>
      <c r="H1343" s="71"/>
      <c r="I1343" s="72"/>
      <c r="J1343" s="72"/>
      <c r="K1343" s="34" t="s">
        <v>66</v>
      </c>
      <c r="L1343" s="79">
        <v>1343</v>
      </c>
      <c r="M1343" s="79"/>
      <c r="N1343" s="74"/>
      <c r="O1343" s="81" t="s">
        <v>944</v>
      </c>
      <c r="P1343">
        <v>1</v>
      </c>
      <c r="Q1343" s="80" t="str">
        <f>REPLACE(INDEX(GroupVertices[Group],MATCH(Edges[[#This Row],[Vertex 1]],GroupVertices[Vertex],0)),1,1,"")</f>
        <v>1</v>
      </c>
      <c r="R1343" s="80" t="str">
        <f>REPLACE(INDEX(GroupVertices[Group],MATCH(Edges[[#This Row],[Vertex 2]],GroupVertices[Vertex],0)),1,1,"")</f>
        <v>3</v>
      </c>
      <c r="S1343" s="34"/>
      <c r="T1343" s="34"/>
      <c r="U1343" s="34"/>
      <c r="V1343" s="34"/>
      <c r="W1343" s="34"/>
      <c r="X1343" s="34"/>
      <c r="Y1343" s="34"/>
      <c r="Z1343" s="34"/>
      <c r="AA1343" s="34"/>
    </row>
    <row r="1344" spans="1:27" ht="15">
      <c r="A1344" s="66" t="s">
        <v>257</v>
      </c>
      <c r="B1344" s="66" t="s">
        <v>215</v>
      </c>
      <c r="C1344" s="67" t="s">
        <v>4454</v>
      </c>
      <c r="D1344" s="68">
        <v>5</v>
      </c>
      <c r="E1344" s="69"/>
      <c r="F1344" s="70">
        <v>20</v>
      </c>
      <c r="G1344" s="67"/>
      <c r="H1344" s="71"/>
      <c r="I1344" s="72"/>
      <c r="J1344" s="72"/>
      <c r="K1344" s="34" t="s">
        <v>66</v>
      </c>
      <c r="L1344" s="79">
        <v>1344</v>
      </c>
      <c r="M1344" s="79"/>
      <c r="N1344" s="74"/>
      <c r="O1344" s="81" t="s">
        <v>944</v>
      </c>
      <c r="P1344">
        <v>1</v>
      </c>
      <c r="Q1344" s="80" t="str">
        <f>REPLACE(INDEX(GroupVertices[Group],MATCH(Edges[[#This Row],[Vertex 1]],GroupVertices[Vertex],0)),1,1,"")</f>
        <v>2</v>
      </c>
      <c r="R1344" s="80" t="str">
        <f>REPLACE(INDEX(GroupVertices[Group],MATCH(Edges[[#This Row],[Vertex 2]],GroupVertices[Vertex],0)),1,1,"")</f>
        <v>3</v>
      </c>
      <c r="S1344" s="34"/>
      <c r="T1344" s="34"/>
      <c r="U1344" s="34"/>
      <c r="V1344" s="34"/>
      <c r="W1344" s="34"/>
      <c r="X1344" s="34"/>
      <c r="Y1344" s="34"/>
      <c r="Z1344" s="34"/>
      <c r="AA1344" s="34"/>
    </row>
    <row r="1345" spans="1:27" ht="15">
      <c r="A1345" s="66" t="s">
        <v>220</v>
      </c>
      <c r="B1345" s="66" t="s">
        <v>251</v>
      </c>
      <c r="C1345" s="67" t="s">
        <v>4454</v>
      </c>
      <c r="D1345" s="68">
        <v>5</v>
      </c>
      <c r="E1345" s="69"/>
      <c r="F1345" s="70">
        <v>20</v>
      </c>
      <c r="G1345" s="67"/>
      <c r="H1345" s="71"/>
      <c r="I1345" s="72"/>
      <c r="J1345" s="72"/>
      <c r="K1345" s="34" t="s">
        <v>66</v>
      </c>
      <c r="L1345" s="79">
        <v>1345</v>
      </c>
      <c r="M1345" s="79"/>
      <c r="N1345" s="74"/>
      <c r="O1345" s="81" t="s">
        <v>944</v>
      </c>
      <c r="P1345">
        <v>1</v>
      </c>
      <c r="Q1345" s="80" t="str">
        <f>REPLACE(INDEX(GroupVertices[Group],MATCH(Edges[[#This Row],[Vertex 1]],GroupVertices[Vertex],0)),1,1,"")</f>
        <v>2</v>
      </c>
      <c r="R1345" s="80" t="str">
        <f>REPLACE(INDEX(GroupVertices[Group],MATCH(Edges[[#This Row],[Vertex 2]],GroupVertices[Vertex],0)),1,1,"")</f>
        <v>2</v>
      </c>
      <c r="S1345" s="34"/>
      <c r="T1345" s="34"/>
      <c r="U1345" s="34"/>
      <c r="V1345" s="34"/>
      <c r="W1345" s="34"/>
      <c r="X1345" s="34"/>
      <c r="Y1345" s="34"/>
      <c r="Z1345" s="34"/>
      <c r="AA1345" s="34"/>
    </row>
    <row r="1346" spans="1:27" ht="15">
      <c r="A1346" s="66" t="s">
        <v>222</v>
      </c>
      <c r="B1346" s="66" t="s">
        <v>251</v>
      </c>
      <c r="C1346" s="67" t="s">
        <v>4454</v>
      </c>
      <c r="D1346" s="68">
        <v>5</v>
      </c>
      <c r="E1346" s="69"/>
      <c r="F1346" s="70">
        <v>20</v>
      </c>
      <c r="G1346" s="67"/>
      <c r="H1346" s="71"/>
      <c r="I1346" s="72"/>
      <c r="J1346" s="72"/>
      <c r="K1346" s="34" t="s">
        <v>65</v>
      </c>
      <c r="L1346" s="79">
        <v>1346</v>
      </c>
      <c r="M1346" s="79"/>
      <c r="N1346" s="74"/>
      <c r="O1346" s="81" t="s">
        <v>944</v>
      </c>
      <c r="P1346">
        <v>1</v>
      </c>
      <c r="Q1346" s="80" t="str">
        <f>REPLACE(INDEX(GroupVertices[Group],MATCH(Edges[[#This Row],[Vertex 1]],GroupVertices[Vertex],0)),1,1,"")</f>
        <v>2</v>
      </c>
      <c r="R1346" s="80" t="str">
        <f>REPLACE(INDEX(GroupVertices[Group],MATCH(Edges[[#This Row],[Vertex 2]],GroupVertices[Vertex],0)),1,1,"")</f>
        <v>2</v>
      </c>
      <c r="S1346" s="34"/>
      <c r="T1346" s="34"/>
      <c r="U1346" s="34"/>
      <c r="V1346" s="34"/>
      <c r="W1346" s="34"/>
      <c r="X1346" s="34"/>
      <c r="Y1346" s="34"/>
      <c r="Z1346" s="34"/>
      <c r="AA1346" s="34"/>
    </row>
    <row r="1347" spans="1:27" ht="15">
      <c r="A1347" s="66" t="s">
        <v>224</v>
      </c>
      <c r="B1347" s="66" t="s">
        <v>251</v>
      </c>
      <c r="C1347" s="67" t="s">
        <v>4454</v>
      </c>
      <c r="D1347" s="68">
        <v>5</v>
      </c>
      <c r="E1347" s="69"/>
      <c r="F1347" s="70">
        <v>20</v>
      </c>
      <c r="G1347" s="67"/>
      <c r="H1347" s="71"/>
      <c r="I1347" s="72"/>
      <c r="J1347" s="72"/>
      <c r="K1347" s="34" t="s">
        <v>66</v>
      </c>
      <c r="L1347" s="79">
        <v>1347</v>
      </c>
      <c r="M1347" s="79"/>
      <c r="N1347" s="74"/>
      <c r="O1347" s="81" t="s">
        <v>944</v>
      </c>
      <c r="P1347">
        <v>1</v>
      </c>
      <c r="Q1347" s="80" t="str">
        <f>REPLACE(INDEX(GroupVertices[Group],MATCH(Edges[[#This Row],[Vertex 1]],GroupVertices[Vertex],0)),1,1,"")</f>
        <v>2</v>
      </c>
      <c r="R1347" s="80" t="str">
        <f>REPLACE(INDEX(GroupVertices[Group],MATCH(Edges[[#This Row],[Vertex 2]],GroupVertices[Vertex],0)),1,1,"")</f>
        <v>2</v>
      </c>
      <c r="S1347" s="34"/>
      <c r="T1347" s="34"/>
      <c r="U1347" s="34"/>
      <c r="V1347" s="34"/>
      <c r="W1347" s="34"/>
      <c r="X1347" s="34"/>
      <c r="Y1347" s="34"/>
      <c r="Z1347" s="34"/>
      <c r="AA1347" s="34"/>
    </row>
    <row r="1348" spans="1:27" ht="15">
      <c r="A1348" s="66" t="s">
        <v>226</v>
      </c>
      <c r="B1348" s="66" t="s">
        <v>251</v>
      </c>
      <c r="C1348" s="67" t="s">
        <v>4454</v>
      </c>
      <c r="D1348" s="68">
        <v>5</v>
      </c>
      <c r="E1348" s="69"/>
      <c r="F1348" s="70">
        <v>20</v>
      </c>
      <c r="G1348" s="67"/>
      <c r="H1348" s="71"/>
      <c r="I1348" s="72"/>
      <c r="J1348" s="72"/>
      <c r="K1348" s="34" t="s">
        <v>66</v>
      </c>
      <c r="L1348" s="79">
        <v>1348</v>
      </c>
      <c r="M1348" s="79"/>
      <c r="N1348" s="74"/>
      <c r="O1348" s="81" t="s">
        <v>944</v>
      </c>
      <c r="P1348">
        <v>1</v>
      </c>
      <c r="Q1348" s="80" t="str">
        <f>REPLACE(INDEX(GroupVertices[Group],MATCH(Edges[[#This Row],[Vertex 1]],GroupVertices[Vertex],0)),1,1,"")</f>
        <v>4</v>
      </c>
      <c r="R1348" s="80" t="str">
        <f>REPLACE(INDEX(GroupVertices[Group],MATCH(Edges[[#This Row],[Vertex 2]],GroupVertices[Vertex],0)),1,1,"")</f>
        <v>2</v>
      </c>
      <c r="S1348" s="34"/>
      <c r="T1348" s="34"/>
      <c r="U1348" s="34"/>
      <c r="V1348" s="34"/>
      <c r="W1348" s="34"/>
      <c r="X1348" s="34"/>
      <c r="Y1348" s="34"/>
      <c r="Z1348" s="34"/>
      <c r="AA1348" s="34"/>
    </row>
    <row r="1349" spans="1:27" ht="15">
      <c r="A1349" s="66" t="s">
        <v>235</v>
      </c>
      <c r="B1349" s="66" t="s">
        <v>251</v>
      </c>
      <c r="C1349" s="67" t="s">
        <v>4454</v>
      </c>
      <c r="D1349" s="68">
        <v>5</v>
      </c>
      <c r="E1349" s="69"/>
      <c r="F1349" s="70">
        <v>20</v>
      </c>
      <c r="G1349" s="67"/>
      <c r="H1349" s="71"/>
      <c r="I1349" s="72"/>
      <c r="J1349" s="72"/>
      <c r="K1349" s="34" t="s">
        <v>66</v>
      </c>
      <c r="L1349" s="79">
        <v>1349</v>
      </c>
      <c r="M1349" s="79"/>
      <c r="N1349" s="74"/>
      <c r="O1349" s="81" t="s">
        <v>944</v>
      </c>
      <c r="P1349">
        <v>1</v>
      </c>
      <c r="Q1349" s="80" t="str">
        <f>REPLACE(INDEX(GroupVertices[Group],MATCH(Edges[[#This Row],[Vertex 1]],GroupVertices[Vertex],0)),1,1,"")</f>
        <v>2</v>
      </c>
      <c r="R1349" s="80" t="str">
        <f>REPLACE(INDEX(GroupVertices[Group],MATCH(Edges[[#This Row],[Vertex 2]],GroupVertices[Vertex],0)),1,1,"")</f>
        <v>2</v>
      </c>
      <c r="S1349" s="34"/>
      <c r="T1349" s="34"/>
      <c r="U1349" s="34"/>
      <c r="V1349" s="34"/>
      <c r="W1349" s="34"/>
      <c r="X1349" s="34"/>
      <c r="Y1349" s="34"/>
      <c r="Z1349" s="34"/>
      <c r="AA1349" s="34"/>
    </row>
    <row r="1350" spans="1:27" ht="15">
      <c r="A1350" s="66" t="s">
        <v>238</v>
      </c>
      <c r="B1350" s="66" t="s">
        <v>251</v>
      </c>
      <c r="C1350" s="67" t="s">
        <v>4454</v>
      </c>
      <c r="D1350" s="68">
        <v>5</v>
      </c>
      <c r="E1350" s="69"/>
      <c r="F1350" s="70">
        <v>20</v>
      </c>
      <c r="G1350" s="67"/>
      <c r="H1350" s="71"/>
      <c r="I1350" s="72"/>
      <c r="J1350" s="72"/>
      <c r="K1350" s="34" t="s">
        <v>66</v>
      </c>
      <c r="L1350" s="79">
        <v>1350</v>
      </c>
      <c r="M1350" s="79"/>
      <c r="N1350" s="74"/>
      <c r="O1350" s="81" t="s">
        <v>944</v>
      </c>
      <c r="P1350">
        <v>1</v>
      </c>
      <c r="Q1350" s="80" t="str">
        <f>REPLACE(INDEX(GroupVertices[Group],MATCH(Edges[[#This Row],[Vertex 1]],GroupVertices[Vertex],0)),1,1,"")</f>
        <v>2</v>
      </c>
      <c r="R1350" s="80" t="str">
        <f>REPLACE(INDEX(GroupVertices[Group],MATCH(Edges[[#This Row],[Vertex 2]],GroupVertices[Vertex],0)),1,1,"")</f>
        <v>2</v>
      </c>
      <c r="S1350" s="34"/>
      <c r="T1350" s="34"/>
      <c r="U1350" s="34"/>
      <c r="V1350" s="34"/>
      <c r="W1350" s="34"/>
      <c r="X1350" s="34"/>
      <c r="Y1350" s="34"/>
      <c r="Z1350" s="34"/>
      <c r="AA1350" s="34"/>
    </row>
    <row r="1351" spans="1:27" ht="15">
      <c r="A1351" s="66" t="s">
        <v>241</v>
      </c>
      <c r="B1351" s="66" t="s">
        <v>251</v>
      </c>
      <c r="C1351" s="67" t="s">
        <v>4454</v>
      </c>
      <c r="D1351" s="68">
        <v>5</v>
      </c>
      <c r="E1351" s="69"/>
      <c r="F1351" s="70">
        <v>20</v>
      </c>
      <c r="G1351" s="67"/>
      <c r="H1351" s="71"/>
      <c r="I1351" s="72"/>
      <c r="J1351" s="72"/>
      <c r="K1351" s="34" t="s">
        <v>65</v>
      </c>
      <c r="L1351" s="79">
        <v>1351</v>
      </c>
      <c r="M1351" s="79"/>
      <c r="N1351" s="74"/>
      <c r="O1351" s="81" t="s">
        <v>944</v>
      </c>
      <c r="P1351">
        <v>1</v>
      </c>
      <c r="Q1351" s="80" t="str">
        <f>REPLACE(INDEX(GroupVertices[Group],MATCH(Edges[[#This Row],[Vertex 1]],GroupVertices[Vertex],0)),1,1,"")</f>
        <v>2</v>
      </c>
      <c r="R1351" s="80" t="str">
        <f>REPLACE(INDEX(GroupVertices[Group],MATCH(Edges[[#This Row],[Vertex 2]],GroupVertices[Vertex],0)),1,1,"")</f>
        <v>2</v>
      </c>
      <c r="S1351" s="34"/>
      <c r="T1351" s="34"/>
      <c r="U1351" s="34"/>
      <c r="V1351" s="34"/>
      <c r="W1351" s="34"/>
      <c r="X1351" s="34"/>
      <c r="Y1351" s="34"/>
      <c r="Z1351" s="34"/>
      <c r="AA1351" s="34"/>
    </row>
    <row r="1352" spans="1:27" ht="15">
      <c r="A1352" s="66" t="s">
        <v>242</v>
      </c>
      <c r="B1352" s="66" t="s">
        <v>251</v>
      </c>
      <c r="C1352" s="67" t="s">
        <v>4454</v>
      </c>
      <c r="D1352" s="68">
        <v>5</v>
      </c>
      <c r="E1352" s="69"/>
      <c r="F1352" s="70">
        <v>20</v>
      </c>
      <c r="G1352" s="67"/>
      <c r="H1352" s="71"/>
      <c r="I1352" s="72"/>
      <c r="J1352" s="72"/>
      <c r="K1352" s="34" t="s">
        <v>66</v>
      </c>
      <c r="L1352" s="79">
        <v>1352</v>
      </c>
      <c r="M1352" s="79"/>
      <c r="N1352" s="74"/>
      <c r="O1352" s="81" t="s">
        <v>944</v>
      </c>
      <c r="P1352">
        <v>1</v>
      </c>
      <c r="Q1352" s="80" t="str">
        <f>REPLACE(INDEX(GroupVertices[Group],MATCH(Edges[[#This Row],[Vertex 1]],GroupVertices[Vertex],0)),1,1,"")</f>
        <v>1</v>
      </c>
      <c r="R1352" s="80" t="str">
        <f>REPLACE(INDEX(GroupVertices[Group],MATCH(Edges[[#This Row],[Vertex 2]],GroupVertices[Vertex],0)),1,1,"")</f>
        <v>2</v>
      </c>
      <c r="S1352" s="34"/>
      <c r="T1352" s="34"/>
      <c r="U1352" s="34"/>
      <c r="V1352" s="34"/>
      <c r="W1352" s="34"/>
      <c r="X1352" s="34"/>
      <c r="Y1352" s="34"/>
      <c r="Z1352" s="34"/>
      <c r="AA1352" s="34"/>
    </row>
    <row r="1353" spans="1:27" ht="15">
      <c r="A1353" s="66" t="s">
        <v>243</v>
      </c>
      <c r="B1353" s="66" t="s">
        <v>251</v>
      </c>
      <c r="C1353" s="67" t="s">
        <v>4454</v>
      </c>
      <c r="D1353" s="68">
        <v>5</v>
      </c>
      <c r="E1353" s="69"/>
      <c r="F1353" s="70">
        <v>20</v>
      </c>
      <c r="G1353" s="67"/>
      <c r="H1353" s="71"/>
      <c r="I1353" s="72"/>
      <c r="J1353" s="72"/>
      <c r="K1353" s="34" t="s">
        <v>66</v>
      </c>
      <c r="L1353" s="79">
        <v>1353</v>
      </c>
      <c r="M1353" s="79"/>
      <c r="N1353" s="74"/>
      <c r="O1353" s="81" t="s">
        <v>944</v>
      </c>
      <c r="P1353">
        <v>1</v>
      </c>
      <c r="Q1353" s="80" t="str">
        <f>REPLACE(INDEX(GroupVertices[Group],MATCH(Edges[[#This Row],[Vertex 1]],GroupVertices[Vertex],0)),1,1,"")</f>
        <v>2</v>
      </c>
      <c r="R1353" s="80" t="str">
        <f>REPLACE(INDEX(GroupVertices[Group],MATCH(Edges[[#This Row],[Vertex 2]],GroupVertices[Vertex],0)),1,1,"")</f>
        <v>2</v>
      </c>
      <c r="S1353" s="34"/>
      <c r="T1353" s="34"/>
      <c r="U1353" s="34"/>
      <c r="V1353" s="34"/>
      <c r="W1353" s="34"/>
      <c r="X1353" s="34"/>
      <c r="Y1353" s="34"/>
      <c r="Z1353" s="34"/>
      <c r="AA1353" s="34"/>
    </row>
    <row r="1354" spans="1:27" ht="15">
      <c r="A1354" s="66" t="s">
        <v>244</v>
      </c>
      <c r="B1354" s="66" t="s">
        <v>251</v>
      </c>
      <c r="C1354" s="67" t="s">
        <v>4454</v>
      </c>
      <c r="D1354" s="68">
        <v>5</v>
      </c>
      <c r="E1354" s="69"/>
      <c r="F1354" s="70">
        <v>20</v>
      </c>
      <c r="G1354" s="67"/>
      <c r="H1354" s="71"/>
      <c r="I1354" s="72"/>
      <c r="J1354" s="72"/>
      <c r="K1354" s="34" t="s">
        <v>66</v>
      </c>
      <c r="L1354" s="79">
        <v>1354</v>
      </c>
      <c r="M1354" s="79"/>
      <c r="N1354" s="74"/>
      <c r="O1354" s="81" t="s">
        <v>944</v>
      </c>
      <c r="P1354">
        <v>1</v>
      </c>
      <c r="Q1354" s="80" t="str">
        <f>REPLACE(INDEX(GroupVertices[Group],MATCH(Edges[[#This Row],[Vertex 1]],GroupVertices[Vertex],0)),1,1,"")</f>
        <v>2</v>
      </c>
      <c r="R1354" s="80" t="str">
        <f>REPLACE(INDEX(GroupVertices[Group],MATCH(Edges[[#This Row],[Vertex 2]],GroupVertices[Vertex],0)),1,1,"")</f>
        <v>2</v>
      </c>
      <c r="S1354" s="34"/>
      <c r="T1354" s="34"/>
      <c r="U1354" s="34"/>
      <c r="V1354" s="34"/>
      <c r="W1354" s="34"/>
      <c r="X1354" s="34"/>
      <c r="Y1354" s="34"/>
      <c r="Z1354" s="34"/>
      <c r="AA1354" s="34"/>
    </row>
    <row r="1355" spans="1:27" ht="15">
      <c r="A1355" s="66" t="s">
        <v>246</v>
      </c>
      <c r="B1355" s="66" t="s">
        <v>251</v>
      </c>
      <c r="C1355" s="67" t="s">
        <v>4454</v>
      </c>
      <c r="D1355" s="68">
        <v>5</v>
      </c>
      <c r="E1355" s="69"/>
      <c r="F1355" s="70">
        <v>20</v>
      </c>
      <c r="G1355" s="67"/>
      <c r="H1355" s="71"/>
      <c r="I1355" s="72"/>
      <c r="J1355" s="72"/>
      <c r="K1355" s="34" t="s">
        <v>66</v>
      </c>
      <c r="L1355" s="79">
        <v>1355</v>
      </c>
      <c r="M1355" s="79"/>
      <c r="N1355" s="74"/>
      <c r="O1355" s="81" t="s">
        <v>944</v>
      </c>
      <c r="P1355">
        <v>1</v>
      </c>
      <c r="Q1355" s="80" t="str">
        <f>REPLACE(INDEX(GroupVertices[Group],MATCH(Edges[[#This Row],[Vertex 1]],GroupVertices[Vertex],0)),1,1,"")</f>
        <v>2</v>
      </c>
      <c r="R1355" s="80" t="str">
        <f>REPLACE(INDEX(GroupVertices[Group],MATCH(Edges[[#This Row],[Vertex 2]],GroupVertices[Vertex],0)),1,1,"")</f>
        <v>2</v>
      </c>
      <c r="S1355" s="34"/>
      <c r="T1355" s="34"/>
      <c r="U1355" s="34"/>
      <c r="V1355" s="34"/>
      <c r="W1355" s="34"/>
      <c r="X1355" s="34"/>
      <c r="Y1355" s="34"/>
      <c r="Z1355" s="34"/>
      <c r="AA1355" s="34"/>
    </row>
    <row r="1356" spans="1:27" ht="15">
      <c r="A1356" s="66" t="s">
        <v>249</v>
      </c>
      <c r="B1356" s="66" t="s">
        <v>251</v>
      </c>
      <c r="C1356" s="67" t="s">
        <v>4454</v>
      </c>
      <c r="D1356" s="68">
        <v>5</v>
      </c>
      <c r="E1356" s="69"/>
      <c r="F1356" s="70">
        <v>20</v>
      </c>
      <c r="G1356" s="67"/>
      <c r="H1356" s="71"/>
      <c r="I1356" s="72"/>
      <c r="J1356" s="72"/>
      <c r="K1356" s="34" t="s">
        <v>66</v>
      </c>
      <c r="L1356" s="79">
        <v>1356</v>
      </c>
      <c r="M1356" s="79"/>
      <c r="N1356" s="74"/>
      <c r="O1356" s="81" t="s">
        <v>944</v>
      </c>
      <c r="P1356">
        <v>1</v>
      </c>
      <c r="Q1356" s="80" t="str">
        <f>REPLACE(INDEX(GroupVertices[Group],MATCH(Edges[[#This Row],[Vertex 1]],GroupVertices[Vertex],0)),1,1,"")</f>
        <v>2</v>
      </c>
      <c r="R1356" s="80" t="str">
        <f>REPLACE(INDEX(GroupVertices[Group],MATCH(Edges[[#This Row],[Vertex 2]],GroupVertices[Vertex],0)),1,1,"")</f>
        <v>2</v>
      </c>
      <c r="S1356" s="34"/>
      <c r="T1356" s="34"/>
      <c r="U1356" s="34"/>
      <c r="V1356" s="34"/>
      <c r="W1356" s="34"/>
      <c r="X1356" s="34"/>
      <c r="Y1356" s="34"/>
      <c r="Z1356" s="34"/>
      <c r="AA1356" s="34"/>
    </row>
    <row r="1357" spans="1:27" ht="15">
      <c r="A1357" s="66" t="s">
        <v>250</v>
      </c>
      <c r="B1357" s="66" t="s">
        <v>251</v>
      </c>
      <c r="C1357" s="67" t="s">
        <v>4454</v>
      </c>
      <c r="D1357" s="68">
        <v>5</v>
      </c>
      <c r="E1357" s="69"/>
      <c r="F1357" s="70">
        <v>20</v>
      </c>
      <c r="G1357" s="67"/>
      <c r="H1357" s="71"/>
      <c r="I1357" s="72"/>
      <c r="J1357" s="72"/>
      <c r="K1357" s="34" t="s">
        <v>66</v>
      </c>
      <c r="L1357" s="79">
        <v>1357</v>
      </c>
      <c r="M1357" s="79"/>
      <c r="N1357" s="74"/>
      <c r="O1357" s="81" t="s">
        <v>944</v>
      </c>
      <c r="P1357">
        <v>1</v>
      </c>
      <c r="Q1357" s="80" t="str">
        <f>REPLACE(INDEX(GroupVertices[Group],MATCH(Edges[[#This Row],[Vertex 1]],GroupVertices[Vertex],0)),1,1,"")</f>
        <v>2</v>
      </c>
      <c r="R1357" s="80" t="str">
        <f>REPLACE(INDEX(GroupVertices[Group],MATCH(Edges[[#This Row],[Vertex 2]],GroupVertices[Vertex],0)),1,1,"")</f>
        <v>2</v>
      </c>
      <c r="S1357" s="34"/>
      <c r="T1357" s="34"/>
      <c r="U1357" s="34"/>
      <c r="V1357" s="34"/>
      <c r="W1357" s="34"/>
      <c r="X1357" s="34"/>
      <c r="Y1357" s="34"/>
      <c r="Z1357" s="34"/>
      <c r="AA1357" s="34"/>
    </row>
    <row r="1358" spans="1:27" ht="15">
      <c r="A1358" s="66" t="s">
        <v>251</v>
      </c>
      <c r="B1358" s="66" t="s">
        <v>876</v>
      </c>
      <c r="C1358" s="67" t="s">
        <v>4454</v>
      </c>
      <c r="D1358" s="68">
        <v>5</v>
      </c>
      <c r="E1358" s="69"/>
      <c r="F1358" s="70">
        <v>20</v>
      </c>
      <c r="G1358" s="67"/>
      <c r="H1358" s="71"/>
      <c r="I1358" s="72"/>
      <c r="J1358" s="72"/>
      <c r="K1358" s="34" t="s">
        <v>65</v>
      </c>
      <c r="L1358" s="79">
        <v>1358</v>
      </c>
      <c r="M1358" s="79"/>
      <c r="N1358" s="74"/>
      <c r="O1358" s="81" t="s">
        <v>944</v>
      </c>
      <c r="P1358">
        <v>1</v>
      </c>
      <c r="Q1358" s="80" t="str">
        <f>REPLACE(INDEX(GroupVertices[Group],MATCH(Edges[[#This Row],[Vertex 1]],GroupVertices[Vertex],0)),1,1,"")</f>
        <v>2</v>
      </c>
      <c r="R1358" s="80" t="str">
        <f>REPLACE(INDEX(GroupVertices[Group],MATCH(Edges[[#This Row],[Vertex 2]],GroupVertices[Vertex],0)),1,1,"")</f>
        <v>4</v>
      </c>
      <c r="S1358" s="34"/>
      <c r="T1358" s="34"/>
      <c r="U1358" s="34"/>
      <c r="V1358" s="34"/>
      <c r="W1358" s="34"/>
      <c r="X1358" s="34"/>
      <c r="Y1358" s="34"/>
      <c r="Z1358" s="34"/>
      <c r="AA1358" s="34"/>
    </row>
    <row r="1359" spans="1:27" ht="15">
      <c r="A1359" s="66" t="s">
        <v>251</v>
      </c>
      <c r="B1359" s="66" t="s">
        <v>602</v>
      </c>
      <c r="C1359" s="67" t="s">
        <v>4454</v>
      </c>
      <c r="D1359" s="68">
        <v>5</v>
      </c>
      <c r="E1359" s="69"/>
      <c r="F1359" s="70">
        <v>20</v>
      </c>
      <c r="G1359" s="67"/>
      <c r="H1359" s="71"/>
      <c r="I1359" s="72"/>
      <c r="J1359" s="72"/>
      <c r="K1359" s="34" t="s">
        <v>65</v>
      </c>
      <c r="L1359" s="79">
        <v>1359</v>
      </c>
      <c r="M1359" s="79"/>
      <c r="N1359" s="74"/>
      <c r="O1359" s="81" t="s">
        <v>944</v>
      </c>
      <c r="P1359">
        <v>1</v>
      </c>
      <c r="Q1359" s="80" t="str">
        <f>REPLACE(INDEX(GroupVertices[Group],MATCH(Edges[[#This Row],[Vertex 1]],GroupVertices[Vertex],0)),1,1,"")</f>
        <v>2</v>
      </c>
      <c r="R1359" s="80" t="str">
        <f>REPLACE(INDEX(GroupVertices[Group],MATCH(Edges[[#This Row],[Vertex 2]],GroupVertices[Vertex],0)),1,1,"")</f>
        <v>2</v>
      </c>
      <c r="S1359" s="34"/>
      <c r="T1359" s="34"/>
      <c r="U1359" s="34"/>
      <c r="V1359" s="34"/>
      <c r="W1359" s="34"/>
      <c r="X1359" s="34"/>
      <c r="Y1359" s="34"/>
      <c r="Z1359" s="34"/>
      <c r="AA1359" s="34"/>
    </row>
    <row r="1360" spans="1:27" ht="15">
      <c r="A1360" s="66" t="s">
        <v>251</v>
      </c>
      <c r="B1360" s="66" t="s">
        <v>257</v>
      </c>
      <c r="C1360" s="67" t="s">
        <v>4454</v>
      </c>
      <c r="D1360" s="68">
        <v>5</v>
      </c>
      <c r="E1360" s="69"/>
      <c r="F1360" s="70">
        <v>20</v>
      </c>
      <c r="G1360" s="67"/>
      <c r="H1360" s="71"/>
      <c r="I1360" s="72"/>
      <c r="J1360" s="72"/>
      <c r="K1360" s="34" t="s">
        <v>66</v>
      </c>
      <c r="L1360" s="79">
        <v>1360</v>
      </c>
      <c r="M1360" s="79"/>
      <c r="N1360" s="74"/>
      <c r="O1360" s="81" t="s">
        <v>944</v>
      </c>
      <c r="P1360">
        <v>1</v>
      </c>
      <c r="Q1360" s="80" t="str">
        <f>REPLACE(INDEX(GroupVertices[Group],MATCH(Edges[[#This Row],[Vertex 1]],GroupVertices[Vertex],0)),1,1,"")</f>
        <v>2</v>
      </c>
      <c r="R1360" s="80" t="str">
        <f>REPLACE(INDEX(GroupVertices[Group],MATCH(Edges[[#This Row],[Vertex 2]],GroupVertices[Vertex],0)),1,1,"")</f>
        <v>2</v>
      </c>
      <c r="S1360" s="34"/>
      <c r="T1360" s="34"/>
      <c r="U1360" s="34"/>
      <c r="V1360" s="34"/>
      <c r="W1360" s="34"/>
      <c r="X1360" s="34"/>
      <c r="Y1360" s="34"/>
      <c r="Z1360" s="34"/>
      <c r="AA1360" s="34"/>
    </row>
    <row r="1361" spans="1:27" ht="15">
      <c r="A1361" s="66" t="s">
        <v>251</v>
      </c>
      <c r="B1361" s="66" t="s">
        <v>258</v>
      </c>
      <c r="C1361" s="67" t="s">
        <v>4454</v>
      </c>
      <c r="D1361" s="68">
        <v>5</v>
      </c>
      <c r="E1361" s="69"/>
      <c r="F1361" s="70">
        <v>20</v>
      </c>
      <c r="G1361" s="67"/>
      <c r="H1361" s="71"/>
      <c r="I1361" s="72"/>
      <c r="J1361" s="72"/>
      <c r="K1361" s="34" t="s">
        <v>65</v>
      </c>
      <c r="L1361" s="79">
        <v>1361</v>
      </c>
      <c r="M1361" s="79"/>
      <c r="N1361" s="74"/>
      <c r="O1361" s="81" t="s">
        <v>944</v>
      </c>
      <c r="P1361">
        <v>1</v>
      </c>
      <c r="Q1361" s="80" t="str">
        <f>REPLACE(INDEX(GroupVertices[Group],MATCH(Edges[[#This Row],[Vertex 1]],GroupVertices[Vertex],0)),1,1,"")</f>
        <v>2</v>
      </c>
      <c r="R1361" s="80" t="str">
        <f>REPLACE(INDEX(GroupVertices[Group],MATCH(Edges[[#This Row],[Vertex 2]],GroupVertices[Vertex],0)),1,1,"")</f>
        <v>1</v>
      </c>
      <c r="S1361" s="34"/>
      <c r="T1361" s="34"/>
      <c r="U1361" s="34"/>
      <c r="V1361" s="34"/>
      <c r="W1361" s="34"/>
      <c r="X1361" s="34"/>
      <c r="Y1361" s="34"/>
      <c r="Z1361" s="34"/>
      <c r="AA1361" s="34"/>
    </row>
    <row r="1362" spans="1:27" ht="15">
      <c r="A1362" s="66" t="s">
        <v>251</v>
      </c>
      <c r="B1362" s="66" t="s">
        <v>256</v>
      </c>
      <c r="C1362" s="67" t="s">
        <v>4454</v>
      </c>
      <c r="D1362" s="68">
        <v>5</v>
      </c>
      <c r="E1362" s="69"/>
      <c r="F1362" s="70">
        <v>20</v>
      </c>
      <c r="G1362" s="67"/>
      <c r="H1362" s="71"/>
      <c r="I1362" s="72"/>
      <c r="J1362" s="72"/>
      <c r="K1362" s="34" t="s">
        <v>66</v>
      </c>
      <c r="L1362" s="79">
        <v>1362</v>
      </c>
      <c r="M1362" s="79"/>
      <c r="N1362" s="74"/>
      <c r="O1362" s="81" t="s">
        <v>944</v>
      </c>
      <c r="P1362">
        <v>1</v>
      </c>
      <c r="Q1362" s="80" t="str">
        <f>REPLACE(INDEX(GroupVertices[Group],MATCH(Edges[[#This Row],[Vertex 1]],GroupVertices[Vertex],0)),1,1,"")</f>
        <v>2</v>
      </c>
      <c r="R1362" s="80" t="str">
        <f>REPLACE(INDEX(GroupVertices[Group],MATCH(Edges[[#This Row],[Vertex 2]],GroupVertices[Vertex],0)),1,1,"")</f>
        <v>1</v>
      </c>
      <c r="S1362" s="34"/>
      <c r="T1362" s="34"/>
      <c r="U1362" s="34"/>
      <c r="V1362" s="34"/>
      <c r="W1362" s="34"/>
      <c r="X1362" s="34"/>
      <c r="Y1362" s="34"/>
      <c r="Z1362" s="34"/>
      <c r="AA1362" s="34"/>
    </row>
    <row r="1363" spans="1:27" ht="15">
      <c r="A1363" s="66" t="s">
        <v>251</v>
      </c>
      <c r="B1363" s="66" t="s">
        <v>510</v>
      </c>
      <c r="C1363" s="67" t="s">
        <v>4454</v>
      </c>
      <c r="D1363" s="68">
        <v>5</v>
      </c>
      <c r="E1363" s="69"/>
      <c r="F1363" s="70">
        <v>20</v>
      </c>
      <c r="G1363" s="67"/>
      <c r="H1363" s="71"/>
      <c r="I1363" s="72"/>
      <c r="J1363" s="72"/>
      <c r="K1363" s="34" t="s">
        <v>65</v>
      </c>
      <c r="L1363" s="79">
        <v>1363</v>
      </c>
      <c r="M1363" s="79"/>
      <c r="N1363" s="74"/>
      <c r="O1363" s="81" t="s">
        <v>944</v>
      </c>
      <c r="P1363">
        <v>1</v>
      </c>
      <c r="Q1363" s="80" t="str">
        <f>REPLACE(INDEX(GroupVertices[Group],MATCH(Edges[[#This Row],[Vertex 1]],GroupVertices[Vertex],0)),1,1,"")</f>
        <v>2</v>
      </c>
      <c r="R1363" s="80" t="str">
        <f>REPLACE(INDEX(GroupVertices[Group],MATCH(Edges[[#This Row],[Vertex 2]],GroupVertices[Vertex],0)),1,1,"")</f>
        <v>2</v>
      </c>
      <c r="S1363" s="34"/>
      <c r="T1363" s="34"/>
      <c r="U1363" s="34"/>
      <c r="V1363" s="34"/>
      <c r="W1363" s="34"/>
      <c r="X1363" s="34"/>
      <c r="Y1363" s="34"/>
      <c r="Z1363" s="34"/>
      <c r="AA1363" s="34"/>
    </row>
    <row r="1364" spans="1:27" ht="15">
      <c r="A1364" s="66" t="s">
        <v>251</v>
      </c>
      <c r="B1364" s="66" t="s">
        <v>247</v>
      </c>
      <c r="C1364" s="67" t="s">
        <v>4454</v>
      </c>
      <c r="D1364" s="68">
        <v>5</v>
      </c>
      <c r="E1364" s="69"/>
      <c r="F1364" s="70">
        <v>20</v>
      </c>
      <c r="G1364" s="67"/>
      <c r="H1364" s="71"/>
      <c r="I1364" s="72"/>
      <c r="J1364" s="72"/>
      <c r="K1364" s="34" t="s">
        <v>65</v>
      </c>
      <c r="L1364" s="79">
        <v>1364</v>
      </c>
      <c r="M1364" s="79"/>
      <c r="N1364" s="74"/>
      <c r="O1364" s="81" t="s">
        <v>944</v>
      </c>
      <c r="P1364">
        <v>1</v>
      </c>
      <c r="Q1364" s="80" t="str">
        <f>REPLACE(INDEX(GroupVertices[Group],MATCH(Edges[[#This Row],[Vertex 1]],GroupVertices[Vertex],0)),1,1,"")</f>
        <v>2</v>
      </c>
      <c r="R1364" s="80" t="str">
        <f>REPLACE(INDEX(GroupVertices[Group],MATCH(Edges[[#This Row],[Vertex 2]],GroupVertices[Vertex],0)),1,1,"")</f>
        <v>2</v>
      </c>
      <c r="S1364" s="34"/>
      <c r="T1364" s="34"/>
      <c r="U1364" s="34"/>
      <c r="V1364" s="34"/>
      <c r="W1364" s="34"/>
      <c r="X1364" s="34"/>
      <c r="Y1364" s="34"/>
      <c r="Z1364" s="34"/>
      <c r="AA1364" s="34"/>
    </row>
    <row r="1365" spans="1:27" ht="15">
      <c r="A1365" s="66" t="s">
        <v>251</v>
      </c>
      <c r="B1365" s="66" t="s">
        <v>242</v>
      </c>
      <c r="C1365" s="67" t="s">
        <v>4454</v>
      </c>
      <c r="D1365" s="68">
        <v>5</v>
      </c>
      <c r="E1365" s="69"/>
      <c r="F1365" s="70">
        <v>20</v>
      </c>
      <c r="G1365" s="67"/>
      <c r="H1365" s="71"/>
      <c r="I1365" s="72"/>
      <c r="J1365" s="72"/>
      <c r="K1365" s="34" t="s">
        <v>66</v>
      </c>
      <c r="L1365" s="79">
        <v>1365</v>
      </c>
      <c r="M1365" s="79"/>
      <c r="N1365" s="74"/>
      <c r="O1365" s="81" t="s">
        <v>944</v>
      </c>
      <c r="P1365">
        <v>1</v>
      </c>
      <c r="Q1365" s="80" t="str">
        <f>REPLACE(INDEX(GroupVertices[Group],MATCH(Edges[[#This Row],[Vertex 1]],GroupVertices[Vertex],0)),1,1,"")</f>
        <v>2</v>
      </c>
      <c r="R1365" s="80" t="str">
        <f>REPLACE(INDEX(GroupVertices[Group],MATCH(Edges[[#This Row],[Vertex 2]],GroupVertices[Vertex],0)),1,1,"")</f>
        <v>1</v>
      </c>
      <c r="S1365" s="34"/>
      <c r="T1365" s="34"/>
      <c r="U1365" s="34"/>
      <c r="V1365" s="34"/>
      <c r="W1365" s="34"/>
      <c r="X1365" s="34"/>
      <c r="Y1365" s="34"/>
      <c r="Z1365" s="34"/>
      <c r="AA1365" s="34"/>
    </row>
    <row r="1366" spans="1:27" ht="15">
      <c r="A1366" s="66" t="s">
        <v>251</v>
      </c>
      <c r="B1366" s="66" t="s">
        <v>234</v>
      </c>
      <c r="C1366" s="67" t="s">
        <v>4454</v>
      </c>
      <c r="D1366" s="68">
        <v>5</v>
      </c>
      <c r="E1366" s="69"/>
      <c r="F1366" s="70">
        <v>20</v>
      </c>
      <c r="G1366" s="67"/>
      <c r="H1366" s="71"/>
      <c r="I1366" s="72"/>
      <c r="J1366" s="72"/>
      <c r="K1366" s="34" t="s">
        <v>65</v>
      </c>
      <c r="L1366" s="79">
        <v>1366</v>
      </c>
      <c r="M1366" s="79"/>
      <c r="N1366" s="74"/>
      <c r="O1366" s="81" t="s">
        <v>944</v>
      </c>
      <c r="P1366">
        <v>1</v>
      </c>
      <c r="Q1366" s="80" t="str">
        <f>REPLACE(INDEX(GroupVertices[Group],MATCH(Edges[[#This Row],[Vertex 1]],GroupVertices[Vertex],0)),1,1,"")</f>
        <v>2</v>
      </c>
      <c r="R1366" s="80" t="str">
        <f>REPLACE(INDEX(GroupVertices[Group],MATCH(Edges[[#This Row],[Vertex 2]],GroupVertices[Vertex],0)),1,1,"")</f>
        <v>4</v>
      </c>
      <c r="S1366" s="34"/>
      <c r="T1366" s="34"/>
      <c r="U1366" s="34"/>
      <c r="V1366" s="34"/>
      <c r="W1366" s="34"/>
      <c r="X1366" s="34"/>
      <c r="Y1366" s="34"/>
      <c r="Z1366" s="34"/>
      <c r="AA1366" s="34"/>
    </row>
    <row r="1367" spans="1:27" ht="15">
      <c r="A1367" s="66" t="s">
        <v>251</v>
      </c>
      <c r="B1367" s="66" t="s">
        <v>238</v>
      </c>
      <c r="C1367" s="67" t="s">
        <v>4454</v>
      </c>
      <c r="D1367" s="68">
        <v>5</v>
      </c>
      <c r="E1367" s="69"/>
      <c r="F1367" s="70">
        <v>20</v>
      </c>
      <c r="G1367" s="67"/>
      <c r="H1367" s="71"/>
      <c r="I1367" s="72"/>
      <c r="J1367" s="72"/>
      <c r="K1367" s="34" t="s">
        <v>66</v>
      </c>
      <c r="L1367" s="79">
        <v>1367</v>
      </c>
      <c r="M1367" s="79"/>
      <c r="N1367" s="74"/>
      <c r="O1367" s="81" t="s">
        <v>944</v>
      </c>
      <c r="P1367">
        <v>1</v>
      </c>
      <c r="Q1367" s="80" t="str">
        <f>REPLACE(INDEX(GroupVertices[Group],MATCH(Edges[[#This Row],[Vertex 1]],GroupVertices[Vertex],0)),1,1,"")</f>
        <v>2</v>
      </c>
      <c r="R1367" s="80" t="str">
        <f>REPLACE(INDEX(GroupVertices[Group],MATCH(Edges[[#This Row],[Vertex 2]],GroupVertices[Vertex],0)),1,1,"")</f>
        <v>2</v>
      </c>
      <c r="S1367" s="34"/>
      <c r="T1367" s="34"/>
      <c r="U1367" s="34"/>
      <c r="V1367" s="34"/>
      <c r="W1367" s="34"/>
      <c r="X1367" s="34"/>
      <c r="Y1367" s="34"/>
      <c r="Z1367" s="34"/>
      <c r="AA1367" s="34"/>
    </row>
    <row r="1368" spans="1:27" ht="15">
      <c r="A1368" s="66" t="s">
        <v>251</v>
      </c>
      <c r="B1368" s="66" t="s">
        <v>512</v>
      </c>
      <c r="C1368" s="67" t="s">
        <v>4454</v>
      </c>
      <c r="D1368" s="68">
        <v>5</v>
      </c>
      <c r="E1368" s="69"/>
      <c r="F1368" s="70">
        <v>20</v>
      </c>
      <c r="G1368" s="67"/>
      <c r="H1368" s="71"/>
      <c r="I1368" s="72"/>
      <c r="J1368" s="72"/>
      <c r="K1368" s="34" t="s">
        <v>65</v>
      </c>
      <c r="L1368" s="79">
        <v>1368</v>
      </c>
      <c r="M1368" s="79"/>
      <c r="N1368" s="74"/>
      <c r="O1368" s="81" t="s">
        <v>944</v>
      </c>
      <c r="P1368">
        <v>1</v>
      </c>
      <c r="Q1368" s="80" t="str">
        <f>REPLACE(INDEX(GroupVertices[Group],MATCH(Edges[[#This Row],[Vertex 1]],GroupVertices[Vertex],0)),1,1,"")</f>
        <v>2</v>
      </c>
      <c r="R1368" s="80" t="str">
        <f>REPLACE(INDEX(GroupVertices[Group],MATCH(Edges[[#This Row],[Vertex 2]],GroupVertices[Vertex],0)),1,1,"")</f>
        <v>2</v>
      </c>
      <c r="S1368" s="34"/>
      <c r="T1368" s="34"/>
      <c r="U1368" s="34"/>
      <c r="V1368" s="34"/>
      <c r="W1368" s="34"/>
      <c r="X1368" s="34"/>
      <c r="Y1368" s="34"/>
      <c r="Z1368" s="34"/>
      <c r="AA1368" s="34"/>
    </row>
    <row r="1369" spans="1:27" ht="15">
      <c r="A1369" s="66" t="s">
        <v>251</v>
      </c>
      <c r="B1369" s="66" t="s">
        <v>255</v>
      </c>
      <c r="C1369" s="67" t="s">
        <v>4454</v>
      </c>
      <c r="D1369" s="68">
        <v>5</v>
      </c>
      <c r="E1369" s="69"/>
      <c r="F1369" s="70">
        <v>20</v>
      </c>
      <c r="G1369" s="67"/>
      <c r="H1369" s="71"/>
      <c r="I1369" s="72"/>
      <c r="J1369" s="72"/>
      <c r="K1369" s="34" t="s">
        <v>65</v>
      </c>
      <c r="L1369" s="79">
        <v>1369</v>
      </c>
      <c r="M1369" s="79"/>
      <c r="N1369" s="74"/>
      <c r="O1369" s="81" t="s">
        <v>944</v>
      </c>
      <c r="P1369">
        <v>1</v>
      </c>
      <c r="Q1369" s="80" t="str">
        <f>REPLACE(INDEX(GroupVertices[Group],MATCH(Edges[[#This Row],[Vertex 1]],GroupVertices[Vertex],0)),1,1,"")</f>
        <v>2</v>
      </c>
      <c r="R1369" s="80" t="str">
        <f>REPLACE(INDEX(GroupVertices[Group],MATCH(Edges[[#This Row],[Vertex 2]],GroupVertices[Vertex],0)),1,1,"")</f>
        <v>4</v>
      </c>
      <c r="S1369" s="34"/>
      <c r="T1369" s="34"/>
      <c r="U1369" s="34"/>
      <c r="V1369" s="34"/>
      <c r="W1369" s="34"/>
      <c r="X1369" s="34"/>
      <c r="Y1369" s="34"/>
      <c r="Z1369" s="34"/>
      <c r="AA1369" s="34"/>
    </row>
    <row r="1370" spans="1:27" ht="15">
      <c r="A1370" s="66" t="s">
        <v>251</v>
      </c>
      <c r="B1370" s="66" t="s">
        <v>240</v>
      </c>
      <c r="C1370" s="67" t="s">
        <v>4454</v>
      </c>
      <c r="D1370" s="68">
        <v>5</v>
      </c>
      <c r="E1370" s="69"/>
      <c r="F1370" s="70">
        <v>20</v>
      </c>
      <c r="G1370" s="67"/>
      <c r="H1370" s="71"/>
      <c r="I1370" s="72"/>
      <c r="J1370" s="72"/>
      <c r="K1370" s="34" t="s">
        <v>65</v>
      </c>
      <c r="L1370" s="79">
        <v>1370</v>
      </c>
      <c r="M1370" s="79"/>
      <c r="N1370" s="74"/>
      <c r="O1370" s="81" t="s">
        <v>944</v>
      </c>
      <c r="P1370">
        <v>1</v>
      </c>
      <c r="Q1370" s="80" t="str">
        <f>REPLACE(INDEX(GroupVertices[Group],MATCH(Edges[[#This Row],[Vertex 1]],GroupVertices[Vertex],0)),1,1,"")</f>
        <v>2</v>
      </c>
      <c r="R1370" s="80" t="str">
        <f>REPLACE(INDEX(GroupVertices[Group],MATCH(Edges[[#This Row],[Vertex 2]],GroupVertices[Vertex],0)),1,1,"")</f>
        <v>2</v>
      </c>
      <c r="S1370" s="34"/>
      <c r="T1370" s="34"/>
      <c r="U1370" s="34"/>
      <c r="V1370" s="34"/>
      <c r="W1370" s="34"/>
      <c r="X1370" s="34"/>
      <c r="Y1370" s="34"/>
      <c r="Z1370" s="34"/>
      <c r="AA1370" s="34"/>
    </row>
    <row r="1371" spans="1:27" ht="15">
      <c r="A1371" s="66" t="s">
        <v>251</v>
      </c>
      <c r="B1371" s="66" t="s">
        <v>248</v>
      </c>
      <c r="C1371" s="67" t="s">
        <v>4454</v>
      </c>
      <c r="D1371" s="68">
        <v>5</v>
      </c>
      <c r="E1371" s="69"/>
      <c r="F1371" s="70">
        <v>20</v>
      </c>
      <c r="G1371" s="67"/>
      <c r="H1371" s="71"/>
      <c r="I1371" s="72"/>
      <c r="J1371" s="72"/>
      <c r="K1371" s="34" t="s">
        <v>65</v>
      </c>
      <c r="L1371" s="79">
        <v>1371</v>
      </c>
      <c r="M1371" s="79"/>
      <c r="N1371" s="74"/>
      <c r="O1371" s="81" t="s">
        <v>944</v>
      </c>
      <c r="P1371">
        <v>1</v>
      </c>
      <c r="Q1371" s="80" t="str">
        <f>REPLACE(INDEX(GroupVertices[Group],MATCH(Edges[[#This Row],[Vertex 1]],GroupVertices[Vertex],0)),1,1,"")</f>
        <v>2</v>
      </c>
      <c r="R1371" s="80" t="str">
        <f>REPLACE(INDEX(GroupVertices[Group],MATCH(Edges[[#This Row],[Vertex 2]],GroupVertices[Vertex],0)),1,1,"")</f>
        <v>1</v>
      </c>
      <c r="S1371" s="34"/>
      <c r="T1371" s="34"/>
      <c r="U1371" s="34"/>
      <c r="V1371" s="34"/>
      <c r="W1371" s="34"/>
      <c r="X1371" s="34"/>
      <c r="Y1371" s="34"/>
      <c r="Z1371" s="34"/>
      <c r="AA1371" s="34"/>
    </row>
    <row r="1372" spans="1:27" ht="15">
      <c r="A1372" s="66" t="s">
        <v>251</v>
      </c>
      <c r="B1372" s="66" t="s">
        <v>243</v>
      </c>
      <c r="C1372" s="67" t="s">
        <v>4454</v>
      </c>
      <c r="D1372" s="68">
        <v>5</v>
      </c>
      <c r="E1372" s="69"/>
      <c r="F1372" s="70">
        <v>20</v>
      </c>
      <c r="G1372" s="67"/>
      <c r="H1372" s="71"/>
      <c r="I1372" s="72"/>
      <c r="J1372" s="72"/>
      <c r="K1372" s="34" t="s">
        <v>66</v>
      </c>
      <c r="L1372" s="79">
        <v>1372</v>
      </c>
      <c r="M1372" s="79"/>
      <c r="N1372" s="74"/>
      <c r="O1372" s="81" t="s">
        <v>944</v>
      </c>
      <c r="P1372">
        <v>1</v>
      </c>
      <c r="Q1372" s="80" t="str">
        <f>REPLACE(INDEX(GroupVertices[Group],MATCH(Edges[[#This Row],[Vertex 1]],GroupVertices[Vertex],0)),1,1,"")</f>
        <v>2</v>
      </c>
      <c r="R1372" s="80" t="str">
        <f>REPLACE(INDEX(GroupVertices[Group],MATCH(Edges[[#This Row],[Vertex 2]],GroupVertices[Vertex],0)),1,1,"")</f>
        <v>2</v>
      </c>
      <c r="S1372" s="34"/>
      <c r="T1372" s="34"/>
      <c r="U1372" s="34"/>
      <c r="V1372" s="34"/>
      <c r="W1372" s="34"/>
      <c r="X1372" s="34"/>
      <c r="Y1372" s="34"/>
      <c r="Z1372" s="34"/>
      <c r="AA1372" s="34"/>
    </row>
    <row r="1373" spans="1:27" ht="15">
      <c r="A1373" s="66" t="s">
        <v>251</v>
      </c>
      <c r="B1373" s="66" t="s">
        <v>239</v>
      </c>
      <c r="C1373" s="67" t="s">
        <v>4454</v>
      </c>
      <c r="D1373" s="68">
        <v>5</v>
      </c>
      <c r="E1373" s="69"/>
      <c r="F1373" s="70">
        <v>20</v>
      </c>
      <c r="G1373" s="67"/>
      <c r="H1373" s="71"/>
      <c r="I1373" s="72"/>
      <c r="J1373" s="72"/>
      <c r="K1373" s="34" t="s">
        <v>65</v>
      </c>
      <c r="L1373" s="79">
        <v>1373</v>
      </c>
      <c r="M1373" s="79"/>
      <c r="N1373" s="74"/>
      <c r="O1373" s="81" t="s">
        <v>944</v>
      </c>
      <c r="P1373">
        <v>1</v>
      </c>
      <c r="Q1373" s="80" t="str">
        <f>REPLACE(INDEX(GroupVertices[Group],MATCH(Edges[[#This Row],[Vertex 1]],GroupVertices[Vertex],0)),1,1,"")</f>
        <v>2</v>
      </c>
      <c r="R1373" s="80" t="str">
        <f>REPLACE(INDEX(GroupVertices[Group],MATCH(Edges[[#This Row],[Vertex 2]],GroupVertices[Vertex],0)),1,1,"")</f>
        <v>3</v>
      </c>
      <c r="S1373" s="34"/>
      <c r="T1373" s="34"/>
      <c r="U1373" s="34"/>
      <c r="V1373" s="34"/>
      <c r="W1373" s="34"/>
      <c r="X1373" s="34"/>
      <c r="Y1373" s="34"/>
      <c r="Z1373" s="34"/>
      <c r="AA1373" s="34"/>
    </row>
    <row r="1374" spans="1:27" ht="15">
      <c r="A1374" s="66" t="s">
        <v>251</v>
      </c>
      <c r="B1374" s="66" t="s">
        <v>226</v>
      </c>
      <c r="C1374" s="67" t="s">
        <v>4454</v>
      </c>
      <c r="D1374" s="68">
        <v>5</v>
      </c>
      <c r="E1374" s="69"/>
      <c r="F1374" s="70">
        <v>20</v>
      </c>
      <c r="G1374" s="67"/>
      <c r="H1374" s="71"/>
      <c r="I1374" s="72"/>
      <c r="J1374" s="72"/>
      <c r="K1374" s="34" t="s">
        <v>66</v>
      </c>
      <c r="L1374" s="79">
        <v>1374</v>
      </c>
      <c r="M1374" s="79"/>
      <c r="N1374" s="74"/>
      <c r="O1374" s="81" t="s">
        <v>944</v>
      </c>
      <c r="P1374">
        <v>1</v>
      </c>
      <c r="Q1374" s="80" t="str">
        <f>REPLACE(INDEX(GroupVertices[Group],MATCH(Edges[[#This Row],[Vertex 1]],GroupVertices[Vertex],0)),1,1,"")</f>
        <v>2</v>
      </c>
      <c r="R1374" s="80" t="str">
        <f>REPLACE(INDEX(GroupVertices[Group],MATCH(Edges[[#This Row],[Vertex 2]],GroupVertices[Vertex],0)),1,1,"")</f>
        <v>4</v>
      </c>
      <c r="S1374" s="34"/>
      <c r="T1374" s="34"/>
      <c r="U1374" s="34"/>
      <c r="V1374" s="34"/>
      <c r="W1374" s="34"/>
      <c r="X1374" s="34"/>
      <c r="Y1374" s="34"/>
      <c r="Z1374" s="34"/>
      <c r="AA1374" s="34"/>
    </row>
    <row r="1375" spans="1:27" ht="15">
      <c r="A1375" s="66" t="s">
        <v>251</v>
      </c>
      <c r="B1375" s="66" t="s">
        <v>233</v>
      </c>
      <c r="C1375" s="67" t="s">
        <v>4454</v>
      </c>
      <c r="D1375" s="68">
        <v>5</v>
      </c>
      <c r="E1375" s="69"/>
      <c r="F1375" s="70">
        <v>20</v>
      </c>
      <c r="G1375" s="67"/>
      <c r="H1375" s="71"/>
      <c r="I1375" s="72"/>
      <c r="J1375" s="72"/>
      <c r="K1375" s="34" t="s">
        <v>65</v>
      </c>
      <c r="L1375" s="79">
        <v>1375</v>
      </c>
      <c r="M1375" s="79"/>
      <c r="N1375" s="74"/>
      <c r="O1375" s="81" t="s">
        <v>944</v>
      </c>
      <c r="P1375">
        <v>1</v>
      </c>
      <c r="Q1375" s="80" t="str">
        <f>REPLACE(INDEX(GroupVertices[Group],MATCH(Edges[[#This Row],[Vertex 1]],GroupVertices[Vertex],0)),1,1,"")</f>
        <v>2</v>
      </c>
      <c r="R1375" s="80" t="str">
        <f>REPLACE(INDEX(GroupVertices[Group],MATCH(Edges[[#This Row],[Vertex 2]],GroupVertices[Vertex],0)),1,1,"")</f>
        <v>2</v>
      </c>
      <c r="S1375" s="34"/>
      <c r="T1375" s="34"/>
      <c r="U1375" s="34"/>
      <c r="V1375" s="34"/>
      <c r="W1375" s="34"/>
      <c r="X1375" s="34"/>
      <c r="Y1375" s="34"/>
      <c r="Z1375" s="34"/>
      <c r="AA1375" s="34"/>
    </row>
    <row r="1376" spans="1:27" ht="15">
      <c r="A1376" s="66" t="s">
        <v>251</v>
      </c>
      <c r="B1376" s="66" t="s">
        <v>236</v>
      </c>
      <c r="C1376" s="67" t="s">
        <v>4454</v>
      </c>
      <c r="D1376" s="68">
        <v>5</v>
      </c>
      <c r="E1376" s="69"/>
      <c r="F1376" s="70">
        <v>20</v>
      </c>
      <c r="G1376" s="67"/>
      <c r="H1376" s="71"/>
      <c r="I1376" s="72"/>
      <c r="J1376" s="72"/>
      <c r="K1376" s="34" t="s">
        <v>65</v>
      </c>
      <c r="L1376" s="79">
        <v>1376</v>
      </c>
      <c r="M1376" s="79"/>
      <c r="N1376" s="74"/>
      <c r="O1376" s="81" t="s">
        <v>944</v>
      </c>
      <c r="P1376">
        <v>1</v>
      </c>
      <c r="Q1376" s="80" t="str">
        <f>REPLACE(INDEX(GroupVertices[Group],MATCH(Edges[[#This Row],[Vertex 1]],GroupVertices[Vertex],0)),1,1,"")</f>
        <v>2</v>
      </c>
      <c r="R1376" s="80" t="str">
        <f>REPLACE(INDEX(GroupVertices[Group],MATCH(Edges[[#This Row],[Vertex 2]],GroupVertices[Vertex],0)),1,1,"")</f>
        <v>1</v>
      </c>
      <c r="S1376" s="34"/>
      <c r="T1376" s="34"/>
      <c r="U1376" s="34"/>
      <c r="V1376" s="34"/>
      <c r="W1376" s="34"/>
      <c r="X1376" s="34"/>
      <c r="Y1376" s="34"/>
      <c r="Z1376" s="34"/>
      <c r="AA1376" s="34"/>
    </row>
    <row r="1377" spans="1:27" ht="15">
      <c r="A1377" s="66" t="s">
        <v>251</v>
      </c>
      <c r="B1377" s="66" t="s">
        <v>223</v>
      </c>
      <c r="C1377" s="67" t="s">
        <v>4454</v>
      </c>
      <c r="D1377" s="68">
        <v>5</v>
      </c>
      <c r="E1377" s="69"/>
      <c r="F1377" s="70">
        <v>20</v>
      </c>
      <c r="G1377" s="67"/>
      <c r="H1377" s="71"/>
      <c r="I1377" s="72"/>
      <c r="J1377" s="72"/>
      <c r="K1377" s="34" t="s">
        <v>65</v>
      </c>
      <c r="L1377" s="79">
        <v>1377</v>
      </c>
      <c r="M1377" s="79"/>
      <c r="N1377" s="74"/>
      <c r="O1377" s="81" t="s">
        <v>944</v>
      </c>
      <c r="P1377">
        <v>1</v>
      </c>
      <c r="Q1377" s="80" t="str">
        <f>REPLACE(INDEX(GroupVertices[Group],MATCH(Edges[[#This Row],[Vertex 1]],GroupVertices[Vertex],0)),1,1,"")</f>
        <v>2</v>
      </c>
      <c r="R1377" s="80" t="str">
        <f>REPLACE(INDEX(GroupVertices[Group],MATCH(Edges[[#This Row],[Vertex 2]],GroupVertices[Vertex],0)),1,1,"")</f>
        <v>3</v>
      </c>
      <c r="S1377" s="34"/>
      <c r="T1377" s="34"/>
      <c r="U1377" s="34"/>
      <c r="V1377" s="34"/>
      <c r="W1377" s="34"/>
      <c r="X1377" s="34"/>
      <c r="Y1377" s="34"/>
      <c r="Z1377" s="34"/>
      <c r="AA1377" s="34"/>
    </row>
    <row r="1378" spans="1:27" ht="15">
      <c r="A1378" s="66" t="s">
        <v>251</v>
      </c>
      <c r="B1378" s="66" t="s">
        <v>224</v>
      </c>
      <c r="C1378" s="67" t="s">
        <v>4454</v>
      </c>
      <c r="D1378" s="68">
        <v>5</v>
      </c>
      <c r="E1378" s="69"/>
      <c r="F1378" s="70">
        <v>20</v>
      </c>
      <c r="G1378" s="67"/>
      <c r="H1378" s="71"/>
      <c r="I1378" s="72"/>
      <c r="J1378" s="72"/>
      <c r="K1378" s="34" t="s">
        <v>66</v>
      </c>
      <c r="L1378" s="79">
        <v>1378</v>
      </c>
      <c r="M1378" s="79"/>
      <c r="N1378" s="74"/>
      <c r="O1378" s="81" t="s">
        <v>944</v>
      </c>
      <c r="P1378">
        <v>1</v>
      </c>
      <c r="Q1378" s="80" t="str">
        <f>REPLACE(INDEX(GroupVertices[Group],MATCH(Edges[[#This Row],[Vertex 1]],GroupVertices[Vertex],0)),1,1,"")</f>
        <v>2</v>
      </c>
      <c r="R1378" s="80" t="str">
        <f>REPLACE(INDEX(GroupVertices[Group],MATCH(Edges[[#This Row],[Vertex 2]],GroupVertices[Vertex],0)),1,1,"")</f>
        <v>2</v>
      </c>
      <c r="S1378" s="34"/>
      <c r="T1378" s="34"/>
      <c r="U1378" s="34"/>
      <c r="V1378" s="34"/>
      <c r="W1378" s="34"/>
      <c r="X1378" s="34"/>
      <c r="Y1378" s="34"/>
      <c r="Z1378" s="34"/>
      <c r="AA1378" s="34"/>
    </row>
    <row r="1379" spans="1:27" ht="15">
      <c r="A1379" s="66" t="s">
        <v>251</v>
      </c>
      <c r="B1379" s="66" t="s">
        <v>260</v>
      </c>
      <c r="C1379" s="67" t="s">
        <v>4454</v>
      </c>
      <c r="D1379" s="68">
        <v>5</v>
      </c>
      <c r="E1379" s="69"/>
      <c r="F1379" s="70">
        <v>20</v>
      </c>
      <c r="G1379" s="67"/>
      <c r="H1379" s="71"/>
      <c r="I1379" s="72"/>
      <c r="J1379" s="72"/>
      <c r="K1379" s="34" t="s">
        <v>65</v>
      </c>
      <c r="L1379" s="79">
        <v>1379</v>
      </c>
      <c r="M1379" s="79"/>
      <c r="N1379" s="74"/>
      <c r="O1379" s="81" t="s">
        <v>944</v>
      </c>
      <c r="P1379">
        <v>1</v>
      </c>
      <c r="Q1379" s="80" t="str">
        <f>REPLACE(INDEX(GroupVertices[Group],MATCH(Edges[[#This Row],[Vertex 1]],GroupVertices[Vertex],0)),1,1,"")</f>
        <v>2</v>
      </c>
      <c r="R1379" s="80" t="str">
        <f>REPLACE(INDEX(GroupVertices[Group],MATCH(Edges[[#This Row],[Vertex 2]],GroupVertices[Vertex],0)),1,1,"")</f>
        <v>2</v>
      </c>
      <c r="S1379" s="34"/>
      <c r="T1379" s="34"/>
      <c r="U1379" s="34"/>
      <c r="V1379" s="34"/>
      <c r="W1379" s="34"/>
      <c r="X1379" s="34"/>
      <c r="Y1379" s="34"/>
      <c r="Z1379" s="34"/>
      <c r="AA1379" s="34"/>
    </row>
    <row r="1380" spans="1:27" ht="15">
      <c r="A1380" s="66" t="s">
        <v>251</v>
      </c>
      <c r="B1380" s="66" t="s">
        <v>252</v>
      </c>
      <c r="C1380" s="67" t="s">
        <v>4454</v>
      </c>
      <c r="D1380" s="68">
        <v>5</v>
      </c>
      <c r="E1380" s="69"/>
      <c r="F1380" s="70">
        <v>20</v>
      </c>
      <c r="G1380" s="67"/>
      <c r="H1380" s="71"/>
      <c r="I1380" s="72"/>
      <c r="J1380" s="72"/>
      <c r="K1380" s="34" t="s">
        <v>65</v>
      </c>
      <c r="L1380" s="79">
        <v>1380</v>
      </c>
      <c r="M1380" s="79"/>
      <c r="N1380" s="74"/>
      <c r="O1380" s="81" t="s">
        <v>944</v>
      </c>
      <c r="P1380">
        <v>1</v>
      </c>
      <c r="Q1380" s="80" t="str">
        <f>REPLACE(INDEX(GroupVertices[Group],MATCH(Edges[[#This Row],[Vertex 1]],GroupVertices[Vertex],0)),1,1,"")</f>
        <v>2</v>
      </c>
      <c r="R1380" s="80" t="str">
        <f>REPLACE(INDEX(GroupVertices[Group],MATCH(Edges[[#This Row],[Vertex 2]],GroupVertices[Vertex],0)),1,1,"")</f>
        <v>1</v>
      </c>
      <c r="S1380" s="34"/>
      <c r="T1380" s="34"/>
      <c r="U1380" s="34"/>
      <c r="V1380" s="34"/>
      <c r="W1380" s="34"/>
      <c r="X1380" s="34"/>
      <c r="Y1380" s="34"/>
      <c r="Z1380" s="34"/>
      <c r="AA1380" s="34"/>
    </row>
    <row r="1381" spans="1:27" ht="15">
      <c r="A1381" s="66" t="s">
        <v>251</v>
      </c>
      <c r="B1381" s="66" t="s">
        <v>249</v>
      </c>
      <c r="C1381" s="67" t="s">
        <v>4454</v>
      </c>
      <c r="D1381" s="68">
        <v>5</v>
      </c>
      <c r="E1381" s="69"/>
      <c r="F1381" s="70">
        <v>20</v>
      </c>
      <c r="G1381" s="67"/>
      <c r="H1381" s="71"/>
      <c r="I1381" s="72"/>
      <c r="J1381" s="72"/>
      <c r="K1381" s="34" t="s">
        <v>66</v>
      </c>
      <c r="L1381" s="79">
        <v>1381</v>
      </c>
      <c r="M1381" s="79"/>
      <c r="N1381" s="74"/>
      <c r="O1381" s="81" t="s">
        <v>944</v>
      </c>
      <c r="P1381">
        <v>1</v>
      </c>
      <c r="Q1381" s="80" t="str">
        <f>REPLACE(INDEX(GroupVertices[Group],MATCH(Edges[[#This Row],[Vertex 1]],GroupVertices[Vertex],0)),1,1,"")</f>
        <v>2</v>
      </c>
      <c r="R1381" s="80" t="str">
        <f>REPLACE(INDEX(GroupVertices[Group],MATCH(Edges[[#This Row],[Vertex 2]],GroupVertices[Vertex],0)),1,1,"")</f>
        <v>2</v>
      </c>
      <c r="S1381" s="34"/>
      <c r="T1381" s="34"/>
      <c r="U1381" s="34"/>
      <c r="V1381" s="34"/>
      <c r="W1381" s="34"/>
      <c r="X1381" s="34"/>
      <c r="Y1381" s="34"/>
      <c r="Z1381" s="34"/>
      <c r="AA1381" s="34"/>
    </row>
    <row r="1382" spans="1:27" ht="15">
      <c r="A1382" s="66" t="s">
        <v>251</v>
      </c>
      <c r="B1382" s="66" t="s">
        <v>235</v>
      </c>
      <c r="C1382" s="67" t="s">
        <v>4454</v>
      </c>
      <c r="D1382" s="68">
        <v>5</v>
      </c>
      <c r="E1382" s="69"/>
      <c r="F1382" s="70">
        <v>20</v>
      </c>
      <c r="G1382" s="67"/>
      <c r="H1382" s="71"/>
      <c r="I1382" s="72"/>
      <c r="J1382" s="72"/>
      <c r="K1382" s="34" t="s">
        <v>66</v>
      </c>
      <c r="L1382" s="79">
        <v>1382</v>
      </c>
      <c r="M1382" s="79"/>
      <c r="N1382" s="74"/>
      <c r="O1382" s="81" t="s">
        <v>944</v>
      </c>
      <c r="P1382">
        <v>1</v>
      </c>
      <c r="Q1382" s="80" t="str">
        <f>REPLACE(INDEX(GroupVertices[Group],MATCH(Edges[[#This Row],[Vertex 1]],GroupVertices[Vertex],0)),1,1,"")</f>
        <v>2</v>
      </c>
      <c r="R1382" s="80" t="str">
        <f>REPLACE(INDEX(GroupVertices[Group],MATCH(Edges[[#This Row],[Vertex 2]],GroupVertices[Vertex],0)),1,1,"")</f>
        <v>2</v>
      </c>
      <c r="S1382" s="34"/>
      <c r="T1382" s="34"/>
      <c r="U1382" s="34"/>
      <c r="V1382" s="34"/>
      <c r="W1382" s="34"/>
      <c r="X1382" s="34"/>
      <c r="Y1382" s="34"/>
      <c r="Z1382" s="34"/>
      <c r="AA1382" s="34"/>
    </row>
    <row r="1383" spans="1:27" ht="15">
      <c r="A1383" s="66" t="s">
        <v>251</v>
      </c>
      <c r="B1383" s="66" t="s">
        <v>217</v>
      </c>
      <c r="C1383" s="67" t="s">
        <v>4454</v>
      </c>
      <c r="D1383" s="68">
        <v>5</v>
      </c>
      <c r="E1383" s="69"/>
      <c r="F1383" s="70">
        <v>20</v>
      </c>
      <c r="G1383" s="67"/>
      <c r="H1383" s="71"/>
      <c r="I1383" s="72"/>
      <c r="J1383" s="72"/>
      <c r="K1383" s="34" t="s">
        <v>65</v>
      </c>
      <c r="L1383" s="79">
        <v>1383</v>
      </c>
      <c r="M1383" s="79"/>
      <c r="N1383" s="74"/>
      <c r="O1383" s="81" t="s">
        <v>944</v>
      </c>
      <c r="P1383">
        <v>1</v>
      </c>
      <c r="Q1383" s="80" t="str">
        <f>REPLACE(INDEX(GroupVertices[Group],MATCH(Edges[[#This Row],[Vertex 1]],GroupVertices[Vertex],0)),1,1,"")</f>
        <v>2</v>
      </c>
      <c r="R1383" s="80" t="str">
        <f>REPLACE(INDEX(GroupVertices[Group],MATCH(Edges[[#This Row],[Vertex 2]],GroupVertices[Vertex],0)),1,1,"")</f>
        <v>4</v>
      </c>
      <c r="S1383" s="34"/>
      <c r="T1383" s="34"/>
      <c r="U1383" s="34"/>
      <c r="V1383" s="34"/>
      <c r="W1383" s="34"/>
      <c r="X1383" s="34"/>
      <c r="Y1383" s="34"/>
      <c r="Z1383" s="34"/>
      <c r="AA1383" s="34"/>
    </row>
    <row r="1384" spans="1:27" ht="15">
      <c r="A1384" s="66" t="s">
        <v>251</v>
      </c>
      <c r="B1384" s="66" t="s">
        <v>253</v>
      </c>
      <c r="C1384" s="67" t="s">
        <v>4454</v>
      </c>
      <c r="D1384" s="68">
        <v>5</v>
      </c>
      <c r="E1384" s="69"/>
      <c r="F1384" s="70">
        <v>20</v>
      </c>
      <c r="G1384" s="67"/>
      <c r="H1384" s="71"/>
      <c r="I1384" s="72"/>
      <c r="J1384" s="72"/>
      <c r="K1384" s="34" t="s">
        <v>65</v>
      </c>
      <c r="L1384" s="79">
        <v>1384</v>
      </c>
      <c r="M1384" s="79"/>
      <c r="N1384" s="74"/>
      <c r="O1384" s="81" t="s">
        <v>944</v>
      </c>
      <c r="P1384">
        <v>1</v>
      </c>
      <c r="Q1384" s="80" t="str">
        <f>REPLACE(INDEX(GroupVertices[Group],MATCH(Edges[[#This Row],[Vertex 1]],GroupVertices[Vertex],0)),1,1,"")</f>
        <v>2</v>
      </c>
      <c r="R1384" s="80" t="str">
        <f>REPLACE(INDEX(GroupVertices[Group],MATCH(Edges[[#This Row],[Vertex 2]],GroupVertices[Vertex],0)),1,1,"")</f>
        <v>1</v>
      </c>
      <c r="S1384" s="34"/>
      <c r="T1384" s="34"/>
      <c r="U1384" s="34"/>
      <c r="V1384" s="34"/>
      <c r="W1384" s="34"/>
      <c r="X1384" s="34"/>
      <c r="Y1384" s="34"/>
      <c r="Z1384" s="34"/>
      <c r="AA1384" s="34"/>
    </row>
    <row r="1385" spans="1:27" ht="15">
      <c r="A1385" s="66" t="s">
        <v>251</v>
      </c>
      <c r="B1385" s="66" t="s">
        <v>246</v>
      </c>
      <c r="C1385" s="67" t="s">
        <v>4454</v>
      </c>
      <c r="D1385" s="68">
        <v>5</v>
      </c>
      <c r="E1385" s="69"/>
      <c r="F1385" s="70">
        <v>20</v>
      </c>
      <c r="G1385" s="67"/>
      <c r="H1385" s="71"/>
      <c r="I1385" s="72"/>
      <c r="J1385" s="72"/>
      <c r="K1385" s="34" t="s">
        <v>66</v>
      </c>
      <c r="L1385" s="79">
        <v>1385</v>
      </c>
      <c r="M1385" s="79"/>
      <c r="N1385" s="74"/>
      <c r="O1385" s="81" t="s">
        <v>944</v>
      </c>
      <c r="P1385">
        <v>1</v>
      </c>
      <c r="Q1385" s="80" t="str">
        <f>REPLACE(INDEX(GroupVertices[Group],MATCH(Edges[[#This Row],[Vertex 1]],GroupVertices[Vertex],0)),1,1,"")</f>
        <v>2</v>
      </c>
      <c r="R1385" s="80" t="str">
        <f>REPLACE(INDEX(GroupVertices[Group],MATCH(Edges[[#This Row],[Vertex 2]],GroupVertices[Vertex],0)),1,1,"")</f>
        <v>2</v>
      </c>
      <c r="S1385" s="34"/>
      <c r="T1385" s="34"/>
      <c r="U1385" s="34"/>
      <c r="V1385" s="34"/>
      <c r="W1385" s="34"/>
      <c r="X1385" s="34"/>
      <c r="Y1385" s="34"/>
      <c r="Z1385" s="34"/>
      <c r="AA1385" s="34"/>
    </row>
    <row r="1386" spans="1:27" ht="15">
      <c r="A1386" s="66" t="s">
        <v>251</v>
      </c>
      <c r="B1386" s="66" t="s">
        <v>244</v>
      </c>
      <c r="C1386" s="67" t="s">
        <v>4454</v>
      </c>
      <c r="D1386" s="68">
        <v>5</v>
      </c>
      <c r="E1386" s="69"/>
      <c r="F1386" s="70">
        <v>20</v>
      </c>
      <c r="G1386" s="67"/>
      <c r="H1386" s="71"/>
      <c r="I1386" s="72"/>
      <c r="J1386" s="72"/>
      <c r="K1386" s="34" t="s">
        <v>66</v>
      </c>
      <c r="L1386" s="79">
        <v>1386</v>
      </c>
      <c r="M1386" s="79"/>
      <c r="N1386" s="74"/>
      <c r="O1386" s="81" t="s">
        <v>944</v>
      </c>
      <c r="P1386">
        <v>1</v>
      </c>
      <c r="Q1386" s="80" t="str">
        <f>REPLACE(INDEX(GroupVertices[Group],MATCH(Edges[[#This Row],[Vertex 1]],GroupVertices[Vertex],0)),1,1,"")</f>
        <v>2</v>
      </c>
      <c r="R1386" s="80" t="str">
        <f>REPLACE(INDEX(GroupVertices[Group],MATCH(Edges[[#This Row],[Vertex 2]],GroupVertices[Vertex],0)),1,1,"")</f>
        <v>2</v>
      </c>
      <c r="S1386" s="34"/>
      <c r="T1386" s="34"/>
      <c r="U1386" s="34"/>
      <c r="V1386" s="34"/>
      <c r="W1386" s="34"/>
      <c r="X1386" s="34"/>
      <c r="Y1386" s="34"/>
      <c r="Z1386" s="34"/>
      <c r="AA1386" s="34"/>
    </row>
    <row r="1387" spans="1:27" ht="15">
      <c r="A1387" s="66" t="s">
        <v>251</v>
      </c>
      <c r="B1387" s="66" t="s">
        <v>259</v>
      </c>
      <c r="C1387" s="67" t="s">
        <v>4454</v>
      </c>
      <c r="D1387" s="68">
        <v>5</v>
      </c>
      <c r="E1387" s="69"/>
      <c r="F1387" s="70">
        <v>20</v>
      </c>
      <c r="G1387" s="67"/>
      <c r="H1387" s="71"/>
      <c r="I1387" s="72"/>
      <c r="J1387" s="72"/>
      <c r="K1387" s="34" t="s">
        <v>65</v>
      </c>
      <c r="L1387" s="79">
        <v>1387</v>
      </c>
      <c r="M1387" s="79"/>
      <c r="N1387" s="74"/>
      <c r="O1387" s="81" t="s">
        <v>944</v>
      </c>
      <c r="P1387">
        <v>1</v>
      </c>
      <c r="Q1387" s="80" t="str">
        <f>REPLACE(INDEX(GroupVertices[Group],MATCH(Edges[[#This Row],[Vertex 1]],GroupVertices[Vertex],0)),1,1,"")</f>
        <v>2</v>
      </c>
      <c r="R1387" s="80" t="str">
        <f>REPLACE(INDEX(GroupVertices[Group],MATCH(Edges[[#This Row],[Vertex 2]],GroupVertices[Vertex],0)),1,1,"")</f>
        <v>2</v>
      </c>
      <c r="S1387" s="34"/>
      <c r="T1387" s="34"/>
      <c r="U1387" s="34"/>
      <c r="V1387" s="34"/>
      <c r="W1387" s="34"/>
      <c r="X1387" s="34"/>
      <c r="Y1387" s="34"/>
      <c r="Z1387" s="34"/>
      <c r="AA1387" s="34"/>
    </row>
    <row r="1388" spans="1:27" ht="15">
      <c r="A1388" s="66" t="s">
        <v>251</v>
      </c>
      <c r="B1388" s="66" t="s">
        <v>232</v>
      </c>
      <c r="C1388" s="67" t="s">
        <v>4454</v>
      </c>
      <c r="D1388" s="68">
        <v>5</v>
      </c>
      <c r="E1388" s="69"/>
      <c r="F1388" s="70">
        <v>20</v>
      </c>
      <c r="G1388" s="67"/>
      <c r="H1388" s="71"/>
      <c r="I1388" s="72"/>
      <c r="J1388" s="72"/>
      <c r="K1388" s="34" t="s">
        <v>65</v>
      </c>
      <c r="L1388" s="79">
        <v>1388</v>
      </c>
      <c r="M1388" s="79"/>
      <c r="N1388" s="74"/>
      <c r="O1388" s="81" t="s">
        <v>944</v>
      </c>
      <c r="P1388">
        <v>1</v>
      </c>
      <c r="Q1388" s="80" t="str">
        <f>REPLACE(INDEX(GroupVertices[Group],MATCH(Edges[[#This Row],[Vertex 1]],GroupVertices[Vertex],0)),1,1,"")</f>
        <v>2</v>
      </c>
      <c r="R1388" s="80" t="str">
        <f>REPLACE(INDEX(GroupVertices[Group],MATCH(Edges[[#This Row],[Vertex 2]],GroupVertices[Vertex],0)),1,1,"")</f>
        <v>1</v>
      </c>
      <c r="S1388" s="34"/>
      <c r="T1388" s="34"/>
      <c r="U1388" s="34"/>
      <c r="V1388" s="34"/>
      <c r="W1388" s="34"/>
      <c r="X1388" s="34"/>
      <c r="Y1388" s="34"/>
      <c r="Z1388" s="34"/>
      <c r="AA1388" s="34"/>
    </row>
    <row r="1389" spans="1:27" ht="15">
      <c r="A1389" s="66" t="s">
        <v>251</v>
      </c>
      <c r="B1389" s="66" t="s">
        <v>480</v>
      </c>
      <c r="C1389" s="67" t="s">
        <v>4454</v>
      </c>
      <c r="D1389" s="68">
        <v>5</v>
      </c>
      <c r="E1389" s="69"/>
      <c r="F1389" s="70">
        <v>20</v>
      </c>
      <c r="G1389" s="67"/>
      <c r="H1389" s="71"/>
      <c r="I1389" s="72"/>
      <c r="J1389" s="72"/>
      <c r="K1389" s="34" t="s">
        <v>65</v>
      </c>
      <c r="L1389" s="79">
        <v>1389</v>
      </c>
      <c r="M1389" s="79"/>
      <c r="N1389" s="74"/>
      <c r="O1389" s="81" t="s">
        <v>944</v>
      </c>
      <c r="P1389">
        <v>1</v>
      </c>
      <c r="Q1389" s="80" t="str">
        <f>REPLACE(INDEX(GroupVertices[Group],MATCH(Edges[[#This Row],[Vertex 1]],GroupVertices[Vertex],0)),1,1,"")</f>
        <v>2</v>
      </c>
      <c r="R1389" s="80" t="str">
        <f>REPLACE(INDEX(GroupVertices[Group],MATCH(Edges[[#This Row],[Vertex 2]],GroupVertices[Vertex],0)),1,1,"")</f>
        <v>1</v>
      </c>
      <c r="S1389" s="34"/>
      <c r="T1389" s="34"/>
      <c r="U1389" s="34"/>
      <c r="V1389" s="34"/>
      <c r="W1389" s="34"/>
      <c r="X1389" s="34"/>
      <c r="Y1389" s="34"/>
      <c r="Z1389" s="34"/>
      <c r="AA1389" s="34"/>
    </row>
    <row r="1390" spans="1:27" ht="15">
      <c r="A1390" s="66" t="s">
        <v>251</v>
      </c>
      <c r="B1390" s="66" t="s">
        <v>220</v>
      </c>
      <c r="C1390" s="67" t="s">
        <v>4454</v>
      </c>
      <c r="D1390" s="68">
        <v>5</v>
      </c>
      <c r="E1390" s="69"/>
      <c r="F1390" s="70">
        <v>20</v>
      </c>
      <c r="G1390" s="67"/>
      <c r="H1390" s="71"/>
      <c r="I1390" s="72"/>
      <c r="J1390" s="72"/>
      <c r="K1390" s="34" t="s">
        <v>66</v>
      </c>
      <c r="L1390" s="79">
        <v>1390</v>
      </c>
      <c r="M1390" s="79"/>
      <c r="N1390" s="74"/>
      <c r="O1390" s="81" t="s">
        <v>944</v>
      </c>
      <c r="P1390">
        <v>1</v>
      </c>
      <c r="Q1390" s="80" t="str">
        <f>REPLACE(INDEX(GroupVertices[Group],MATCH(Edges[[#This Row],[Vertex 1]],GroupVertices[Vertex],0)),1,1,"")</f>
        <v>2</v>
      </c>
      <c r="R1390" s="80" t="str">
        <f>REPLACE(INDEX(GroupVertices[Group],MATCH(Edges[[#This Row],[Vertex 2]],GroupVertices[Vertex],0)),1,1,"")</f>
        <v>2</v>
      </c>
      <c r="S1390" s="34"/>
      <c r="T1390" s="34"/>
      <c r="U1390" s="34"/>
      <c r="V1390" s="34"/>
      <c r="W1390" s="34"/>
      <c r="X1390" s="34"/>
      <c r="Y1390" s="34"/>
      <c r="Z1390" s="34"/>
      <c r="AA1390" s="34"/>
    </row>
    <row r="1391" spans="1:27" ht="15">
      <c r="A1391" s="66" t="s">
        <v>251</v>
      </c>
      <c r="B1391" s="66" t="s">
        <v>250</v>
      </c>
      <c r="C1391" s="67" t="s">
        <v>4454</v>
      </c>
      <c r="D1391" s="68">
        <v>5</v>
      </c>
      <c r="E1391" s="69"/>
      <c r="F1391" s="70">
        <v>20</v>
      </c>
      <c r="G1391" s="67"/>
      <c r="H1391" s="71"/>
      <c r="I1391" s="72"/>
      <c r="J1391" s="72"/>
      <c r="K1391" s="34" t="s">
        <v>66</v>
      </c>
      <c r="L1391" s="79">
        <v>1391</v>
      </c>
      <c r="M1391" s="79"/>
      <c r="N1391" s="74"/>
      <c r="O1391" s="81" t="s">
        <v>944</v>
      </c>
      <c r="P1391">
        <v>1</v>
      </c>
      <c r="Q1391" s="80" t="str">
        <f>REPLACE(INDEX(GroupVertices[Group],MATCH(Edges[[#This Row],[Vertex 1]],GroupVertices[Vertex],0)),1,1,"")</f>
        <v>2</v>
      </c>
      <c r="R1391" s="80" t="str">
        <f>REPLACE(INDEX(GroupVertices[Group],MATCH(Edges[[#This Row],[Vertex 2]],GroupVertices[Vertex],0)),1,1,"")</f>
        <v>2</v>
      </c>
      <c r="S1391" s="34"/>
      <c r="T1391" s="34"/>
      <c r="U1391" s="34"/>
      <c r="V1391" s="34"/>
      <c r="W1391" s="34"/>
      <c r="X1391" s="34"/>
      <c r="Y1391" s="34"/>
      <c r="Z1391" s="34"/>
      <c r="AA1391" s="34"/>
    </row>
    <row r="1392" spans="1:27" ht="15">
      <c r="A1392" s="66" t="s">
        <v>251</v>
      </c>
      <c r="B1392" s="66" t="s">
        <v>254</v>
      </c>
      <c r="C1392" s="67" t="s">
        <v>4454</v>
      </c>
      <c r="D1392" s="68">
        <v>5</v>
      </c>
      <c r="E1392" s="69"/>
      <c r="F1392" s="70">
        <v>20</v>
      </c>
      <c r="G1392" s="67"/>
      <c r="H1392" s="71"/>
      <c r="I1392" s="72"/>
      <c r="J1392" s="72"/>
      <c r="K1392" s="34" t="s">
        <v>65</v>
      </c>
      <c r="L1392" s="79">
        <v>1392</v>
      </c>
      <c r="M1392" s="79"/>
      <c r="N1392" s="74"/>
      <c r="O1392" s="81" t="s">
        <v>944</v>
      </c>
      <c r="P1392">
        <v>1</v>
      </c>
      <c r="Q1392" s="80" t="str">
        <f>REPLACE(INDEX(GroupVertices[Group],MATCH(Edges[[#This Row],[Vertex 1]],GroupVertices[Vertex],0)),1,1,"")</f>
        <v>2</v>
      </c>
      <c r="R1392" s="80" t="str">
        <f>REPLACE(INDEX(GroupVertices[Group],MATCH(Edges[[#This Row],[Vertex 2]],GroupVertices[Vertex],0)),1,1,"")</f>
        <v>3</v>
      </c>
      <c r="S1392" s="34"/>
      <c r="T1392" s="34"/>
      <c r="U1392" s="34"/>
      <c r="V1392" s="34"/>
      <c r="W1392" s="34"/>
      <c r="X1392" s="34"/>
      <c r="Y1392" s="34"/>
      <c r="Z1392" s="34"/>
      <c r="AA1392" s="34"/>
    </row>
    <row r="1393" spans="1:27" ht="15">
      <c r="A1393" s="66" t="s">
        <v>251</v>
      </c>
      <c r="B1393" s="66" t="s">
        <v>261</v>
      </c>
      <c r="C1393" s="67" t="s">
        <v>4454</v>
      </c>
      <c r="D1393" s="68">
        <v>5</v>
      </c>
      <c r="E1393" s="69"/>
      <c r="F1393" s="70">
        <v>20</v>
      </c>
      <c r="G1393" s="67"/>
      <c r="H1393" s="71"/>
      <c r="I1393" s="72"/>
      <c r="J1393" s="72"/>
      <c r="K1393" s="34" t="s">
        <v>65</v>
      </c>
      <c r="L1393" s="79">
        <v>1393</v>
      </c>
      <c r="M1393" s="79"/>
      <c r="N1393" s="74"/>
      <c r="O1393" s="81" t="s">
        <v>944</v>
      </c>
      <c r="P1393">
        <v>1</v>
      </c>
      <c r="Q1393" s="80" t="str">
        <f>REPLACE(INDEX(GroupVertices[Group],MATCH(Edges[[#This Row],[Vertex 1]],GroupVertices[Vertex],0)),1,1,"")</f>
        <v>2</v>
      </c>
      <c r="R1393" s="80" t="str">
        <f>REPLACE(INDEX(GroupVertices[Group],MATCH(Edges[[#This Row],[Vertex 2]],GroupVertices[Vertex],0)),1,1,"")</f>
        <v>1</v>
      </c>
      <c r="S1393" s="34"/>
      <c r="T1393" s="34"/>
      <c r="U1393" s="34"/>
      <c r="V1393" s="34"/>
      <c r="W1393" s="34"/>
      <c r="X1393" s="34"/>
      <c r="Y1393" s="34"/>
      <c r="Z1393" s="34"/>
      <c r="AA1393" s="34"/>
    </row>
    <row r="1394" spans="1:27" ht="15">
      <c r="A1394" s="66" t="s">
        <v>256</v>
      </c>
      <c r="B1394" s="66" t="s">
        <v>251</v>
      </c>
      <c r="C1394" s="67" t="s">
        <v>4454</v>
      </c>
      <c r="D1394" s="68">
        <v>5</v>
      </c>
      <c r="E1394" s="69"/>
      <c r="F1394" s="70">
        <v>20</v>
      </c>
      <c r="G1394" s="67"/>
      <c r="H1394" s="71"/>
      <c r="I1394" s="72"/>
      <c r="J1394" s="72"/>
      <c r="K1394" s="34" t="s">
        <v>66</v>
      </c>
      <c r="L1394" s="79">
        <v>1394</v>
      </c>
      <c r="M1394" s="79"/>
      <c r="N1394" s="74"/>
      <c r="O1394" s="81" t="s">
        <v>944</v>
      </c>
      <c r="P1394">
        <v>1</v>
      </c>
      <c r="Q1394" s="80" t="str">
        <f>REPLACE(INDEX(GroupVertices[Group],MATCH(Edges[[#This Row],[Vertex 1]],GroupVertices[Vertex],0)),1,1,"")</f>
        <v>1</v>
      </c>
      <c r="R1394" s="80" t="str">
        <f>REPLACE(INDEX(GroupVertices[Group],MATCH(Edges[[#This Row],[Vertex 2]],GroupVertices[Vertex],0)),1,1,"")</f>
        <v>2</v>
      </c>
      <c r="S1394" s="34"/>
      <c r="T1394" s="34"/>
      <c r="U1394" s="34"/>
      <c r="V1394" s="34"/>
      <c r="W1394" s="34"/>
      <c r="X1394" s="34"/>
      <c r="Y1394" s="34"/>
      <c r="Z1394" s="34"/>
      <c r="AA1394" s="34"/>
    </row>
    <row r="1395" spans="1:27" ht="15">
      <c r="A1395" s="66" t="s">
        <v>257</v>
      </c>
      <c r="B1395" s="66" t="s">
        <v>251</v>
      </c>
      <c r="C1395" s="67" t="s">
        <v>4454</v>
      </c>
      <c r="D1395" s="68">
        <v>5</v>
      </c>
      <c r="E1395" s="69"/>
      <c r="F1395" s="70">
        <v>20</v>
      </c>
      <c r="G1395" s="67"/>
      <c r="H1395" s="71"/>
      <c r="I1395" s="72"/>
      <c r="J1395" s="72"/>
      <c r="K1395" s="34" t="s">
        <v>66</v>
      </c>
      <c r="L1395" s="79">
        <v>1395</v>
      </c>
      <c r="M1395" s="79"/>
      <c r="N1395" s="74"/>
      <c r="O1395" s="81" t="s">
        <v>944</v>
      </c>
      <c r="P1395">
        <v>1</v>
      </c>
      <c r="Q1395" s="80" t="str">
        <f>REPLACE(INDEX(GroupVertices[Group],MATCH(Edges[[#This Row],[Vertex 1]],GroupVertices[Vertex],0)),1,1,"")</f>
        <v>2</v>
      </c>
      <c r="R1395" s="80" t="str">
        <f>REPLACE(INDEX(GroupVertices[Group],MATCH(Edges[[#This Row],[Vertex 2]],GroupVertices[Vertex],0)),1,1,"")</f>
        <v>2</v>
      </c>
      <c r="S1395" s="34"/>
      <c r="T1395" s="34"/>
      <c r="U1395" s="34"/>
      <c r="V1395" s="34"/>
      <c r="W1395" s="34"/>
      <c r="X1395" s="34"/>
      <c r="Y1395" s="34"/>
      <c r="Z1395" s="34"/>
      <c r="AA1395" s="34"/>
    </row>
    <row r="1396" spans="1:27" ht="15">
      <c r="A1396" s="66" t="s">
        <v>222</v>
      </c>
      <c r="B1396" s="66" t="s">
        <v>252</v>
      </c>
      <c r="C1396" s="67" t="s">
        <v>4454</v>
      </c>
      <c r="D1396" s="68">
        <v>5</v>
      </c>
      <c r="E1396" s="69"/>
      <c r="F1396" s="70">
        <v>20</v>
      </c>
      <c r="G1396" s="67"/>
      <c r="H1396" s="71"/>
      <c r="I1396" s="72"/>
      <c r="J1396" s="72"/>
      <c r="K1396" s="34" t="s">
        <v>65</v>
      </c>
      <c r="L1396" s="79">
        <v>1396</v>
      </c>
      <c r="M1396" s="79"/>
      <c r="N1396" s="74"/>
      <c r="O1396" s="81" t="s">
        <v>944</v>
      </c>
      <c r="P1396">
        <v>1</v>
      </c>
      <c r="Q1396" s="80" t="str">
        <f>REPLACE(INDEX(GroupVertices[Group],MATCH(Edges[[#This Row],[Vertex 1]],GroupVertices[Vertex],0)),1,1,"")</f>
        <v>2</v>
      </c>
      <c r="R1396" s="80" t="str">
        <f>REPLACE(INDEX(GroupVertices[Group],MATCH(Edges[[#This Row],[Vertex 2]],GroupVertices[Vertex],0)),1,1,"")</f>
        <v>1</v>
      </c>
      <c r="S1396" s="34"/>
      <c r="T1396" s="34"/>
      <c r="U1396" s="34"/>
      <c r="V1396" s="34"/>
      <c r="W1396" s="34"/>
      <c r="X1396" s="34"/>
      <c r="Y1396" s="34"/>
      <c r="Z1396" s="34"/>
      <c r="AA1396" s="34"/>
    </row>
    <row r="1397" spans="1:27" ht="15">
      <c r="A1397" s="66" t="s">
        <v>222</v>
      </c>
      <c r="B1397" s="66" t="s">
        <v>235</v>
      </c>
      <c r="C1397" s="67" t="s">
        <v>4454</v>
      </c>
      <c r="D1397" s="68">
        <v>5</v>
      </c>
      <c r="E1397" s="69"/>
      <c r="F1397" s="70">
        <v>20</v>
      </c>
      <c r="G1397" s="67"/>
      <c r="H1397" s="71"/>
      <c r="I1397" s="72"/>
      <c r="J1397" s="72"/>
      <c r="K1397" s="34" t="s">
        <v>65</v>
      </c>
      <c r="L1397" s="79">
        <v>1397</v>
      </c>
      <c r="M1397" s="79"/>
      <c r="N1397" s="74"/>
      <c r="O1397" s="81" t="s">
        <v>944</v>
      </c>
      <c r="P1397">
        <v>1</v>
      </c>
      <c r="Q1397" s="80" t="str">
        <f>REPLACE(INDEX(GroupVertices[Group],MATCH(Edges[[#This Row],[Vertex 1]],GroupVertices[Vertex],0)),1,1,"")</f>
        <v>2</v>
      </c>
      <c r="R1397" s="80" t="str">
        <f>REPLACE(INDEX(GroupVertices[Group],MATCH(Edges[[#This Row],[Vertex 2]],GroupVertices[Vertex],0)),1,1,"")</f>
        <v>2</v>
      </c>
      <c r="S1397" s="34"/>
      <c r="T1397" s="34"/>
      <c r="U1397" s="34"/>
      <c r="V1397" s="34"/>
      <c r="W1397" s="34"/>
      <c r="X1397" s="34"/>
      <c r="Y1397" s="34"/>
      <c r="Z1397" s="34"/>
      <c r="AA1397" s="34"/>
    </row>
    <row r="1398" spans="1:27" ht="15">
      <c r="A1398" s="66" t="s">
        <v>222</v>
      </c>
      <c r="B1398" s="66" t="s">
        <v>242</v>
      </c>
      <c r="C1398" s="67" t="s">
        <v>4454</v>
      </c>
      <c r="D1398" s="68">
        <v>5</v>
      </c>
      <c r="E1398" s="69"/>
      <c r="F1398" s="70">
        <v>20</v>
      </c>
      <c r="G1398" s="67"/>
      <c r="H1398" s="71"/>
      <c r="I1398" s="72"/>
      <c r="J1398" s="72"/>
      <c r="K1398" s="34" t="s">
        <v>65</v>
      </c>
      <c r="L1398" s="79">
        <v>1398</v>
      </c>
      <c r="M1398" s="79"/>
      <c r="N1398" s="74"/>
      <c r="O1398" s="81" t="s">
        <v>944</v>
      </c>
      <c r="P1398">
        <v>1</v>
      </c>
      <c r="Q1398" s="80" t="str">
        <f>REPLACE(INDEX(GroupVertices[Group],MATCH(Edges[[#This Row],[Vertex 1]],GroupVertices[Vertex],0)),1,1,"")</f>
        <v>2</v>
      </c>
      <c r="R1398" s="80" t="str">
        <f>REPLACE(INDEX(GroupVertices[Group],MATCH(Edges[[#This Row],[Vertex 2]],GroupVertices[Vertex],0)),1,1,"")</f>
        <v>1</v>
      </c>
      <c r="S1398" s="34"/>
      <c r="T1398" s="34"/>
      <c r="U1398" s="34"/>
      <c r="V1398" s="34"/>
      <c r="W1398" s="34"/>
      <c r="X1398" s="34"/>
      <c r="Y1398" s="34"/>
      <c r="Z1398" s="34"/>
      <c r="AA1398" s="34"/>
    </row>
    <row r="1399" spans="1:27" ht="15">
      <c r="A1399" s="66" t="s">
        <v>222</v>
      </c>
      <c r="B1399" s="66" t="s">
        <v>246</v>
      </c>
      <c r="C1399" s="67" t="s">
        <v>4454</v>
      </c>
      <c r="D1399" s="68">
        <v>5</v>
      </c>
      <c r="E1399" s="69"/>
      <c r="F1399" s="70">
        <v>20</v>
      </c>
      <c r="G1399" s="67"/>
      <c r="H1399" s="71"/>
      <c r="I1399" s="72"/>
      <c r="J1399" s="72"/>
      <c r="K1399" s="34" t="s">
        <v>66</v>
      </c>
      <c r="L1399" s="79">
        <v>1399</v>
      </c>
      <c r="M1399" s="79"/>
      <c r="N1399" s="74"/>
      <c r="O1399" s="81" t="s">
        <v>944</v>
      </c>
      <c r="P1399">
        <v>1</v>
      </c>
      <c r="Q1399" s="80" t="str">
        <f>REPLACE(INDEX(GroupVertices[Group],MATCH(Edges[[#This Row],[Vertex 1]],GroupVertices[Vertex],0)),1,1,"")</f>
        <v>2</v>
      </c>
      <c r="R1399" s="80" t="str">
        <f>REPLACE(INDEX(GroupVertices[Group],MATCH(Edges[[#This Row],[Vertex 2]],GroupVertices[Vertex],0)),1,1,"")</f>
        <v>2</v>
      </c>
      <c r="S1399" s="34"/>
      <c r="T1399" s="34"/>
      <c r="U1399" s="34"/>
      <c r="V1399" s="34"/>
      <c r="W1399" s="34"/>
      <c r="X1399" s="34"/>
      <c r="Y1399" s="34"/>
      <c r="Z1399" s="34"/>
      <c r="AA1399" s="34"/>
    </row>
    <row r="1400" spans="1:27" ht="15">
      <c r="A1400" s="66" t="s">
        <v>222</v>
      </c>
      <c r="B1400" s="66" t="s">
        <v>260</v>
      </c>
      <c r="C1400" s="67" t="s">
        <v>4454</v>
      </c>
      <c r="D1400" s="68">
        <v>5</v>
      </c>
      <c r="E1400" s="69"/>
      <c r="F1400" s="70">
        <v>20</v>
      </c>
      <c r="G1400" s="67"/>
      <c r="H1400" s="71"/>
      <c r="I1400" s="72"/>
      <c r="J1400" s="72"/>
      <c r="K1400" s="34" t="s">
        <v>65</v>
      </c>
      <c r="L1400" s="79">
        <v>1400</v>
      </c>
      <c r="M1400" s="79"/>
      <c r="N1400" s="74"/>
      <c r="O1400" s="81" t="s">
        <v>944</v>
      </c>
      <c r="P1400">
        <v>1</v>
      </c>
      <c r="Q1400" s="80" t="str">
        <f>REPLACE(INDEX(GroupVertices[Group],MATCH(Edges[[#This Row],[Vertex 1]],GroupVertices[Vertex],0)),1,1,"")</f>
        <v>2</v>
      </c>
      <c r="R1400" s="80" t="str">
        <f>REPLACE(INDEX(GroupVertices[Group],MATCH(Edges[[#This Row],[Vertex 2]],GroupVertices[Vertex],0)),1,1,"")</f>
        <v>2</v>
      </c>
      <c r="S1400" s="34"/>
      <c r="T1400" s="34"/>
      <c r="U1400" s="34"/>
      <c r="V1400" s="34"/>
      <c r="W1400" s="34"/>
      <c r="X1400" s="34"/>
      <c r="Y1400" s="34"/>
      <c r="Z1400" s="34"/>
      <c r="AA1400" s="34"/>
    </row>
    <row r="1401" spans="1:27" ht="15">
      <c r="A1401" s="66" t="s">
        <v>222</v>
      </c>
      <c r="B1401" s="66" t="s">
        <v>257</v>
      </c>
      <c r="C1401" s="67" t="s">
        <v>4454</v>
      </c>
      <c r="D1401" s="68">
        <v>5</v>
      </c>
      <c r="E1401" s="69"/>
      <c r="F1401" s="70">
        <v>20</v>
      </c>
      <c r="G1401" s="67"/>
      <c r="H1401" s="71"/>
      <c r="I1401" s="72"/>
      <c r="J1401" s="72"/>
      <c r="K1401" s="34" t="s">
        <v>66</v>
      </c>
      <c r="L1401" s="79">
        <v>1401</v>
      </c>
      <c r="M1401" s="79"/>
      <c r="N1401" s="74"/>
      <c r="O1401" s="81" t="s">
        <v>944</v>
      </c>
      <c r="P1401">
        <v>1</v>
      </c>
      <c r="Q1401" s="80" t="str">
        <f>REPLACE(INDEX(GroupVertices[Group],MATCH(Edges[[#This Row],[Vertex 1]],GroupVertices[Vertex],0)),1,1,"")</f>
        <v>2</v>
      </c>
      <c r="R1401" s="80" t="str">
        <f>REPLACE(INDEX(GroupVertices[Group],MATCH(Edges[[#This Row],[Vertex 2]],GroupVertices[Vertex],0)),1,1,"")</f>
        <v>2</v>
      </c>
      <c r="S1401" s="34"/>
      <c r="T1401" s="34"/>
      <c r="U1401" s="34"/>
      <c r="V1401" s="34"/>
      <c r="W1401" s="34"/>
      <c r="X1401" s="34"/>
      <c r="Y1401" s="34"/>
      <c r="Z1401" s="34"/>
      <c r="AA1401" s="34"/>
    </row>
    <row r="1402" spans="1:27" ht="15">
      <c r="A1402" s="66" t="s">
        <v>222</v>
      </c>
      <c r="B1402" s="66" t="s">
        <v>243</v>
      </c>
      <c r="C1402" s="67" t="s">
        <v>4454</v>
      </c>
      <c r="D1402" s="68">
        <v>5</v>
      </c>
      <c r="E1402" s="69"/>
      <c r="F1402" s="70">
        <v>20</v>
      </c>
      <c r="G1402" s="67"/>
      <c r="H1402" s="71"/>
      <c r="I1402" s="72"/>
      <c r="J1402" s="72"/>
      <c r="K1402" s="34" t="s">
        <v>66</v>
      </c>
      <c r="L1402" s="79">
        <v>1402</v>
      </c>
      <c r="M1402" s="79"/>
      <c r="N1402" s="74"/>
      <c r="O1402" s="81" t="s">
        <v>944</v>
      </c>
      <c r="P1402">
        <v>1</v>
      </c>
      <c r="Q1402" s="80" t="str">
        <f>REPLACE(INDEX(GroupVertices[Group],MATCH(Edges[[#This Row],[Vertex 1]],GroupVertices[Vertex],0)),1,1,"")</f>
        <v>2</v>
      </c>
      <c r="R1402" s="80" t="str">
        <f>REPLACE(INDEX(GroupVertices[Group],MATCH(Edges[[#This Row],[Vertex 2]],GroupVertices[Vertex],0)),1,1,"")</f>
        <v>2</v>
      </c>
      <c r="S1402" s="34"/>
      <c r="T1402" s="34"/>
      <c r="U1402" s="34"/>
      <c r="V1402" s="34"/>
      <c r="W1402" s="34"/>
      <c r="X1402" s="34"/>
      <c r="Y1402" s="34"/>
      <c r="Z1402" s="34"/>
      <c r="AA1402" s="34"/>
    </row>
    <row r="1403" spans="1:27" ht="15">
      <c r="A1403" s="66" t="s">
        <v>222</v>
      </c>
      <c r="B1403" s="66" t="s">
        <v>238</v>
      </c>
      <c r="C1403" s="67" t="s">
        <v>4454</v>
      </c>
      <c r="D1403" s="68">
        <v>5</v>
      </c>
      <c r="E1403" s="69"/>
      <c r="F1403" s="70">
        <v>20</v>
      </c>
      <c r="G1403" s="67"/>
      <c r="H1403" s="71"/>
      <c r="I1403" s="72"/>
      <c r="J1403" s="72"/>
      <c r="K1403" s="34" t="s">
        <v>66</v>
      </c>
      <c r="L1403" s="79">
        <v>1403</v>
      </c>
      <c r="M1403" s="79"/>
      <c r="N1403" s="74"/>
      <c r="O1403" s="81" t="s">
        <v>944</v>
      </c>
      <c r="P1403">
        <v>1</v>
      </c>
      <c r="Q1403" s="80" t="str">
        <f>REPLACE(INDEX(GroupVertices[Group],MATCH(Edges[[#This Row],[Vertex 1]],GroupVertices[Vertex],0)),1,1,"")</f>
        <v>2</v>
      </c>
      <c r="R1403" s="80" t="str">
        <f>REPLACE(INDEX(GroupVertices[Group],MATCH(Edges[[#This Row],[Vertex 2]],GroupVertices[Vertex],0)),1,1,"")</f>
        <v>2</v>
      </c>
      <c r="S1403" s="34"/>
      <c r="T1403" s="34"/>
      <c r="U1403" s="34"/>
      <c r="V1403" s="34"/>
      <c r="W1403" s="34"/>
      <c r="X1403" s="34"/>
      <c r="Y1403" s="34"/>
      <c r="Z1403" s="34"/>
      <c r="AA1403" s="34"/>
    </row>
    <row r="1404" spans="1:27" ht="15">
      <c r="A1404" s="66" t="s">
        <v>222</v>
      </c>
      <c r="B1404" s="66" t="s">
        <v>255</v>
      </c>
      <c r="C1404" s="67" t="s">
        <v>4454</v>
      </c>
      <c r="D1404" s="68">
        <v>5</v>
      </c>
      <c r="E1404" s="69"/>
      <c r="F1404" s="70">
        <v>20</v>
      </c>
      <c r="G1404" s="67"/>
      <c r="H1404" s="71"/>
      <c r="I1404" s="72"/>
      <c r="J1404" s="72"/>
      <c r="K1404" s="34" t="s">
        <v>65</v>
      </c>
      <c r="L1404" s="79">
        <v>1404</v>
      </c>
      <c r="M1404" s="79"/>
      <c r="N1404" s="74"/>
      <c r="O1404" s="81" t="s">
        <v>944</v>
      </c>
      <c r="P1404">
        <v>1</v>
      </c>
      <c r="Q1404" s="80" t="str">
        <f>REPLACE(INDEX(GroupVertices[Group],MATCH(Edges[[#This Row],[Vertex 1]],GroupVertices[Vertex],0)),1,1,"")</f>
        <v>2</v>
      </c>
      <c r="R1404" s="80" t="str">
        <f>REPLACE(INDEX(GroupVertices[Group],MATCH(Edges[[#This Row],[Vertex 2]],GroupVertices[Vertex],0)),1,1,"")</f>
        <v>4</v>
      </c>
      <c r="S1404" s="34"/>
      <c r="T1404" s="34"/>
      <c r="U1404" s="34"/>
      <c r="V1404" s="34"/>
      <c r="W1404" s="34"/>
      <c r="X1404" s="34"/>
      <c r="Y1404" s="34"/>
      <c r="Z1404" s="34"/>
      <c r="AA1404" s="34"/>
    </row>
    <row r="1405" spans="1:27" ht="15">
      <c r="A1405" s="66" t="s">
        <v>222</v>
      </c>
      <c r="B1405" s="66" t="s">
        <v>877</v>
      </c>
      <c r="C1405" s="67" t="s">
        <v>4454</v>
      </c>
      <c r="D1405" s="68">
        <v>5</v>
      </c>
      <c r="E1405" s="69"/>
      <c r="F1405" s="70">
        <v>20</v>
      </c>
      <c r="G1405" s="67"/>
      <c r="H1405" s="71"/>
      <c r="I1405" s="72"/>
      <c r="J1405" s="72"/>
      <c r="K1405" s="34" t="s">
        <v>65</v>
      </c>
      <c r="L1405" s="79">
        <v>1405</v>
      </c>
      <c r="M1405" s="79"/>
      <c r="N1405" s="74"/>
      <c r="O1405" s="81" t="s">
        <v>944</v>
      </c>
      <c r="P1405">
        <v>1</v>
      </c>
      <c r="Q1405" s="80" t="str">
        <f>REPLACE(INDEX(GroupVertices[Group],MATCH(Edges[[#This Row],[Vertex 1]],GroupVertices[Vertex],0)),1,1,"")</f>
        <v>2</v>
      </c>
      <c r="R1405" s="80" t="str">
        <f>REPLACE(INDEX(GroupVertices[Group],MATCH(Edges[[#This Row],[Vertex 2]],GroupVertices[Vertex],0)),1,1,"")</f>
        <v>2</v>
      </c>
      <c r="S1405" s="34"/>
      <c r="T1405" s="34"/>
      <c r="U1405" s="34"/>
      <c r="V1405" s="34"/>
      <c r="W1405" s="34"/>
      <c r="X1405" s="34"/>
      <c r="Y1405" s="34"/>
      <c r="Z1405" s="34"/>
      <c r="AA1405" s="34"/>
    </row>
    <row r="1406" spans="1:27" ht="15">
      <c r="A1406" s="66" t="s">
        <v>222</v>
      </c>
      <c r="B1406" s="66" t="s">
        <v>510</v>
      </c>
      <c r="C1406" s="67" t="s">
        <v>4454</v>
      </c>
      <c r="D1406" s="68">
        <v>5</v>
      </c>
      <c r="E1406" s="69"/>
      <c r="F1406" s="70">
        <v>20</v>
      </c>
      <c r="G1406" s="67"/>
      <c r="H1406" s="71"/>
      <c r="I1406" s="72"/>
      <c r="J1406" s="72"/>
      <c r="K1406" s="34" t="s">
        <v>65</v>
      </c>
      <c r="L1406" s="79">
        <v>1406</v>
      </c>
      <c r="M1406" s="79"/>
      <c r="N1406" s="74"/>
      <c r="O1406" s="81" t="s">
        <v>944</v>
      </c>
      <c r="P1406">
        <v>1</v>
      </c>
      <c r="Q1406" s="80" t="str">
        <f>REPLACE(INDEX(GroupVertices[Group],MATCH(Edges[[#This Row],[Vertex 1]],GroupVertices[Vertex],0)),1,1,"")</f>
        <v>2</v>
      </c>
      <c r="R1406" s="80" t="str">
        <f>REPLACE(INDEX(GroupVertices[Group],MATCH(Edges[[#This Row],[Vertex 2]],GroupVertices[Vertex],0)),1,1,"")</f>
        <v>2</v>
      </c>
      <c r="S1406" s="34"/>
      <c r="T1406" s="34"/>
      <c r="U1406" s="34"/>
      <c r="V1406" s="34"/>
      <c r="W1406" s="34"/>
      <c r="X1406" s="34"/>
      <c r="Y1406" s="34"/>
      <c r="Z1406" s="34"/>
      <c r="AA1406" s="34"/>
    </row>
    <row r="1407" spans="1:27" ht="15">
      <c r="A1407" s="66" t="s">
        <v>222</v>
      </c>
      <c r="B1407" s="66" t="s">
        <v>247</v>
      </c>
      <c r="C1407" s="67" t="s">
        <v>4454</v>
      </c>
      <c r="D1407" s="68">
        <v>5</v>
      </c>
      <c r="E1407" s="69"/>
      <c r="F1407" s="70">
        <v>20</v>
      </c>
      <c r="G1407" s="67"/>
      <c r="H1407" s="71"/>
      <c r="I1407" s="72"/>
      <c r="J1407" s="72"/>
      <c r="K1407" s="34" t="s">
        <v>66</v>
      </c>
      <c r="L1407" s="79">
        <v>1407</v>
      </c>
      <c r="M1407" s="79"/>
      <c r="N1407" s="74"/>
      <c r="O1407" s="81" t="s">
        <v>944</v>
      </c>
      <c r="P1407">
        <v>1</v>
      </c>
      <c r="Q1407" s="80" t="str">
        <f>REPLACE(INDEX(GroupVertices[Group],MATCH(Edges[[#This Row],[Vertex 1]],GroupVertices[Vertex],0)),1,1,"")</f>
        <v>2</v>
      </c>
      <c r="R1407" s="80" t="str">
        <f>REPLACE(INDEX(GroupVertices[Group],MATCH(Edges[[#This Row],[Vertex 2]],GroupVertices[Vertex],0)),1,1,"")</f>
        <v>2</v>
      </c>
      <c r="S1407" s="34"/>
      <c r="T1407" s="34"/>
      <c r="U1407" s="34"/>
      <c r="V1407" s="34"/>
      <c r="W1407" s="34"/>
      <c r="X1407" s="34"/>
      <c r="Y1407" s="34"/>
      <c r="Z1407" s="34"/>
      <c r="AA1407" s="34"/>
    </row>
    <row r="1408" spans="1:27" ht="15">
      <c r="A1408" s="66" t="s">
        <v>222</v>
      </c>
      <c r="B1408" s="66" t="s">
        <v>224</v>
      </c>
      <c r="C1408" s="67" t="s">
        <v>4454</v>
      </c>
      <c r="D1408" s="68">
        <v>5</v>
      </c>
      <c r="E1408" s="69"/>
      <c r="F1408" s="70">
        <v>20</v>
      </c>
      <c r="G1408" s="67"/>
      <c r="H1408" s="71"/>
      <c r="I1408" s="72"/>
      <c r="J1408" s="72"/>
      <c r="K1408" s="34" t="s">
        <v>66</v>
      </c>
      <c r="L1408" s="79">
        <v>1408</v>
      </c>
      <c r="M1408" s="79"/>
      <c r="N1408" s="74"/>
      <c r="O1408" s="81" t="s">
        <v>944</v>
      </c>
      <c r="P1408">
        <v>1</v>
      </c>
      <c r="Q1408" s="80" t="str">
        <f>REPLACE(INDEX(GroupVertices[Group],MATCH(Edges[[#This Row],[Vertex 1]],GroupVertices[Vertex],0)),1,1,"")</f>
        <v>2</v>
      </c>
      <c r="R1408" s="80" t="str">
        <f>REPLACE(INDEX(GroupVertices[Group],MATCH(Edges[[#This Row],[Vertex 2]],GroupVertices[Vertex],0)),1,1,"")</f>
        <v>2</v>
      </c>
      <c r="S1408" s="34"/>
      <c r="T1408" s="34"/>
      <c r="U1408" s="34"/>
      <c r="V1408" s="34"/>
      <c r="W1408" s="34"/>
      <c r="X1408" s="34"/>
      <c r="Y1408" s="34"/>
      <c r="Z1408" s="34"/>
      <c r="AA1408" s="34"/>
    </row>
    <row r="1409" spans="1:27" ht="15">
      <c r="A1409" s="66" t="s">
        <v>222</v>
      </c>
      <c r="B1409" s="66" t="s">
        <v>249</v>
      </c>
      <c r="C1409" s="67" t="s">
        <v>4454</v>
      </c>
      <c r="D1409" s="68">
        <v>5</v>
      </c>
      <c r="E1409" s="69"/>
      <c r="F1409" s="70">
        <v>20</v>
      </c>
      <c r="G1409" s="67"/>
      <c r="H1409" s="71"/>
      <c r="I1409" s="72"/>
      <c r="J1409" s="72"/>
      <c r="K1409" s="34" t="s">
        <v>66</v>
      </c>
      <c r="L1409" s="79">
        <v>1409</v>
      </c>
      <c r="M1409" s="79"/>
      <c r="N1409" s="74"/>
      <c r="O1409" s="81" t="s">
        <v>944</v>
      </c>
      <c r="P1409">
        <v>1</v>
      </c>
      <c r="Q1409" s="80" t="str">
        <f>REPLACE(INDEX(GroupVertices[Group],MATCH(Edges[[#This Row],[Vertex 1]],GroupVertices[Vertex],0)),1,1,"")</f>
        <v>2</v>
      </c>
      <c r="R1409" s="80" t="str">
        <f>REPLACE(INDEX(GroupVertices[Group],MATCH(Edges[[#This Row],[Vertex 2]],GroupVertices[Vertex],0)),1,1,"")</f>
        <v>2</v>
      </c>
      <c r="S1409" s="34"/>
      <c r="T1409" s="34"/>
      <c r="U1409" s="34"/>
      <c r="V1409" s="34"/>
      <c r="W1409" s="34"/>
      <c r="X1409" s="34"/>
      <c r="Y1409" s="34"/>
      <c r="Z1409" s="34"/>
      <c r="AA1409" s="34"/>
    </row>
    <row r="1410" spans="1:27" ht="15">
      <c r="A1410" s="66" t="s">
        <v>222</v>
      </c>
      <c r="B1410" s="66" t="s">
        <v>239</v>
      </c>
      <c r="C1410" s="67" t="s">
        <v>4454</v>
      </c>
      <c r="D1410" s="68">
        <v>5</v>
      </c>
      <c r="E1410" s="69"/>
      <c r="F1410" s="70">
        <v>20</v>
      </c>
      <c r="G1410" s="67"/>
      <c r="H1410" s="71"/>
      <c r="I1410" s="72"/>
      <c r="J1410" s="72"/>
      <c r="K1410" s="34" t="s">
        <v>65</v>
      </c>
      <c r="L1410" s="79">
        <v>1410</v>
      </c>
      <c r="M1410" s="79"/>
      <c r="N1410" s="74"/>
      <c r="O1410" s="81" t="s">
        <v>944</v>
      </c>
      <c r="P1410">
        <v>1</v>
      </c>
      <c r="Q1410" s="80" t="str">
        <f>REPLACE(INDEX(GroupVertices[Group],MATCH(Edges[[#This Row],[Vertex 1]],GroupVertices[Vertex],0)),1,1,"")</f>
        <v>2</v>
      </c>
      <c r="R1410" s="80" t="str">
        <f>REPLACE(INDEX(GroupVertices[Group],MATCH(Edges[[#This Row],[Vertex 2]],GroupVertices[Vertex],0)),1,1,"")</f>
        <v>3</v>
      </c>
      <c r="S1410" s="34"/>
      <c r="T1410" s="34"/>
      <c r="U1410" s="34"/>
      <c r="V1410" s="34"/>
      <c r="W1410" s="34"/>
      <c r="X1410" s="34"/>
      <c r="Y1410" s="34"/>
      <c r="Z1410" s="34"/>
      <c r="AA1410" s="34"/>
    </row>
    <row r="1411" spans="1:27" ht="15">
      <c r="A1411" s="66" t="s">
        <v>222</v>
      </c>
      <c r="B1411" s="66" t="s">
        <v>233</v>
      </c>
      <c r="C1411" s="67" t="s">
        <v>4454</v>
      </c>
      <c r="D1411" s="68">
        <v>5</v>
      </c>
      <c r="E1411" s="69"/>
      <c r="F1411" s="70">
        <v>20</v>
      </c>
      <c r="G1411" s="67"/>
      <c r="H1411" s="71"/>
      <c r="I1411" s="72"/>
      <c r="J1411" s="72"/>
      <c r="K1411" s="34" t="s">
        <v>65</v>
      </c>
      <c r="L1411" s="79">
        <v>1411</v>
      </c>
      <c r="M1411" s="79"/>
      <c r="N1411" s="74"/>
      <c r="O1411" s="81" t="s">
        <v>944</v>
      </c>
      <c r="P1411">
        <v>1</v>
      </c>
      <c r="Q1411" s="80" t="str">
        <f>REPLACE(INDEX(GroupVertices[Group],MATCH(Edges[[#This Row],[Vertex 1]],GroupVertices[Vertex],0)),1,1,"")</f>
        <v>2</v>
      </c>
      <c r="R1411" s="80" t="str">
        <f>REPLACE(INDEX(GroupVertices[Group],MATCH(Edges[[#This Row],[Vertex 2]],GroupVertices[Vertex],0)),1,1,"")</f>
        <v>2</v>
      </c>
      <c r="S1411" s="34"/>
      <c r="T1411" s="34"/>
      <c r="U1411" s="34"/>
      <c r="V1411" s="34"/>
      <c r="W1411" s="34"/>
      <c r="X1411" s="34"/>
      <c r="Y1411" s="34"/>
      <c r="Z1411" s="34"/>
      <c r="AA1411" s="34"/>
    </row>
    <row r="1412" spans="1:27" ht="15">
      <c r="A1412" s="66" t="s">
        <v>222</v>
      </c>
      <c r="B1412" s="66" t="s">
        <v>850</v>
      </c>
      <c r="C1412" s="67" t="s">
        <v>4454</v>
      </c>
      <c r="D1412" s="68">
        <v>5</v>
      </c>
      <c r="E1412" s="69"/>
      <c r="F1412" s="70">
        <v>20</v>
      </c>
      <c r="G1412" s="67"/>
      <c r="H1412" s="71"/>
      <c r="I1412" s="72"/>
      <c r="J1412" s="72"/>
      <c r="K1412" s="34" t="s">
        <v>65</v>
      </c>
      <c r="L1412" s="79">
        <v>1412</v>
      </c>
      <c r="M1412" s="79"/>
      <c r="N1412" s="74"/>
      <c r="O1412" s="81" t="s">
        <v>944</v>
      </c>
      <c r="P1412">
        <v>1</v>
      </c>
      <c r="Q1412" s="80" t="str">
        <f>REPLACE(INDEX(GroupVertices[Group],MATCH(Edges[[#This Row],[Vertex 1]],GroupVertices[Vertex],0)),1,1,"")</f>
        <v>2</v>
      </c>
      <c r="R1412" s="80" t="str">
        <f>REPLACE(INDEX(GroupVertices[Group],MATCH(Edges[[#This Row],[Vertex 2]],GroupVertices[Vertex],0)),1,1,"")</f>
        <v>3</v>
      </c>
      <c r="S1412" s="34"/>
      <c r="T1412" s="34"/>
      <c r="U1412" s="34"/>
      <c r="V1412" s="34"/>
      <c r="W1412" s="34"/>
      <c r="X1412" s="34"/>
      <c r="Y1412" s="34"/>
      <c r="Z1412" s="34"/>
      <c r="AA1412" s="34"/>
    </row>
    <row r="1413" spans="1:27" ht="15">
      <c r="A1413" s="66" t="s">
        <v>222</v>
      </c>
      <c r="B1413" s="66" t="s">
        <v>512</v>
      </c>
      <c r="C1413" s="67" t="s">
        <v>4454</v>
      </c>
      <c r="D1413" s="68">
        <v>5</v>
      </c>
      <c r="E1413" s="69"/>
      <c r="F1413" s="70">
        <v>20</v>
      </c>
      <c r="G1413" s="67"/>
      <c r="H1413" s="71"/>
      <c r="I1413" s="72"/>
      <c r="J1413" s="72"/>
      <c r="K1413" s="34" t="s">
        <v>65</v>
      </c>
      <c r="L1413" s="79">
        <v>1413</v>
      </c>
      <c r="M1413" s="79"/>
      <c r="N1413" s="74"/>
      <c r="O1413" s="81" t="s">
        <v>944</v>
      </c>
      <c r="P1413">
        <v>1</v>
      </c>
      <c r="Q1413" s="80" t="str">
        <f>REPLACE(INDEX(GroupVertices[Group],MATCH(Edges[[#This Row],[Vertex 1]],GroupVertices[Vertex],0)),1,1,"")</f>
        <v>2</v>
      </c>
      <c r="R1413" s="80" t="str">
        <f>REPLACE(INDEX(GroupVertices[Group],MATCH(Edges[[#This Row],[Vertex 2]],GroupVertices[Vertex],0)),1,1,"")</f>
        <v>2</v>
      </c>
      <c r="S1413" s="34"/>
      <c r="T1413" s="34"/>
      <c r="U1413" s="34"/>
      <c r="V1413" s="34"/>
      <c r="W1413" s="34"/>
      <c r="X1413" s="34"/>
      <c r="Y1413" s="34"/>
      <c r="Z1413" s="34"/>
      <c r="AA1413" s="34"/>
    </row>
    <row r="1414" spans="1:27" ht="15">
      <c r="A1414" s="66" t="s">
        <v>222</v>
      </c>
      <c r="B1414" s="66" t="s">
        <v>232</v>
      </c>
      <c r="C1414" s="67" t="s">
        <v>4454</v>
      </c>
      <c r="D1414" s="68">
        <v>5</v>
      </c>
      <c r="E1414" s="69"/>
      <c r="F1414" s="70">
        <v>20</v>
      </c>
      <c r="G1414" s="67"/>
      <c r="H1414" s="71"/>
      <c r="I1414" s="72"/>
      <c r="J1414" s="72"/>
      <c r="K1414" s="34" t="s">
        <v>65</v>
      </c>
      <c r="L1414" s="79">
        <v>1414</v>
      </c>
      <c r="M1414" s="79"/>
      <c r="N1414" s="74"/>
      <c r="O1414" s="81" t="s">
        <v>944</v>
      </c>
      <c r="P1414">
        <v>1</v>
      </c>
      <c r="Q1414" s="80" t="str">
        <f>REPLACE(INDEX(GroupVertices[Group],MATCH(Edges[[#This Row],[Vertex 1]],GroupVertices[Vertex],0)),1,1,"")</f>
        <v>2</v>
      </c>
      <c r="R1414" s="80" t="str">
        <f>REPLACE(INDEX(GroupVertices[Group],MATCH(Edges[[#This Row],[Vertex 2]],GroupVertices[Vertex],0)),1,1,"")</f>
        <v>1</v>
      </c>
      <c r="S1414" s="34"/>
      <c r="T1414" s="34"/>
      <c r="U1414" s="34"/>
      <c r="V1414" s="34"/>
      <c r="W1414" s="34"/>
      <c r="X1414" s="34"/>
      <c r="Y1414" s="34"/>
      <c r="Z1414" s="34"/>
      <c r="AA1414" s="34"/>
    </row>
    <row r="1415" spans="1:27" ht="15">
      <c r="A1415" s="66" t="s">
        <v>222</v>
      </c>
      <c r="B1415" s="66" t="s">
        <v>241</v>
      </c>
      <c r="C1415" s="67" t="s">
        <v>4454</v>
      </c>
      <c r="D1415" s="68">
        <v>5</v>
      </c>
      <c r="E1415" s="69"/>
      <c r="F1415" s="70">
        <v>20</v>
      </c>
      <c r="G1415" s="67"/>
      <c r="H1415" s="71"/>
      <c r="I1415" s="72"/>
      <c r="J1415" s="72"/>
      <c r="K1415" s="34" t="s">
        <v>66</v>
      </c>
      <c r="L1415" s="79">
        <v>1415</v>
      </c>
      <c r="M1415" s="79"/>
      <c r="N1415" s="74"/>
      <c r="O1415" s="81" t="s">
        <v>944</v>
      </c>
      <c r="P1415">
        <v>1</v>
      </c>
      <c r="Q1415" s="80" t="str">
        <f>REPLACE(INDEX(GroupVertices[Group],MATCH(Edges[[#This Row],[Vertex 1]],GroupVertices[Vertex],0)),1,1,"")</f>
        <v>2</v>
      </c>
      <c r="R1415" s="80" t="str">
        <f>REPLACE(INDEX(GroupVertices[Group],MATCH(Edges[[#This Row],[Vertex 2]],GroupVertices[Vertex],0)),1,1,"")</f>
        <v>2</v>
      </c>
      <c r="S1415" s="34"/>
      <c r="T1415" s="34"/>
      <c r="U1415" s="34"/>
      <c r="V1415" s="34"/>
      <c r="W1415" s="34"/>
      <c r="X1415" s="34"/>
      <c r="Y1415" s="34"/>
      <c r="Z1415" s="34"/>
      <c r="AA1415" s="34"/>
    </row>
    <row r="1416" spans="1:27" ht="15">
      <c r="A1416" s="66" t="s">
        <v>222</v>
      </c>
      <c r="B1416" s="66" t="s">
        <v>261</v>
      </c>
      <c r="C1416" s="67" t="s">
        <v>4454</v>
      </c>
      <c r="D1416" s="68">
        <v>5</v>
      </c>
      <c r="E1416" s="69"/>
      <c r="F1416" s="70">
        <v>20</v>
      </c>
      <c r="G1416" s="67"/>
      <c r="H1416" s="71"/>
      <c r="I1416" s="72"/>
      <c r="J1416" s="72"/>
      <c r="K1416" s="34" t="s">
        <v>65</v>
      </c>
      <c r="L1416" s="79">
        <v>1416</v>
      </c>
      <c r="M1416" s="79"/>
      <c r="N1416" s="74"/>
      <c r="O1416" s="81" t="s">
        <v>944</v>
      </c>
      <c r="P1416">
        <v>1</v>
      </c>
      <c r="Q1416" s="80" t="str">
        <f>REPLACE(INDEX(GroupVertices[Group],MATCH(Edges[[#This Row],[Vertex 1]],GroupVertices[Vertex],0)),1,1,"")</f>
        <v>2</v>
      </c>
      <c r="R1416" s="80" t="str">
        <f>REPLACE(INDEX(GroupVertices[Group],MATCH(Edges[[#This Row],[Vertex 2]],GroupVertices[Vertex],0)),1,1,"")</f>
        <v>1</v>
      </c>
      <c r="S1416" s="34"/>
      <c r="T1416" s="34"/>
      <c r="U1416" s="34"/>
      <c r="V1416" s="34"/>
      <c r="W1416" s="34"/>
      <c r="X1416" s="34"/>
      <c r="Y1416" s="34"/>
      <c r="Z1416" s="34"/>
      <c r="AA1416" s="34"/>
    </row>
    <row r="1417" spans="1:27" ht="15">
      <c r="A1417" s="66" t="s">
        <v>222</v>
      </c>
      <c r="B1417" s="66" t="s">
        <v>254</v>
      </c>
      <c r="C1417" s="67" t="s">
        <v>4454</v>
      </c>
      <c r="D1417" s="68">
        <v>5</v>
      </c>
      <c r="E1417" s="69"/>
      <c r="F1417" s="70">
        <v>20</v>
      </c>
      <c r="G1417" s="67"/>
      <c r="H1417" s="71"/>
      <c r="I1417" s="72"/>
      <c r="J1417" s="72"/>
      <c r="K1417" s="34" t="s">
        <v>65</v>
      </c>
      <c r="L1417" s="79">
        <v>1417</v>
      </c>
      <c r="M1417" s="79"/>
      <c r="N1417" s="74"/>
      <c r="O1417" s="81" t="s">
        <v>944</v>
      </c>
      <c r="P1417">
        <v>1</v>
      </c>
      <c r="Q1417" s="80" t="str">
        <f>REPLACE(INDEX(GroupVertices[Group],MATCH(Edges[[#This Row],[Vertex 1]],GroupVertices[Vertex],0)),1,1,"")</f>
        <v>2</v>
      </c>
      <c r="R1417" s="80" t="str">
        <f>REPLACE(INDEX(GroupVertices[Group],MATCH(Edges[[#This Row],[Vertex 2]],GroupVertices[Vertex],0)),1,1,"")</f>
        <v>3</v>
      </c>
      <c r="S1417" s="34"/>
      <c r="T1417" s="34"/>
      <c r="U1417" s="34"/>
      <c r="V1417" s="34"/>
      <c r="W1417" s="34"/>
      <c r="X1417" s="34"/>
      <c r="Y1417" s="34"/>
      <c r="Z1417" s="34"/>
      <c r="AA1417" s="34"/>
    </row>
    <row r="1418" spans="1:27" ht="15">
      <c r="A1418" s="66" t="s">
        <v>222</v>
      </c>
      <c r="B1418" s="66" t="s">
        <v>878</v>
      </c>
      <c r="C1418" s="67" t="s">
        <v>4454</v>
      </c>
      <c r="D1418" s="68">
        <v>5</v>
      </c>
      <c r="E1418" s="69"/>
      <c r="F1418" s="70">
        <v>20</v>
      </c>
      <c r="G1418" s="67"/>
      <c r="H1418" s="71"/>
      <c r="I1418" s="72"/>
      <c r="J1418" s="72"/>
      <c r="K1418" s="34" t="s">
        <v>65</v>
      </c>
      <c r="L1418" s="79">
        <v>1418</v>
      </c>
      <c r="M1418" s="79"/>
      <c r="N1418" s="74"/>
      <c r="O1418" s="81" t="s">
        <v>944</v>
      </c>
      <c r="P1418">
        <v>1</v>
      </c>
      <c r="Q1418" s="80" t="str">
        <f>REPLACE(INDEX(GroupVertices[Group],MATCH(Edges[[#This Row],[Vertex 1]],GroupVertices[Vertex],0)),1,1,"")</f>
        <v>2</v>
      </c>
      <c r="R1418" s="80" t="str">
        <f>REPLACE(INDEX(GroupVertices[Group],MATCH(Edges[[#This Row],[Vertex 2]],GroupVertices[Vertex],0)),1,1,"")</f>
        <v>2</v>
      </c>
      <c r="S1418" s="34"/>
      <c r="T1418" s="34"/>
      <c r="U1418" s="34"/>
      <c r="V1418" s="34"/>
      <c r="W1418" s="34"/>
      <c r="X1418" s="34"/>
      <c r="Y1418" s="34"/>
      <c r="Z1418" s="34"/>
      <c r="AA1418" s="34"/>
    </row>
    <row r="1419" spans="1:27" ht="15">
      <c r="A1419" s="66" t="s">
        <v>222</v>
      </c>
      <c r="B1419" s="66" t="s">
        <v>253</v>
      </c>
      <c r="C1419" s="67" t="s">
        <v>4454</v>
      </c>
      <c r="D1419" s="68">
        <v>5</v>
      </c>
      <c r="E1419" s="69"/>
      <c r="F1419" s="70">
        <v>20</v>
      </c>
      <c r="G1419" s="67"/>
      <c r="H1419" s="71"/>
      <c r="I1419" s="72"/>
      <c r="J1419" s="72"/>
      <c r="K1419" s="34" t="s">
        <v>65</v>
      </c>
      <c r="L1419" s="79">
        <v>1419</v>
      </c>
      <c r="M1419" s="79"/>
      <c r="N1419" s="74"/>
      <c r="O1419" s="81" t="s">
        <v>944</v>
      </c>
      <c r="P1419">
        <v>1</v>
      </c>
      <c r="Q1419" s="80" t="str">
        <f>REPLACE(INDEX(GroupVertices[Group],MATCH(Edges[[#This Row],[Vertex 1]],GroupVertices[Vertex],0)),1,1,"")</f>
        <v>2</v>
      </c>
      <c r="R1419" s="80" t="str">
        <f>REPLACE(INDEX(GroupVertices[Group],MATCH(Edges[[#This Row],[Vertex 2]],GroupVertices[Vertex],0)),1,1,"")</f>
        <v>1</v>
      </c>
      <c r="S1419" s="34"/>
      <c r="T1419" s="34"/>
      <c r="U1419" s="34"/>
      <c r="V1419" s="34"/>
      <c r="W1419" s="34"/>
      <c r="X1419" s="34"/>
      <c r="Y1419" s="34"/>
      <c r="Z1419" s="34"/>
      <c r="AA1419" s="34"/>
    </row>
    <row r="1420" spans="1:27" ht="15">
      <c r="A1420" s="66" t="s">
        <v>222</v>
      </c>
      <c r="B1420" s="66" t="s">
        <v>244</v>
      </c>
      <c r="C1420" s="67" t="s">
        <v>4454</v>
      </c>
      <c r="D1420" s="68">
        <v>5</v>
      </c>
      <c r="E1420" s="69"/>
      <c r="F1420" s="70">
        <v>20</v>
      </c>
      <c r="G1420" s="67"/>
      <c r="H1420" s="71"/>
      <c r="I1420" s="72"/>
      <c r="J1420" s="72"/>
      <c r="K1420" s="34" t="s">
        <v>65</v>
      </c>
      <c r="L1420" s="79">
        <v>1420</v>
      </c>
      <c r="M1420" s="79"/>
      <c r="N1420" s="74"/>
      <c r="O1420" s="81" t="s">
        <v>944</v>
      </c>
      <c r="P1420">
        <v>1</v>
      </c>
      <c r="Q1420" s="80" t="str">
        <f>REPLACE(INDEX(GroupVertices[Group],MATCH(Edges[[#This Row],[Vertex 1]],GroupVertices[Vertex],0)),1,1,"")</f>
        <v>2</v>
      </c>
      <c r="R1420" s="80" t="str">
        <f>REPLACE(INDEX(GroupVertices[Group],MATCH(Edges[[#This Row],[Vertex 2]],GroupVertices[Vertex],0)),1,1,"")</f>
        <v>2</v>
      </c>
      <c r="S1420" s="34"/>
      <c r="T1420" s="34"/>
      <c r="U1420" s="34"/>
      <c r="V1420" s="34"/>
      <c r="W1420" s="34"/>
      <c r="X1420" s="34"/>
      <c r="Y1420" s="34"/>
      <c r="Z1420" s="34"/>
      <c r="AA1420" s="34"/>
    </row>
    <row r="1421" spans="1:27" ht="15">
      <c r="A1421" s="66" t="s">
        <v>222</v>
      </c>
      <c r="B1421" s="66" t="s">
        <v>217</v>
      </c>
      <c r="C1421" s="67" t="s">
        <v>4454</v>
      </c>
      <c r="D1421" s="68">
        <v>5</v>
      </c>
      <c r="E1421" s="69"/>
      <c r="F1421" s="70">
        <v>20</v>
      </c>
      <c r="G1421" s="67"/>
      <c r="H1421" s="71"/>
      <c r="I1421" s="72"/>
      <c r="J1421" s="72"/>
      <c r="K1421" s="34" t="s">
        <v>65</v>
      </c>
      <c r="L1421" s="79">
        <v>1421</v>
      </c>
      <c r="M1421" s="79"/>
      <c r="N1421" s="74"/>
      <c r="O1421" s="81" t="s">
        <v>944</v>
      </c>
      <c r="P1421">
        <v>1</v>
      </c>
      <c r="Q1421" s="80" t="str">
        <f>REPLACE(INDEX(GroupVertices[Group],MATCH(Edges[[#This Row],[Vertex 1]],GroupVertices[Vertex],0)),1,1,"")</f>
        <v>2</v>
      </c>
      <c r="R1421" s="80" t="str">
        <f>REPLACE(INDEX(GroupVertices[Group],MATCH(Edges[[#This Row],[Vertex 2]],GroupVertices[Vertex],0)),1,1,"")</f>
        <v>4</v>
      </c>
      <c r="S1421" s="34"/>
      <c r="T1421" s="34"/>
      <c r="U1421" s="34"/>
      <c r="V1421" s="34"/>
      <c r="W1421" s="34"/>
      <c r="X1421" s="34"/>
      <c r="Y1421" s="34"/>
      <c r="Z1421" s="34"/>
      <c r="AA1421" s="34"/>
    </row>
    <row r="1422" spans="1:27" ht="15">
      <c r="A1422" s="66" t="s">
        <v>222</v>
      </c>
      <c r="B1422" s="66" t="s">
        <v>259</v>
      </c>
      <c r="C1422" s="67" t="s">
        <v>4454</v>
      </c>
      <c r="D1422" s="68">
        <v>5</v>
      </c>
      <c r="E1422" s="69"/>
      <c r="F1422" s="70">
        <v>20</v>
      </c>
      <c r="G1422" s="67"/>
      <c r="H1422" s="71"/>
      <c r="I1422" s="72"/>
      <c r="J1422" s="72"/>
      <c r="K1422" s="34" t="s">
        <v>65</v>
      </c>
      <c r="L1422" s="79">
        <v>1422</v>
      </c>
      <c r="M1422" s="79"/>
      <c r="N1422" s="74"/>
      <c r="O1422" s="81" t="s">
        <v>944</v>
      </c>
      <c r="P1422">
        <v>1</v>
      </c>
      <c r="Q1422" s="80" t="str">
        <f>REPLACE(INDEX(GroupVertices[Group],MATCH(Edges[[#This Row],[Vertex 1]],GroupVertices[Vertex],0)),1,1,"")</f>
        <v>2</v>
      </c>
      <c r="R1422" s="80" t="str">
        <f>REPLACE(INDEX(GroupVertices[Group],MATCH(Edges[[#This Row],[Vertex 2]],GroupVertices[Vertex],0)),1,1,"")</f>
        <v>2</v>
      </c>
      <c r="S1422" s="34"/>
      <c r="T1422" s="34"/>
      <c r="U1422" s="34"/>
      <c r="V1422" s="34"/>
      <c r="W1422" s="34"/>
      <c r="X1422" s="34"/>
      <c r="Y1422" s="34"/>
      <c r="Z1422" s="34"/>
      <c r="AA1422" s="34"/>
    </row>
    <row r="1423" spans="1:27" ht="15">
      <c r="A1423" s="66" t="s">
        <v>222</v>
      </c>
      <c r="B1423" s="66" t="s">
        <v>250</v>
      </c>
      <c r="C1423" s="67" t="s">
        <v>4454</v>
      </c>
      <c r="D1423" s="68">
        <v>5</v>
      </c>
      <c r="E1423" s="69"/>
      <c r="F1423" s="70">
        <v>20</v>
      </c>
      <c r="G1423" s="67"/>
      <c r="H1423" s="71"/>
      <c r="I1423" s="72"/>
      <c r="J1423" s="72"/>
      <c r="K1423" s="34" t="s">
        <v>66</v>
      </c>
      <c r="L1423" s="79">
        <v>1423</v>
      </c>
      <c r="M1423" s="79"/>
      <c r="N1423" s="74"/>
      <c r="O1423" s="81" t="s">
        <v>944</v>
      </c>
      <c r="P1423">
        <v>1</v>
      </c>
      <c r="Q1423" s="80" t="str">
        <f>REPLACE(INDEX(GroupVertices[Group],MATCH(Edges[[#This Row],[Vertex 1]],GroupVertices[Vertex],0)),1,1,"")</f>
        <v>2</v>
      </c>
      <c r="R1423" s="80" t="str">
        <f>REPLACE(INDEX(GroupVertices[Group],MATCH(Edges[[#This Row],[Vertex 2]],GroupVertices[Vertex],0)),1,1,"")</f>
        <v>2</v>
      </c>
      <c r="S1423" s="34"/>
      <c r="T1423" s="34"/>
      <c r="U1423" s="34"/>
      <c r="V1423" s="34"/>
      <c r="W1423" s="34"/>
      <c r="X1423" s="34"/>
      <c r="Y1423" s="34"/>
      <c r="Z1423" s="34"/>
      <c r="AA1423" s="34"/>
    </row>
    <row r="1424" spans="1:27" ht="15">
      <c r="A1424" s="66" t="s">
        <v>224</v>
      </c>
      <c r="B1424" s="66" t="s">
        <v>222</v>
      </c>
      <c r="C1424" s="67" t="s">
        <v>4454</v>
      </c>
      <c r="D1424" s="68">
        <v>5</v>
      </c>
      <c r="E1424" s="69"/>
      <c r="F1424" s="70">
        <v>20</v>
      </c>
      <c r="G1424" s="67"/>
      <c r="H1424" s="71"/>
      <c r="I1424" s="72"/>
      <c r="J1424" s="72"/>
      <c r="K1424" s="34" t="s">
        <v>66</v>
      </c>
      <c r="L1424" s="79">
        <v>1424</v>
      </c>
      <c r="M1424" s="79"/>
      <c r="N1424" s="74"/>
      <c r="O1424" s="81" t="s">
        <v>944</v>
      </c>
      <c r="P1424">
        <v>1</v>
      </c>
      <c r="Q1424" s="80" t="str">
        <f>REPLACE(INDEX(GroupVertices[Group],MATCH(Edges[[#This Row],[Vertex 1]],GroupVertices[Vertex],0)),1,1,"")</f>
        <v>2</v>
      </c>
      <c r="R1424" s="80" t="str">
        <f>REPLACE(INDEX(GroupVertices[Group],MATCH(Edges[[#This Row],[Vertex 2]],GroupVertices[Vertex],0)),1,1,"")</f>
        <v>2</v>
      </c>
      <c r="S1424" s="34"/>
      <c r="T1424" s="34"/>
      <c r="U1424" s="34"/>
      <c r="V1424" s="34"/>
      <c r="W1424" s="34"/>
      <c r="X1424" s="34"/>
      <c r="Y1424" s="34"/>
      <c r="Z1424" s="34"/>
      <c r="AA1424" s="34"/>
    </row>
    <row r="1425" spans="1:27" ht="15">
      <c r="A1425" s="66" t="s">
        <v>238</v>
      </c>
      <c r="B1425" s="66" t="s">
        <v>222</v>
      </c>
      <c r="C1425" s="67" t="s">
        <v>4454</v>
      </c>
      <c r="D1425" s="68">
        <v>5</v>
      </c>
      <c r="E1425" s="69"/>
      <c r="F1425" s="70">
        <v>20</v>
      </c>
      <c r="G1425" s="67"/>
      <c r="H1425" s="71"/>
      <c r="I1425" s="72"/>
      <c r="J1425" s="72"/>
      <c r="K1425" s="34" t="s">
        <v>66</v>
      </c>
      <c r="L1425" s="79">
        <v>1425</v>
      </c>
      <c r="M1425" s="79"/>
      <c r="N1425" s="74"/>
      <c r="O1425" s="81" t="s">
        <v>944</v>
      </c>
      <c r="P1425">
        <v>1</v>
      </c>
      <c r="Q1425" s="80" t="str">
        <f>REPLACE(INDEX(GroupVertices[Group],MATCH(Edges[[#This Row],[Vertex 1]],GroupVertices[Vertex],0)),1,1,"")</f>
        <v>2</v>
      </c>
      <c r="R1425" s="80" t="str">
        <f>REPLACE(INDEX(GroupVertices[Group],MATCH(Edges[[#This Row],[Vertex 2]],GroupVertices[Vertex],0)),1,1,"")</f>
        <v>2</v>
      </c>
      <c r="S1425" s="34"/>
      <c r="T1425" s="34"/>
      <c r="U1425" s="34"/>
      <c r="V1425" s="34"/>
      <c r="W1425" s="34"/>
      <c r="X1425" s="34"/>
      <c r="Y1425" s="34"/>
      <c r="Z1425" s="34"/>
      <c r="AA1425" s="34"/>
    </row>
    <row r="1426" spans="1:27" ht="15">
      <c r="A1426" s="66" t="s">
        <v>241</v>
      </c>
      <c r="B1426" s="66" t="s">
        <v>222</v>
      </c>
      <c r="C1426" s="67" t="s">
        <v>4454</v>
      </c>
      <c r="D1426" s="68">
        <v>5</v>
      </c>
      <c r="E1426" s="69"/>
      <c r="F1426" s="70">
        <v>20</v>
      </c>
      <c r="G1426" s="67"/>
      <c r="H1426" s="71"/>
      <c r="I1426" s="72"/>
      <c r="J1426" s="72"/>
      <c r="K1426" s="34" t="s">
        <v>66</v>
      </c>
      <c r="L1426" s="79">
        <v>1426</v>
      </c>
      <c r="M1426" s="79"/>
      <c r="N1426" s="74"/>
      <c r="O1426" s="81" t="s">
        <v>944</v>
      </c>
      <c r="P1426">
        <v>1</v>
      </c>
      <c r="Q1426" s="80" t="str">
        <f>REPLACE(INDEX(GroupVertices[Group],MATCH(Edges[[#This Row],[Vertex 1]],GroupVertices[Vertex],0)),1,1,"")</f>
        <v>2</v>
      </c>
      <c r="R1426" s="80" t="str">
        <f>REPLACE(INDEX(GroupVertices[Group],MATCH(Edges[[#This Row],[Vertex 2]],GroupVertices[Vertex],0)),1,1,"")</f>
        <v>2</v>
      </c>
      <c r="S1426" s="34"/>
      <c r="T1426" s="34"/>
      <c r="U1426" s="34"/>
      <c r="V1426" s="34"/>
      <c r="W1426" s="34"/>
      <c r="X1426" s="34"/>
      <c r="Y1426" s="34"/>
      <c r="Z1426" s="34"/>
      <c r="AA1426" s="34"/>
    </row>
    <row r="1427" spans="1:27" ht="15">
      <c r="A1427" s="66" t="s">
        <v>243</v>
      </c>
      <c r="B1427" s="66" t="s">
        <v>222</v>
      </c>
      <c r="C1427" s="67" t="s">
        <v>4454</v>
      </c>
      <c r="D1427" s="68">
        <v>5</v>
      </c>
      <c r="E1427" s="69"/>
      <c r="F1427" s="70">
        <v>20</v>
      </c>
      <c r="G1427" s="67"/>
      <c r="H1427" s="71"/>
      <c r="I1427" s="72"/>
      <c r="J1427" s="72"/>
      <c r="K1427" s="34" t="s">
        <v>66</v>
      </c>
      <c r="L1427" s="79">
        <v>1427</v>
      </c>
      <c r="M1427" s="79"/>
      <c r="N1427" s="74"/>
      <c r="O1427" s="81" t="s">
        <v>944</v>
      </c>
      <c r="P1427">
        <v>1</v>
      </c>
      <c r="Q1427" s="80" t="str">
        <f>REPLACE(INDEX(GroupVertices[Group],MATCH(Edges[[#This Row],[Vertex 1]],GroupVertices[Vertex],0)),1,1,"")</f>
        <v>2</v>
      </c>
      <c r="R1427" s="80" t="str">
        <f>REPLACE(INDEX(GroupVertices[Group],MATCH(Edges[[#This Row],[Vertex 2]],GroupVertices[Vertex],0)),1,1,"")</f>
        <v>2</v>
      </c>
      <c r="S1427" s="34"/>
      <c r="T1427" s="34"/>
      <c r="U1427" s="34"/>
      <c r="V1427" s="34"/>
      <c r="W1427" s="34"/>
      <c r="X1427" s="34"/>
      <c r="Y1427" s="34"/>
      <c r="Z1427" s="34"/>
      <c r="AA1427" s="34"/>
    </row>
    <row r="1428" spans="1:27" ht="15">
      <c r="A1428" s="66" t="s">
        <v>246</v>
      </c>
      <c r="B1428" s="66" t="s">
        <v>222</v>
      </c>
      <c r="C1428" s="67" t="s">
        <v>4454</v>
      </c>
      <c r="D1428" s="68">
        <v>5</v>
      </c>
      <c r="E1428" s="69"/>
      <c r="F1428" s="70">
        <v>20</v>
      </c>
      <c r="G1428" s="67"/>
      <c r="H1428" s="71"/>
      <c r="I1428" s="72"/>
      <c r="J1428" s="72"/>
      <c r="K1428" s="34" t="s">
        <v>66</v>
      </c>
      <c r="L1428" s="79">
        <v>1428</v>
      </c>
      <c r="M1428" s="79"/>
      <c r="N1428" s="74"/>
      <c r="O1428" s="81" t="s">
        <v>944</v>
      </c>
      <c r="P1428">
        <v>1</v>
      </c>
      <c r="Q1428" s="80" t="str">
        <f>REPLACE(INDEX(GroupVertices[Group],MATCH(Edges[[#This Row],[Vertex 1]],GroupVertices[Vertex],0)),1,1,"")</f>
        <v>2</v>
      </c>
      <c r="R1428" s="80" t="str">
        <f>REPLACE(INDEX(GroupVertices[Group],MATCH(Edges[[#This Row],[Vertex 2]],GroupVertices[Vertex],0)),1,1,"")</f>
        <v>2</v>
      </c>
      <c r="S1428" s="34"/>
      <c r="T1428" s="34"/>
      <c r="U1428" s="34"/>
      <c r="V1428" s="34"/>
      <c r="W1428" s="34"/>
      <c r="X1428" s="34"/>
      <c r="Y1428" s="34"/>
      <c r="Z1428" s="34"/>
      <c r="AA1428" s="34"/>
    </row>
    <row r="1429" spans="1:27" ht="15">
      <c r="A1429" s="66" t="s">
        <v>247</v>
      </c>
      <c r="B1429" s="66" t="s">
        <v>222</v>
      </c>
      <c r="C1429" s="67" t="s">
        <v>4454</v>
      </c>
      <c r="D1429" s="68">
        <v>5</v>
      </c>
      <c r="E1429" s="69"/>
      <c r="F1429" s="70">
        <v>20</v>
      </c>
      <c r="G1429" s="67"/>
      <c r="H1429" s="71"/>
      <c r="I1429" s="72"/>
      <c r="J1429" s="72"/>
      <c r="K1429" s="34" t="s">
        <v>66</v>
      </c>
      <c r="L1429" s="79">
        <v>1429</v>
      </c>
      <c r="M1429" s="79"/>
      <c r="N1429" s="74"/>
      <c r="O1429" s="81" t="s">
        <v>944</v>
      </c>
      <c r="P1429">
        <v>1</v>
      </c>
      <c r="Q1429" s="80" t="str">
        <f>REPLACE(INDEX(GroupVertices[Group],MATCH(Edges[[#This Row],[Vertex 1]],GroupVertices[Vertex],0)),1,1,"")</f>
        <v>2</v>
      </c>
      <c r="R1429" s="80" t="str">
        <f>REPLACE(INDEX(GroupVertices[Group],MATCH(Edges[[#This Row],[Vertex 2]],GroupVertices[Vertex],0)),1,1,"")</f>
        <v>2</v>
      </c>
      <c r="S1429" s="34"/>
      <c r="T1429" s="34"/>
      <c r="U1429" s="34"/>
      <c r="V1429" s="34"/>
      <c r="W1429" s="34"/>
      <c r="X1429" s="34"/>
      <c r="Y1429" s="34"/>
      <c r="Z1429" s="34"/>
      <c r="AA1429" s="34"/>
    </row>
    <row r="1430" spans="1:27" ht="15">
      <c r="A1430" s="66" t="s">
        <v>249</v>
      </c>
      <c r="B1430" s="66" t="s">
        <v>222</v>
      </c>
      <c r="C1430" s="67" t="s">
        <v>4454</v>
      </c>
      <c r="D1430" s="68">
        <v>5</v>
      </c>
      <c r="E1430" s="69"/>
      <c r="F1430" s="70">
        <v>20</v>
      </c>
      <c r="G1430" s="67"/>
      <c r="H1430" s="71"/>
      <c r="I1430" s="72"/>
      <c r="J1430" s="72"/>
      <c r="K1430" s="34" t="s">
        <v>66</v>
      </c>
      <c r="L1430" s="79">
        <v>1430</v>
      </c>
      <c r="M1430" s="79"/>
      <c r="N1430" s="74"/>
      <c r="O1430" s="81" t="s">
        <v>944</v>
      </c>
      <c r="P1430">
        <v>1</v>
      </c>
      <c r="Q1430" s="80" t="str">
        <f>REPLACE(INDEX(GroupVertices[Group],MATCH(Edges[[#This Row],[Vertex 1]],GroupVertices[Vertex],0)),1,1,"")</f>
        <v>2</v>
      </c>
      <c r="R1430" s="80" t="str">
        <f>REPLACE(INDEX(GroupVertices[Group],MATCH(Edges[[#This Row],[Vertex 2]],GroupVertices[Vertex],0)),1,1,"")</f>
        <v>2</v>
      </c>
      <c r="S1430" s="34"/>
      <c r="T1430" s="34"/>
      <c r="U1430" s="34"/>
      <c r="V1430" s="34"/>
      <c r="W1430" s="34"/>
      <c r="X1430" s="34"/>
      <c r="Y1430" s="34"/>
      <c r="Z1430" s="34"/>
      <c r="AA1430" s="34"/>
    </row>
    <row r="1431" spans="1:27" ht="15">
      <c r="A1431" s="66" t="s">
        <v>250</v>
      </c>
      <c r="B1431" s="66" t="s">
        <v>222</v>
      </c>
      <c r="C1431" s="67" t="s">
        <v>4454</v>
      </c>
      <c r="D1431" s="68">
        <v>5</v>
      </c>
      <c r="E1431" s="69"/>
      <c r="F1431" s="70">
        <v>20</v>
      </c>
      <c r="G1431" s="67"/>
      <c r="H1431" s="71"/>
      <c r="I1431" s="72"/>
      <c r="J1431" s="72"/>
      <c r="K1431" s="34" t="s">
        <v>66</v>
      </c>
      <c r="L1431" s="79">
        <v>1431</v>
      </c>
      <c r="M1431" s="79"/>
      <c r="N1431" s="74"/>
      <c r="O1431" s="81" t="s">
        <v>944</v>
      </c>
      <c r="P1431">
        <v>1</v>
      </c>
      <c r="Q1431" s="80" t="str">
        <f>REPLACE(INDEX(GroupVertices[Group],MATCH(Edges[[#This Row],[Vertex 1]],GroupVertices[Vertex],0)),1,1,"")</f>
        <v>2</v>
      </c>
      <c r="R1431" s="80" t="str">
        <f>REPLACE(INDEX(GroupVertices[Group],MATCH(Edges[[#This Row],[Vertex 2]],GroupVertices[Vertex],0)),1,1,"")</f>
        <v>2</v>
      </c>
      <c r="S1431" s="34"/>
      <c r="T1431" s="34"/>
      <c r="U1431" s="34"/>
      <c r="V1431" s="34"/>
      <c r="W1431" s="34"/>
      <c r="X1431" s="34"/>
      <c r="Y1431" s="34"/>
      <c r="Z1431" s="34"/>
      <c r="AA1431" s="34"/>
    </row>
    <row r="1432" spans="1:27" ht="15">
      <c r="A1432" s="66" t="s">
        <v>257</v>
      </c>
      <c r="B1432" s="66" t="s">
        <v>222</v>
      </c>
      <c r="C1432" s="67" t="s">
        <v>4454</v>
      </c>
      <c r="D1432" s="68">
        <v>5</v>
      </c>
      <c r="E1432" s="69"/>
      <c r="F1432" s="70">
        <v>20</v>
      </c>
      <c r="G1432" s="67"/>
      <c r="H1432" s="71"/>
      <c r="I1432" s="72"/>
      <c r="J1432" s="72"/>
      <c r="K1432" s="34" t="s">
        <v>66</v>
      </c>
      <c r="L1432" s="79">
        <v>1432</v>
      </c>
      <c r="M1432" s="79"/>
      <c r="N1432" s="74"/>
      <c r="O1432" s="81" t="s">
        <v>944</v>
      </c>
      <c r="P1432">
        <v>1</v>
      </c>
      <c r="Q1432" s="80" t="str">
        <f>REPLACE(INDEX(GroupVertices[Group],MATCH(Edges[[#This Row],[Vertex 1]],GroupVertices[Vertex],0)),1,1,"")</f>
        <v>2</v>
      </c>
      <c r="R1432" s="80" t="str">
        <f>REPLACE(INDEX(GroupVertices[Group],MATCH(Edges[[#This Row],[Vertex 2]],GroupVertices[Vertex],0)),1,1,"")</f>
        <v>2</v>
      </c>
      <c r="S1432" s="34"/>
      <c r="T1432" s="34"/>
      <c r="U1432" s="34"/>
      <c r="V1432" s="34"/>
      <c r="W1432" s="34"/>
      <c r="X1432" s="34"/>
      <c r="Y1432" s="34"/>
      <c r="Z1432" s="34"/>
      <c r="AA1432" s="34"/>
    </row>
    <row r="1433" spans="1:27" ht="15">
      <c r="A1433" s="66" t="s">
        <v>220</v>
      </c>
      <c r="B1433" s="66" t="s">
        <v>239</v>
      </c>
      <c r="C1433" s="67" t="s">
        <v>4454</v>
      </c>
      <c r="D1433" s="68">
        <v>5</v>
      </c>
      <c r="E1433" s="69"/>
      <c r="F1433" s="70">
        <v>20</v>
      </c>
      <c r="G1433" s="67"/>
      <c r="H1433" s="71"/>
      <c r="I1433" s="72"/>
      <c r="J1433" s="72"/>
      <c r="K1433" s="34" t="s">
        <v>65</v>
      </c>
      <c r="L1433" s="79">
        <v>1433</v>
      </c>
      <c r="M1433" s="79"/>
      <c r="N1433" s="74"/>
      <c r="O1433" s="81" t="s">
        <v>944</v>
      </c>
      <c r="P1433">
        <v>1</v>
      </c>
      <c r="Q1433" s="80" t="str">
        <f>REPLACE(INDEX(GroupVertices[Group],MATCH(Edges[[#This Row],[Vertex 1]],GroupVertices[Vertex],0)),1,1,"")</f>
        <v>2</v>
      </c>
      <c r="R1433" s="80" t="str">
        <f>REPLACE(INDEX(GroupVertices[Group],MATCH(Edges[[#This Row],[Vertex 2]],GroupVertices[Vertex],0)),1,1,"")</f>
        <v>3</v>
      </c>
      <c r="S1433" s="34"/>
      <c r="T1433" s="34"/>
      <c r="U1433" s="34"/>
      <c r="V1433" s="34"/>
      <c r="W1433" s="34"/>
      <c r="X1433" s="34"/>
      <c r="Y1433" s="34"/>
      <c r="Z1433" s="34"/>
      <c r="AA1433" s="34"/>
    </row>
    <row r="1434" spans="1:27" ht="15">
      <c r="A1434" s="66" t="s">
        <v>223</v>
      </c>
      <c r="B1434" s="66" t="s">
        <v>239</v>
      </c>
      <c r="C1434" s="67" t="s">
        <v>4454</v>
      </c>
      <c r="D1434" s="68">
        <v>5</v>
      </c>
      <c r="E1434" s="69"/>
      <c r="F1434" s="70">
        <v>20</v>
      </c>
      <c r="G1434" s="67"/>
      <c r="H1434" s="71"/>
      <c r="I1434" s="72"/>
      <c r="J1434" s="72"/>
      <c r="K1434" s="34" t="s">
        <v>66</v>
      </c>
      <c r="L1434" s="79">
        <v>1434</v>
      </c>
      <c r="M1434" s="79"/>
      <c r="N1434" s="74"/>
      <c r="O1434" s="81" t="s">
        <v>944</v>
      </c>
      <c r="P1434">
        <v>1</v>
      </c>
      <c r="Q1434" s="80" t="str">
        <f>REPLACE(INDEX(GroupVertices[Group],MATCH(Edges[[#This Row],[Vertex 1]],GroupVertices[Vertex],0)),1,1,"")</f>
        <v>3</v>
      </c>
      <c r="R1434" s="80" t="str">
        <f>REPLACE(INDEX(GroupVertices[Group],MATCH(Edges[[#This Row],[Vertex 2]],GroupVertices[Vertex],0)),1,1,"")</f>
        <v>3</v>
      </c>
      <c r="S1434" s="34"/>
      <c r="T1434" s="34"/>
      <c r="U1434" s="34"/>
      <c r="V1434" s="34"/>
      <c r="W1434" s="34"/>
      <c r="X1434" s="34"/>
      <c r="Y1434" s="34"/>
      <c r="Z1434" s="34"/>
      <c r="AA1434" s="34"/>
    </row>
    <row r="1435" spans="1:27" ht="15">
      <c r="A1435" s="66" t="s">
        <v>233</v>
      </c>
      <c r="B1435" s="66" t="s">
        <v>239</v>
      </c>
      <c r="C1435" s="67" t="s">
        <v>4454</v>
      </c>
      <c r="D1435" s="68">
        <v>5</v>
      </c>
      <c r="E1435" s="69"/>
      <c r="F1435" s="70">
        <v>20</v>
      </c>
      <c r="G1435" s="67"/>
      <c r="H1435" s="71"/>
      <c r="I1435" s="72"/>
      <c r="J1435" s="72"/>
      <c r="K1435" s="34" t="s">
        <v>66</v>
      </c>
      <c r="L1435" s="79">
        <v>1435</v>
      </c>
      <c r="M1435" s="79"/>
      <c r="N1435" s="74"/>
      <c r="O1435" s="81" t="s">
        <v>944</v>
      </c>
      <c r="P1435">
        <v>1</v>
      </c>
      <c r="Q1435" s="80" t="str">
        <f>REPLACE(INDEX(GroupVertices[Group],MATCH(Edges[[#This Row],[Vertex 1]],GroupVertices[Vertex],0)),1,1,"")</f>
        <v>2</v>
      </c>
      <c r="R1435" s="80" t="str">
        <f>REPLACE(INDEX(GroupVertices[Group],MATCH(Edges[[#This Row],[Vertex 2]],GroupVertices[Vertex],0)),1,1,"")</f>
        <v>3</v>
      </c>
      <c r="S1435" s="34"/>
      <c r="T1435" s="34"/>
      <c r="U1435" s="34"/>
      <c r="V1435" s="34"/>
      <c r="W1435" s="34"/>
      <c r="X1435" s="34"/>
      <c r="Y1435" s="34"/>
      <c r="Z1435" s="34"/>
      <c r="AA1435" s="34"/>
    </row>
    <row r="1436" spans="1:27" ht="15">
      <c r="A1436" s="66" t="s">
        <v>235</v>
      </c>
      <c r="B1436" s="66" t="s">
        <v>239</v>
      </c>
      <c r="C1436" s="67" t="s">
        <v>4454</v>
      </c>
      <c r="D1436" s="68">
        <v>5</v>
      </c>
      <c r="E1436" s="69"/>
      <c r="F1436" s="70">
        <v>20</v>
      </c>
      <c r="G1436" s="67"/>
      <c r="H1436" s="71"/>
      <c r="I1436" s="72"/>
      <c r="J1436" s="72"/>
      <c r="K1436" s="34" t="s">
        <v>66</v>
      </c>
      <c r="L1436" s="79">
        <v>1436</v>
      </c>
      <c r="M1436" s="79"/>
      <c r="N1436" s="74"/>
      <c r="O1436" s="81" t="s">
        <v>944</v>
      </c>
      <c r="P1436">
        <v>1</v>
      </c>
      <c r="Q1436" s="80" t="str">
        <f>REPLACE(INDEX(GroupVertices[Group],MATCH(Edges[[#This Row],[Vertex 1]],GroupVertices[Vertex],0)),1,1,"")</f>
        <v>2</v>
      </c>
      <c r="R1436" s="80" t="str">
        <f>REPLACE(INDEX(GroupVertices[Group],MATCH(Edges[[#This Row],[Vertex 2]],GroupVertices[Vertex],0)),1,1,"")</f>
        <v>3</v>
      </c>
      <c r="S1436" s="34"/>
      <c r="T1436" s="34"/>
      <c r="U1436" s="34"/>
      <c r="V1436" s="34"/>
      <c r="W1436" s="34"/>
      <c r="X1436" s="34"/>
      <c r="Y1436" s="34"/>
      <c r="Z1436" s="34"/>
      <c r="AA1436" s="34"/>
    </row>
    <row r="1437" spans="1:27" ht="15">
      <c r="A1437" s="66" t="s">
        <v>239</v>
      </c>
      <c r="B1437" s="66" t="s">
        <v>231</v>
      </c>
      <c r="C1437" s="67" t="s">
        <v>4454</v>
      </c>
      <c r="D1437" s="68">
        <v>5</v>
      </c>
      <c r="E1437" s="69"/>
      <c r="F1437" s="70">
        <v>20</v>
      </c>
      <c r="G1437" s="67"/>
      <c r="H1437" s="71"/>
      <c r="I1437" s="72"/>
      <c r="J1437" s="72"/>
      <c r="K1437" s="34" t="s">
        <v>65</v>
      </c>
      <c r="L1437" s="79">
        <v>1437</v>
      </c>
      <c r="M1437" s="79"/>
      <c r="N1437" s="74"/>
      <c r="O1437" s="81" t="s">
        <v>944</v>
      </c>
      <c r="P1437">
        <v>1</v>
      </c>
      <c r="Q1437" s="80" t="str">
        <f>REPLACE(INDEX(GroupVertices[Group],MATCH(Edges[[#This Row],[Vertex 1]],GroupVertices[Vertex],0)),1,1,"")</f>
        <v>3</v>
      </c>
      <c r="R1437" s="80" t="str">
        <f>REPLACE(INDEX(GroupVertices[Group],MATCH(Edges[[#This Row],[Vertex 2]],GroupVertices[Vertex],0)),1,1,"")</f>
        <v>1</v>
      </c>
      <c r="S1437" s="34"/>
      <c r="T1437" s="34"/>
      <c r="U1437" s="34"/>
      <c r="V1437" s="34"/>
      <c r="W1437" s="34"/>
      <c r="X1437" s="34"/>
      <c r="Y1437" s="34"/>
      <c r="Z1437" s="34"/>
      <c r="AA1437" s="34"/>
    </row>
    <row r="1438" spans="1:27" ht="15">
      <c r="A1438" s="66" t="s">
        <v>239</v>
      </c>
      <c r="B1438" s="66" t="s">
        <v>247</v>
      </c>
      <c r="C1438" s="67" t="s">
        <v>4454</v>
      </c>
      <c r="D1438" s="68">
        <v>5</v>
      </c>
      <c r="E1438" s="69"/>
      <c r="F1438" s="70">
        <v>20</v>
      </c>
      <c r="G1438" s="67"/>
      <c r="H1438" s="71"/>
      <c r="I1438" s="72"/>
      <c r="J1438" s="72"/>
      <c r="K1438" s="34" t="s">
        <v>66</v>
      </c>
      <c r="L1438" s="79">
        <v>1438</v>
      </c>
      <c r="M1438" s="79"/>
      <c r="N1438" s="74"/>
      <c r="O1438" s="81" t="s">
        <v>944</v>
      </c>
      <c r="P1438">
        <v>1</v>
      </c>
      <c r="Q1438" s="80" t="str">
        <f>REPLACE(INDEX(GroupVertices[Group],MATCH(Edges[[#This Row],[Vertex 1]],GroupVertices[Vertex],0)),1,1,"")</f>
        <v>3</v>
      </c>
      <c r="R1438" s="80" t="str">
        <f>REPLACE(INDEX(GroupVertices[Group],MATCH(Edges[[#This Row],[Vertex 2]],GroupVertices[Vertex],0)),1,1,"")</f>
        <v>2</v>
      </c>
      <c r="S1438" s="34"/>
      <c r="T1438" s="34"/>
      <c r="U1438" s="34"/>
      <c r="V1438" s="34"/>
      <c r="W1438" s="34"/>
      <c r="X1438" s="34"/>
      <c r="Y1438" s="34"/>
      <c r="Z1438" s="34"/>
      <c r="AA1438" s="34"/>
    </row>
    <row r="1439" spans="1:27" ht="15">
      <c r="A1439" s="66" t="s">
        <v>239</v>
      </c>
      <c r="B1439" s="66" t="s">
        <v>257</v>
      </c>
      <c r="C1439" s="67" t="s">
        <v>4454</v>
      </c>
      <c r="D1439" s="68">
        <v>5</v>
      </c>
      <c r="E1439" s="69"/>
      <c r="F1439" s="70">
        <v>20</v>
      </c>
      <c r="G1439" s="67"/>
      <c r="H1439" s="71"/>
      <c r="I1439" s="72"/>
      <c r="J1439" s="72"/>
      <c r="K1439" s="34" t="s">
        <v>66</v>
      </c>
      <c r="L1439" s="79">
        <v>1439</v>
      </c>
      <c r="M1439" s="79"/>
      <c r="N1439" s="74"/>
      <c r="O1439" s="81" t="s">
        <v>944</v>
      </c>
      <c r="P1439">
        <v>1</v>
      </c>
      <c r="Q1439" s="80" t="str">
        <f>REPLACE(INDEX(GroupVertices[Group],MATCH(Edges[[#This Row],[Vertex 1]],GroupVertices[Vertex],0)),1,1,"")</f>
        <v>3</v>
      </c>
      <c r="R1439" s="80" t="str">
        <f>REPLACE(INDEX(GroupVertices[Group],MATCH(Edges[[#This Row],[Vertex 2]],GroupVertices[Vertex],0)),1,1,"")</f>
        <v>2</v>
      </c>
      <c r="S1439" s="34"/>
      <c r="T1439" s="34"/>
      <c r="U1439" s="34"/>
      <c r="V1439" s="34"/>
      <c r="W1439" s="34"/>
      <c r="X1439" s="34"/>
      <c r="Y1439" s="34"/>
      <c r="Z1439" s="34"/>
      <c r="AA1439" s="34"/>
    </row>
    <row r="1440" spans="1:27" ht="15">
      <c r="A1440" s="66" t="s">
        <v>239</v>
      </c>
      <c r="B1440" s="66" t="s">
        <v>246</v>
      </c>
      <c r="C1440" s="67" t="s">
        <v>4454</v>
      </c>
      <c r="D1440" s="68">
        <v>5</v>
      </c>
      <c r="E1440" s="69"/>
      <c r="F1440" s="70">
        <v>20</v>
      </c>
      <c r="G1440" s="67"/>
      <c r="H1440" s="71"/>
      <c r="I1440" s="72"/>
      <c r="J1440" s="72"/>
      <c r="K1440" s="34" t="s">
        <v>66</v>
      </c>
      <c r="L1440" s="79">
        <v>1440</v>
      </c>
      <c r="M1440" s="79"/>
      <c r="N1440" s="74"/>
      <c r="O1440" s="81" t="s">
        <v>944</v>
      </c>
      <c r="P1440">
        <v>1</v>
      </c>
      <c r="Q1440" s="80" t="str">
        <f>REPLACE(INDEX(GroupVertices[Group],MATCH(Edges[[#This Row],[Vertex 1]],GroupVertices[Vertex],0)),1,1,"")</f>
        <v>3</v>
      </c>
      <c r="R1440" s="80" t="str">
        <f>REPLACE(INDEX(GroupVertices[Group],MATCH(Edges[[#This Row],[Vertex 2]],GroupVertices[Vertex],0)),1,1,"")</f>
        <v>2</v>
      </c>
      <c r="S1440" s="34"/>
      <c r="T1440" s="34"/>
      <c r="U1440" s="34"/>
      <c r="V1440" s="34"/>
      <c r="W1440" s="34"/>
      <c r="X1440" s="34"/>
      <c r="Y1440" s="34"/>
      <c r="Z1440" s="34"/>
      <c r="AA1440" s="34"/>
    </row>
    <row r="1441" spans="1:27" ht="15">
      <c r="A1441" s="66" t="s">
        <v>239</v>
      </c>
      <c r="B1441" s="66" t="s">
        <v>256</v>
      </c>
      <c r="C1441" s="67" t="s">
        <v>4454</v>
      </c>
      <c r="D1441" s="68">
        <v>5</v>
      </c>
      <c r="E1441" s="69"/>
      <c r="F1441" s="70">
        <v>20</v>
      </c>
      <c r="G1441" s="67"/>
      <c r="H1441" s="71"/>
      <c r="I1441" s="72"/>
      <c r="J1441" s="72"/>
      <c r="K1441" s="34" t="s">
        <v>66</v>
      </c>
      <c r="L1441" s="79">
        <v>1441</v>
      </c>
      <c r="M1441" s="79"/>
      <c r="N1441" s="74"/>
      <c r="O1441" s="81" t="s">
        <v>944</v>
      </c>
      <c r="P1441">
        <v>1</v>
      </c>
      <c r="Q1441" s="80" t="str">
        <f>REPLACE(INDEX(GroupVertices[Group],MATCH(Edges[[#This Row],[Vertex 1]],GroupVertices[Vertex],0)),1,1,"")</f>
        <v>3</v>
      </c>
      <c r="R1441" s="80" t="str">
        <f>REPLACE(INDEX(GroupVertices[Group],MATCH(Edges[[#This Row],[Vertex 2]],GroupVertices[Vertex],0)),1,1,"")</f>
        <v>1</v>
      </c>
      <c r="S1441" s="34"/>
      <c r="T1441" s="34"/>
      <c r="U1441" s="34"/>
      <c r="V1441" s="34"/>
      <c r="W1441" s="34"/>
      <c r="X1441" s="34"/>
      <c r="Y1441" s="34"/>
      <c r="Z1441" s="34"/>
      <c r="AA1441" s="34"/>
    </row>
    <row r="1442" spans="1:27" ht="15">
      <c r="A1442" s="66" t="s">
        <v>239</v>
      </c>
      <c r="B1442" s="66" t="s">
        <v>226</v>
      </c>
      <c r="C1442" s="67" t="s">
        <v>4454</v>
      </c>
      <c r="D1442" s="68">
        <v>5</v>
      </c>
      <c r="E1442" s="69"/>
      <c r="F1442" s="70">
        <v>20</v>
      </c>
      <c r="G1442" s="67"/>
      <c r="H1442" s="71"/>
      <c r="I1442" s="72"/>
      <c r="J1442" s="72"/>
      <c r="K1442" s="34" t="s">
        <v>65</v>
      </c>
      <c r="L1442" s="79">
        <v>1442</v>
      </c>
      <c r="M1442" s="79"/>
      <c r="N1442" s="74"/>
      <c r="O1442" s="81" t="s">
        <v>944</v>
      </c>
      <c r="P1442">
        <v>1</v>
      </c>
      <c r="Q1442" s="80" t="str">
        <f>REPLACE(INDEX(GroupVertices[Group],MATCH(Edges[[#This Row],[Vertex 1]],GroupVertices[Vertex],0)),1,1,"")</f>
        <v>3</v>
      </c>
      <c r="R1442" s="80" t="str">
        <f>REPLACE(INDEX(GroupVertices[Group],MATCH(Edges[[#This Row],[Vertex 2]],GroupVertices[Vertex],0)),1,1,"")</f>
        <v>4</v>
      </c>
      <c r="S1442" s="34"/>
      <c r="T1442" s="34"/>
      <c r="U1442" s="34"/>
      <c r="V1442" s="34"/>
      <c r="W1442" s="34"/>
      <c r="X1442" s="34"/>
      <c r="Y1442" s="34"/>
      <c r="Z1442" s="34"/>
      <c r="AA1442" s="34"/>
    </row>
    <row r="1443" spans="1:27" ht="15">
      <c r="A1443" s="66" t="s">
        <v>239</v>
      </c>
      <c r="B1443" s="66" t="s">
        <v>255</v>
      </c>
      <c r="C1443" s="67" t="s">
        <v>4454</v>
      </c>
      <c r="D1443" s="68">
        <v>5</v>
      </c>
      <c r="E1443" s="69"/>
      <c r="F1443" s="70">
        <v>20</v>
      </c>
      <c r="G1443" s="67"/>
      <c r="H1443" s="71"/>
      <c r="I1443" s="72"/>
      <c r="J1443" s="72"/>
      <c r="K1443" s="34" t="s">
        <v>66</v>
      </c>
      <c r="L1443" s="79">
        <v>1443</v>
      </c>
      <c r="M1443" s="79"/>
      <c r="N1443" s="74"/>
      <c r="O1443" s="81" t="s">
        <v>944</v>
      </c>
      <c r="P1443">
        <v>1</v>
      </c>
      <c r="Q1443" s="80" t="str">
        <f>REPLACE(INDEX(GroupVertices[Group],MATCH(Edges[[#This Row],[Vertex 1]],GroupVertices[Vertex],0)),1,1,"")</f>
        <v>3</v>
      </c>
      <c r="R1443" s="80" t="str">
        <f>REPLACE(INDEX(GroupVertices[Group],MATCH(Edges[[#This Row],[Vertex 2]],GroupVertices[Vertex],0)),1,1,"")</f>
        <v>4</v>
      </c>
      <c r="S1443" s="34"/>
      <c r="T1443" s="34"/>
      <c r="U1443" s="34"/>
      <c r="V1443" s="34"/>
      <c r="W1443" s="34"/>
      <c r="X1443" s="34"/>
      <c r="Y1443" s="34"/>
      <c r="Z1443" s="34"/>
      <c r="AA1443" s="34"/>
    </row>
    <row r="1444" spans="1:27" ht="15">
      <c r="A1444" s="66" t="s">
        <v>239</v>
      </c>
      <c r="B1444" s="66" t="s">
        <v>240</v>
      </c>
      <c r="C1444" s="67" t="s">
        <v>4454</v>
      </c>
      <c r="D1444" s="68">
        <v>5</v>
      </c>
      <c r="E1444" s="69"/>
      <c r="F1444" s="70">
        <v>20</v>
      </c>
      <c r="G1444" s="67"/>
      <c r="H1444" s="71"/>
      <c r="I1444" s="72"/>
      <c r="J1444" s="72"/>
      <c r="K1444" s="34" t="s">
        <v>66</v>
      </c>
      <c r="L1444" s="79">
        <v>1444</v>
      </c>
      <c r="M1444" s="79"/>
      <c r="N1444" s="74"/>
      <c r="O1444" s="81" t="s">
        <v>944</v>
      </c>
      <c r="P1444">
        <v>1</v>
      </c>
      <c r="Q1444" s="80" t="str">
        <f>REPLACE(INDEX(GroupVertices[Group],MATCH(Edges[[#This Row],[Vertex 1]],GroupVertices[Vertex],0)),1,1,"")</f>
        <v>3</v>
      </c>
      <c r="R1444" s="80" t="str">
        <f>REPLACE(INDEX(GroupVertices[Group],MATCH(Edges[[#This Row],[Vertex 2]],GroupVertices[Vertex],0)),1,1,"")</f>
        <v>2</v>
      </c>
      <c r="S1444" s="34"/>
      <c r="T1444" s="34"/>
      <c r="U1444" s="34"/>
      <c r="V1444" s="34"/>
      <c r="W1444" s="34"/>
      <c r="X1444" s="34"/>
      <c r="Y1444" s="34"/>
      <c r="Z1444" s="34"/>
      <c r="AA1444" s="34"/>
    </row>
    <row r="1445" spans="1:27" ht="15">
      <c r="A1445" s="66" t="s">
        <v>239</v>
      </c>
      <c r="B1445" s="66" t="s">
        <v>258</v>
      </c>
      <c r="C1445" s="67" t="s">
        <v>4454</v>
      </c>
      <c r="D1445" s="68">
        <v>5</v>
      </c>
      <c r="E1445" s="69"/>
      <c r="F1445" s="70">
        <v>20</v>
      </c>
      <c r="G1445" s="67"/>
      <c r="H1445" s="71"/>
      <c r="I1445" s="72"/>
      <c r="J1445" s="72"/>
      <c r="K1445" s="34" t="s">
        <v>65</v>
      </c>
      <c r="L1445" s="79">
        <v>1445</v>
      </c>
      <c r="M1445" s="79"/>
      <c r="N1445" s="74"/>
      <c r="O1445" s="81" t="s">
        <v>944</v>
      </c>
      <c r="P1445">
        <v>1</v>
      </c>
      <c r="Q1445" s="80" t="str">
        <f>REPLACE(INDEX(GroupVertices[Group],MATCH(Edges[[#This Row],[Vertex 1]],GroupVertices[Vertex],0)),1,1,"")</f>
        <v>3</v>
      </c>
      <c r="R1445" s="80" t="str">
        <f>REPLACE(INDEX(GroupVertices[Group],MATCH(Edges[[#This Row],[Vertex 2]],GroupVertices[Vertex],0)),1,1,"")</f>
        <v>1</v>
      </c>
      <c r="S1445" s="34"/>
      <c r="T1445" s="34"/>
      <c r="U1445" s="34"/>
      <c r="V1445" s="34"/>
      <c r="W1445" s="34"/>
      <c r="X1445" s="34"/>
      <c r="Y1445" s="34"/>
      <c r="Z1445" s="34"/>
      <c r="AA1445" s="34"/>
    </row>
    <row r="1446" spans="1:27" ht="15">
      <c r="A1446" s="66" t="s">
        <v>239</v>
      </c>
      <c r="B1446" s="66" t="s">
        <v>480</v>
      </c>
      <c r="C1446" s="67" t="s">
        <v>4454</v>
      </c>
      <c r="D1446" s="68">
        <v>5</v>
      </c>
      <c r="E1446" s="69"/>
      <c r="F1446" s="70">
        <v>20</v>
      </c>
      <c r="G1446" s="67"/>
      <c r="H1446" s="71"/>
      <c r="I1446" s="72"/>
      <c r="J1446" s="72"/>
      <c r="K1446" s="34" t="s">
        <v>65</v>
      </c>
      <c r="L1446" s="79">
        <v>1446</v>
      </c>
      <c r="M1446" s="79"/>
      <c r="N1446" s="74"/>
      <c r="O1446" s="81" t="s">
        <v>944</v>
      </c>
      <c r="P1446">
        <v>1</v>
      </c>
      <c r="Q1446" s="80" t="str">
        <f>REPLACE(INDEX(GroupVertices[Group],MATCH(Edges[[#This Row],[Vertex 1]],GroupVertices[Vertex],0)),1,1,"")</f>
        <v>3</v>
      </c>
      <c r="R1446" s="80" t="str">
        <f>REPLACE(INDEX(GroupVertices[Group],MATCH(Edges[[#This Row],[Vertex 2]],GroupVertices[Vertex],0)),1,1,"")</f>
        <v>1</v>
      </c>
      <c r="S1446" s="34"/>
      <c r="T1446" s="34"/>
      <c r="U1446" s="34"/>
      <c r="V1446" s="34"/>
      <c r="W1446" s="34"/>
      <c r="X1446" s="34"/>
      <c r="Y1446" s="34"/>
      <c r="Z1446" s="34"/>
      <c r="AA1446" s="34"/>
    </row>
    <row r="1447" spans="1:27" ht="15">
      <c r="A1447" s="66" t="s">
        <v>239</v>
      </c>
      <c r="B1447" s="66" t="s">
        <v>260</v>
      </c>
      <c r="C1447" s="67" t="s">
        <v>4454</v>
      </c>
      <c r="D1447" s="68">
        <v>5</v>
      </c>
      <c r="E1447" s="69"/>
      <c r="F1447" s="70">
        <v>20</v>
      </c>
      <c r="G1447" s="67"/>
      <c r="H1447" s="71"/>
      <c r="I1447" s="72"/>
      <c r="J1447" s="72"/>
      <c r="K1447" s="34" t="s">
        <v>65</v>
      </c>
      <c r="L1447" s="79">
        <v>1447</v>
      </c>
      <c r="M1447" s="79"/>
      <c r="N1447" s="74"/>
      <c r="O1447" s="81" t="s">
        <v>944</v>
      </c>
      <c r="P1447">
        <v>1</v>
      </c>
      <c r="Q1447" s="80" t="str">
        <f>REPLACE(INDEX(GroupVertices[Group],MATCH(Edges[[#This Row],[Vertex 1]],GroupVertices[Vertex],0)),1,1,"")</f>
        <v>3</v>
      </c>
      <c r="R1447" s="80" t="str">
        <f>REPLACE(INDEX(GroupVertices[Group],MATCH(Edges[[#This Row],[Vertex 2]],GroupVertices[Vertex],0)),1,1,"")</f>
        <v>2</v>
      </c>
      <c r="S1447" s="34"/>
      <c r="T1447" s="34"/>
      <c r="U1447" s="34"/>
      <c r="V1447" s="34"/>
      <c r="W1447" s="34"/>
      <c r="X1447" s="34"/>
      <c r="Y1447" s="34"/>
      <c r="Z1447" s="34"/>
      <c r="AA1447" s="34"/>
    </row>
    <row r="1448" spans="1:27" ht="15">
      <c r="A1448" s="66" t="s">
        <v>239</v>
      </c>
      <c r="B1448" s="66" t="s">
        <v>243</v>
      </c>
      <c r="C1448" s="67" t="s">
        <v>4454</v>
      </c>
      <c r="D1448" s="68">
        <v>5</v>
      </c>
      <c r="E1448" s="69"/>
      <c r="F1448" s="70">
        <v>20</v>
      </c>
      <c r="G1448" s="67"/>
      <c r="H1448" s="71"/>
      <c r="I1448" s="72"/>
      <c r="J1448" s="72"/>
      <c r="K1448" s="34" t="s">
        <v>66</v>
      </c>
      <c r="L1448" s="79">
        <v>1448</v>
      </c>
      <c r="M1448" s="79"/>
      <c r="N1448" s="74"/>
      <c r="O1448" s="81" t="s">
        <v>944</v>
      </c>
      <c r="P1448">
        <v>1</v>
      </c>
      <c r="Q1448" s="80" t="str">
        <f>REPLACE(INDEX(GroupVertices[Group],MATCH(Edges[[#This Row],[Vertex 1]],GroupVertices[Vertex],0)),1,1,"")</f>
        <v>3</v>
      </c>
      <c r="R1448" s="80" t="str">
        <f>REPLACE(INDEX(GroupVertices[Group],MATCH(Edges[[#This Row],[Vertex 2]],GroupVertices[Vertex],0)),1,1,"")</f>
        <v>2</v>
      </c>
      <c r="S1448" s="34"/>
      <c r="T1448" s="34"/>
      <c r="U1448" s="34"/>
      <c r="V1448" s="34"/>
      <c r="W1448" s="34"/>
      <c r="X1448" s="34"/>
      <c r="Y1448" s="34"/>
      <c r="Z1448" s="34"/>
      <c r="AA1448" s="34"/>
    </row>
    <row r="1449" spans="1:27" ht="15">
      <c r="A1449" s="66" t="s">
        <v>239</v>
      </c>
      <c r="B1449" s="66" t="s">
        <v>812</v>
      </c>
      <c r="C1449" s="67" t="s">
        <v>4454</v>
      </c>
      <c r="D1449" s="68">
        <v>5</v>
      </c>
      <c r="E1449" s="69"/>
      <c r="F1449" s="70">
        <v>20</v>
      </c>
      <c r="G1449" s="67"/>
      <c r="H1449" s="71"/>
      <c r="I1449" s="72"/>
      <c r="J1449" s="72"/>
      <c r="K1449" s="34" t="s">
        <v>65</v>
      </c>
      <c r="L1449" s="79">
        <v>1449</v>
      </c>
      <c r="M1449" s="79"/>
      <c r="N1449" s="74"/>
      <c r="O1449" s="81" t="s">
        <v>944</v>
      </c>
      <c r="P1449">
        <v>1</v>
      </c>
      <c r="Q1449" s="80" t="str">
        <f>REPLACE(INDEX(GroupVertices[Group],MATCH(Edges[[#This Row],[Vertex 1]],GroupVertices[Vertex],0)),1,1,"")</f>
        <v>3</v>
      </c>
      <c r="R1449" s="80" t="str">
        <f>REPLACE(INDEX(GroupVertices[Group],MATCH(Edges[[#This Row],[Vertex 2]],GroupVertices[Vertex],0)),1,1,"")</f>
        <v>3</v>
      </c>
      <c r="S1449" s="34"/>
      <c r="T1449" s="34"/>
      <c r="U1449" s="34"/>
      <c r="V1449" s="34"/>
      <c r="W1449" s="34"/>
      <c r="X1449" s="34"/>
      <c r="Y1449" s="34"/>
      <c r="Z1449" s="34"/>
      <c r="AA1449" s="34"/>
    </row>
    <row r="1450" spans="1:27" ht="15">
      <c r="A1450" s="66" t="s">
        <v>239</v>
      </c>
      <c r="B1450" s="66" t="s">
        <v>249</v>
      </c>
      <c r="C1450" s="67" t="s">
        <v>4454</v>
      </c>
      <c r="D1450" s="68">
        <v>5</v>
      </c>
      <c r="E1450" s="69"/>
      <c r="F1450" s="70">
        <v>20</v>
      </c>
      <c r="G1450" s="67"/>
      <c r="H1450" s="71"/>
      <c r="I1450" s="72"/>
      <c r="J1450" s="72"/>
      <c r="K1450" s="34" t="s">
        <v>66</v>
      </c>
      <c r="L1450" s="79">
        <v>1450</v>
      </c>
      <c r="M1450" s="79"/>
      <c r="N1450" s="74"/>
      <c r="O1450" s="81" t="s">
        <v>944</v>
      </c>
      <c r="P1450">
        <v>1</v>
      </c>
      <c r="Q1450" s="80" t="str">
        <f>REPLACE(INDEX(GroupVertices[Group],MATCH(Edges[[#This Row],[Vertex 1]],GroupVertices[Vertex],0)),1,1,"")</f>
        <v>3</v>
      </c>
      <c r="R1450" s="80" t="str">
        <f>REPLACE(INDEX(GroupVertices[Group],MATCH(Edges[[#This Row],[Vertex 2]],GroupVertices[Vertex],0)),1,1,"")</f>
        <v>2</v>
      </c>
      <c r="S1450" s="34"/>
      <c r="T1450" s="34"/>
      <c r="U1450" s="34"/>
      <c r="V1450" s="34"/>
      <c r="W1450" s="34"/>
      <c r="X1450" s="34"/>
      <c r="Y1450" s="34"/>
      <c r="Z1450" s="34"/>
      <c r="AA1450" s="34"/>
    </row>
    <row r="1451" spans="1:27" ht="15">
      <c r="A1451" s="66" t="s">
        <v>239</v>
      </c>
      <c r="B1451" s="66" t="s">
        <v>236</v>
      </c>
      <c r="C1451" s="67" t="s">
        <v>4454</v>
      </c>
      <c r="D1451" s="68">
        <v>5</v>
      </c>
      <c r="E1451" s="69"/>
      <c r="F1451" s="70">
        <v>20</v>
      </c>
      <c r="G1451" s="67"/>
      <c r="H1451" s="71"/>
      <c r="I1451" s="72"/>
      <c r="J1451" s="72"/>
      <c r="K1451" s="34" t="s">
        <v>65</v>
      </c>
      <c r="L1451" s="79">
        <v>1451</v>
      </c>
      <c r="M1451" s="79"/>
      <c r="N1451" s="74"/>
      <c r="O1451" s="81" t="s">
        <v>944</v>
      </c>
      <c r="P1451">
        <v>1</v>
      </c>
      <c r="Q1451" s="80" t="str">
        <f>REPLACE(INDEX(GroupVertices[Group],MATCH(Edges[[#This Row],[Vertex 1]],GroupVertices[Vertex],0)),1,1,"")</f>
        <v>3</v>
      </c>
      <c r="R1451" s="80" t="str">
        <f>REPLACE(INDEX(GroupVertices[Group],MATCH(Edges[[#This Row],[Vertex 2]],GroupVertices[Vertex],0)),1,1,"")</f>
        <v>1</v>
      </c>
      <c r="S1451" s="34"/>
      <c r="T1451" s="34"/>
      <c r="U1451" s="34"/>
      <c r="V1451" s="34"/>
      <c r="W1451" s="34"/>
      <c r="X1451" s="34"/>
      <c r="Y1451" s="34"/>
      <c r="Z1451" s="34"/>
      <c r="AA1451" s="34"/>
    </row>
    <row r="1452" spans="1:27" ht="15">
      <c r="A1452" s="66" t="s">
        <v>239</v>
      </c>
      <c r="B1452" s="66" t="s">
        <v>238</v>
      </c>
      <c r="C1452" s="67" t="s">
        <v>4454</v>
      </c>
      <c r="D1452" s="68">
        <v>5</v>
      </c>
      <c r="E1452" s="69"/>
      <c r="F1452" s="70">
        <v>20</v>
      </c>
      <c r="G1452" s="67"/>
      <c r="H1452" s="71"/>
      <c r="I1452" s="72"/>
      <c r="J1452" s="72"/>
      <c r="K1452" s="34" t="s">
        <v>65</v>
      </c>
      <c r="L1452" s="79">
        <v>1452</v>
      </c>
      <c r="M1452" s="79"/>
      <c r="N1452" s="74"/>
      <c r="O1452" s="81" t="s">
        <v>944</v>
      </c>
      <c r="P1452">
        <v>1</v>
      </c>
      <c r="Q1452" s="80" t="str">
        <f>REPLACE(INDEX(GroupVertices[Group],MATCH(Edges[[#This Row],[Vertex 1]],GroupVertices[Vertex],0)),1,1,"")</f>
        <v>3</v>
      </c>
      <c r="R1452" s="80" t="str">
        <f>REPLACE(INDEX(GroupVertices[Group],MATCH(Edges[[#This Row],[Vertex 2]],GroupVertices[Vertex],0)),1,1,"")</f>
        <v>2</v>
      </c>
      <c r="S1452" s="34"/>
      <c r="T1452" s="34"/>
      <c r="U1452" s="34"/>
      <c r="V1452" s="34"/>
      <c r="W1452" s="34"/>
      <c r="X1452" s="34"/>
      <c r="Y1452" s="34"/>
      <c r="Z1452" s="34"/>
      <c r="AA1452" s="34"/>
    </row>
    <row r="1453" spans="1:27" ht="15">
      <c r="A1453" s="66" t="s">
        <v>239</v>
      </c>
      <c r="B1453" s="66" t="s">
        <v>252</v>
      </c>
      <c r="C1453" s="67" t="s">
        <v>4454</v>
      </c>
      <c r="D1453" s="68">
        <v>5</v>
      </c>
      <c r="E1453" s="69"/>
      <c r="F1453" s="70">
        <v>20</v>
      </c>
      <c r="G1453" s="67"/>
      <c r="H1453" s="71"/>
      <c r="I1453" s="72"/>
      <c r="J1453" s="72"/>
      <c r="K1453" s="34" t="s">
        <v>65</v>
      </c>
      <c r="L1453" s="79">
        <v>1453</v>
      </c>
      <c r="M1453" s="79"/>
      <c r="N1453" s="74"/>
      <c r="O1453" s="81" t="s">
        <v>944</v>
      </c>
      <c r="P1453">
        <v>1</v>
      </c>
      <c r="Q1453" s="80" t="str">
        <f>REPLACE(INDEX(GroupVertices[Group],MATCH(Edges[[#This Row],[Vertex 1]],GroupVertices[Vertex],0)),1,1,"")</f>
        <v>3</v>
      </c>
      <c r="R1453" s="80" t="str">
        <f>REPLACE(INDEX(GroupVertices[Group],MATCH(Edges[[#This Row],[Vertex 2]],GroupVertices[Vertex],0)),1,1,"")</f>
        <v>1</v>
      </c>
      <c r="S1453" s="34"/>
      <c r="T1453" s="34"/>
      <c r="U1453" s="34"/>
      <c r="V1453" s="34"/>
      <c r="W1453" s="34"/>
      <c r="X1453" s="34"/>
      <c r="Y1453" s="34"/>
      <c r="Z1453" s="34"/>
      <c r="AA1453" s="34"/>
    </row>
    <row r="1454" spans="1:27" ht="15">
      <c r="A1454" s="66" t="s">
        <v>239</v>
      </c>
      <c r="B1454" s="66" t="s">
        <v>235</v>
      </c>
      <c r="C1454" s="67" t="s">
        <v>4454</v>
      </c>
      <c r="D1454" s="68">
        <v>5</v>
      </c>
      <c r="E1454" s="69"/>
      <c r="F1454" s="70">
        <v>20</v>
      </c>
      <c r="G1454" s="67"/>
      <c r="H1454" s="71"/>
      <c r="I1454" s="72"/>
      <c r="J1454" s="72"/>
      <c r="K1454" s="34" t="s">
        <v>66</v>
      </c>
      <c r="L1454" s="79">
        <v>1454</v>
      </c>
      <c r="M1454" s="79"/>
      <c r="N1454" s="74"/>
      <c r="O1454" s="81" t="s">
        <v>944</v>
      </c>
      <c r="P1454">
        <v>1</v>
      </c>
      <c r="Q1454" s="80" t="str">
        <f>REPLACE(INDEX(GroupVertices[Group],MATCH(Edges[[#This Row],[Vertex 1]],GroupVertices[Vertex],0)),1,1,"")</f>
        <v>3</v>
      </c>
      <c r="R1454" s="80" t="str">
        <f>REPLACE(INDEX(GroupVertices[Group],MATCH(Edges[[#This Row],[Vertex 2]],GroupVertices[Vertex],0)),1,1,"")</f>
        <v>2</v>
      </c>
      <c r="S1454" s="34"/>
      <c r="T1454" s="34"/>
      <c r="U1454" s="34"/>
      <c r="V1454" s="34"/>
      <c r="W1454" s="34"/>
      <c r="X1454" s="34"/>
      <c r="Y1454" s="34"/>
      <c r="Z1454" s="34"/>
      <c r="AA1454" s="34"/>
    </row>
    <row r="1455" spans="1:27" ht="15">
      <c r="A1455" s="66" t="s">
        <v>239</v>
      </c>
      <c r="B1455" s="66" t="s">
        <v>261</v>
      </c>
      <c r="C1455" s="67" t="s">
        <v>4454</v>
      </c>
      <c r="D1455" s="68">
        <v>5</v>
      </c>
      <c r="E1455" s="69"/>
      <c r="F1455" s="70">
        <v>20</v>
      </c>
      <c r="G1455" s="67"/>
      <c r="H1455" s="71"/>
      <c r="I1455" s="72"/>
      <c r="J1455" s="72"/>
      <c r="K1455" s="34" t="s">
        <v>65</v>
      </c>
      <c r="L1455" s="79">
        <v>1455</v>
      </c>
      <c r="M1455" s="79"/>
      <c r="N1455" s="74"/>
      <c r="O1455" s="81" t="s">
        <v>944</v>
      </c>
      <c r="P1455">
        <v>1</v>
      </c>
      <c r="Q1455" s="80" t="str">
        <f>REPLACE(INDEX(GroupVertices[Group],MATCH(Edges[[#This Row],[Vertex 1]],GroupVertices[Vertex],0)),1,1,"")</f>
        <v>3</v>
      </c>
      <c r="R1455" s="80" t="str">
        <f>REPLACE(INDEX(GroupVertices[Group],MATCH(Edges[[#This Row],[Vertex 2]],GroupVertices[Vertex],0)),1,1,"")</f>
        <v>1</v>
      </c>
      <c r="S1455" s="34"/>
      <c r="T1455" s="34"/>
      <c r="U1455" s="34"/>
      <c r="V1455" s="34"/>
      <c r="W1455" s="34"/>
      <c r="X1455" s="34"/>
      <c r="Y1455" s="34"/>
      <c r="Z1455" s="34"/>
      <c r="AA1455" s="34"/>
    </row>
    <row r="1456" spans="1:27" ht="15">
      <c r="A1456" s="66" t="s">
        <v>239</v>
      </c>
      <c r="B1456" s="66" t="s">
        <v>223</v>
      </c>
      <c r="C1456" s="67" t="s">
        <v>4454</v>
      </c>
      <c r="D1456" s="68">
        <v>5</v>
      </c>
      <c r="E1456" s="69"/>
      <c r="F1456" s="70">
        <v>20</v>
      </c>
      <c r="G1456" s="67"/>
      <c r="H1456" s="71"/>
      <c r="I1456" s="72"/>
      <c r="J1456" s="72"/>
      <c r="K1456" s="34" t="s">
        <v>66</v>
      </c>
      <c r="L1456" s="79">
        <v>1456</v>
      </c>
      <c r="M1456" s="79"/>
      <c r="N1456" s="74"/>
      <c r="O1456" s="81" t="s">
        <v>944</v>
      </c>
      <c r="P1456">
        <v>1</v>
      </c>
      <c r="Q1456" s="80" t="str">
        <f>REPLACE(INDEX(GroupVertices[Group],MATCH(Edges[[#This Row],[Vertex 1]],GroupVertices[Vertex],0)),1,1,"")</f>
        <v>3</v>
      </c>
      <c r="R1456" s="80" t="str">
        <f>REPLACE(INDEX(GroupVertices[Group],MATCH(Edges[[#This Row],[Vertex 2]],GroupVertices[Vertex],0)),1,1,"")</f>
        <v>3</v>
      </c>
      <c r="S1456" s="34"/>
      <c r="T1456" s="34"/>
      <c r="U1456" s="34"/>
      <c r="V1456" s="34"/>
      <c r="W1456" s="34"/>
      <c r="X1456" s="34"/>
      <c r="Y1456" s="34"/>
      <c r="Z1456" s="34"/>
      <c r="AA1456" s="34"/>
    </row>
    <row r="1457" spans="1:27" ht="15">
      <c r="A1457" s="66" t="s">
        <v>239</v>
      </c>
      <c r="B1457" s="66" t="s">
        <v>233</v>
      </c>
      <c r="C1457" s="67" t="s">
        <v>4454</v>
      </c>
      <c r="D1457" s="68">
        <v>5</v>
      </c>
      <c r="E1457" s="69"/>
      <c r="F1457" s="70">
        <v>20</v>
      </c>
      <c r="G1457" s="67"/>
      <c r="H1457" s="71"/>
      <c r="I1457" s="72"/>
      <c r="J1457" s="72"/>
      <c r="K1457" s="34" t="s">
        <v>66</v>
      </c>
      <c r="L1457" s="79">
        <v>1457</v>
      </c>
      <c r="M1457" s="79"/>
      <c r="N1457" s="74"/>
      <c r="O1457" s="81" t="s">
        <v>944</v>
      </c>
      <c r="P1457">
        <v>1</v>
      </c>
      <c r="Q1457" s="80" t="str">
        <f>REPLACE(INDEX(GroupVertices[Group],MATCH(Edges[[#This Row],[Vertex 1]],GroupVertices[Vertex],0)),1,1,"")</f>
        <v>3</v>
      </c>
      <c r="R1457" s="80" t="str">
        <f>REPLACE(INDEX(GroupVertices[Group],MATCH(Edges[[#This Row],[Vertex 2]],GroupVertices[Vertex],0)),1,1,"")</f>
        <v>2</v>
      </c>
      <c r="S1457" s="34"/>
      <c r="T1457" s="34"/>
      <c r="U1457" s="34"/>
      <c r="V1457" s="34"/>
      <c r="W1457" s="34"/>
      <c r="X1457" s="34"/>
      <c r="Y1457" s="34"/>
      <c r="Z1457" s="34"/>
      <c r="AA1457" s="34"/>
    </row>
    <row r="1458" spans="1:27" ht="15">
      <c r="A1458" s="66" t="s">
        <v>239</v>
      </c>
      <c r="B1458" s="66" t="s">
        <v>478</v>
      </c>
      <c r="C1458" s="67" t="s">
        <v>4454</v>
      </c>
      <c r="D1458" s="68">
        <v>5</v>
      </c>
      <c r="E1458" s="69"/>
      <c r="F1458" s="70">
        <v>20</v>
      </c>
      <c r="G1458" s="67"/>
      <c r="H1458" s="71"/>
      <c r="I1458" s="72"/>
      <c r="J1458" s="72"/>
      <c r="K1458" s="34" t="s">
        <v>65</v>
      </c>
      <c r="L1458" s="79">
        <v>1458</v>
      </c>
      <c r="M1458" s="79"/>
      <c r="N1458" s="74"/>
      <c r="O1458" s="81" t="s">
        <v>944</v>
      </c>
      <c r="P1458">
        <v>1</v>
      </c>
      <c r="Q1458" s="80" t="str">
        <f>REPLACE(INDEX(GroupVertices[Group],MATCH(Edges[[#This Row],[Vertex 1]],GroupVertices[Vertex],0)),1,1,"")</f>
        <v>3</v>
      </c>
      <c r="R1458" s="80" t="str">
        <f>REPLACE(INDEX(GroupVertices[Group],MATCH(Edges[[#This Row],[Vertex 2]],GroupVertices[Vertex],0)),1,1,"")</f>
        <v>3</v>
      </c>
      <c r="S1458" s="34"/>
      <c r="T1458" s="34"/>
      <c r="U1458" s="34"/>
      <c r="V1458" s="34"/>
      <c r="W1458" s="34"/>
      <c r="X1458" s="34"/>
      <c r="Y1458" s="34"/>
      <c r="Z1458" s="34"/>
      <c r="AA1458" s="34"/>
    </row>
    <row r="1459" spans="1:27" ht="15">
      <c r="A1459" s="66" t="s">
        <v>239</v>
      </c>
      <c r="B1459" s="66" t="s">
        <v>253</v>
      </c>
      <c r="C1459" s="67" t="s">
        <v>4454</v>
      </c>
      <c r="D1459" s="68">
        <v>5</v>
      </c>
      <c r="E1459" s="69"/>
      <c r="F1459" s="70">
        <v>20</v>
      </c>
      <c r="G1459" s="67"/>
      <c r="H1459" s="71"/>
      <c r="I1459" s="72"/>
      <c r="J1459" s="72"/>
      <c r="K1459" s="34" t="s">
        <v>65</v>
      </c>
      <c r="L1459" s="79">
        <v>1459</v>
      </c>
      <c r="M1459" s="79"/>
      <c r="N1459" s="74"/>
      <c r="O1459" s="81" t="s">
        <v>944</v>
      </c>
      <c r="P1459">
        <v>1</v>
      </c>
      <c r="Q1459" s="80" t="str">
        <f>REPLACE(INDEX(GroupVertices[Group],MATCH(Edges[[#This Row],[Vertex 1]],GroupVertices[Vertex],0)),1,1,"")</f>
        <v>3</v>
      </c>
      <c r="R1459" s="80" t="str">
        <f>REPLACE(INDEX(GroupVertices[Group],MATCH(Edges[[#This Row],[Vertex 2]],GroupVertices[Vertex],0)),1,1,"")</f>
        <v>1</v>
      </c>
      <c r="S1459" s="34"/>
      <c r="T1459" s="34"/>
      <c r="U1459" s="34"/>
      <c r="V1459" s="34"/>
      <c r="W1459" s="34"/>
      <c r="X1459" s="34"/>
      <c r="Y1459" s="34"/>
      <c r="Z1459" s="34"/>
      <c r="AA1459" s="34"/>
    </row>
    <row r="1460" spans="1:27" ht="15">
      <c r="A1460" s="66" t="s">
        <v>239</v>
      </c>
      <c r="B1460" s="66" t="s">
        <v>850</v>
      </c>
      <c r="C1460" s="67" t="s">
        <v>4454</v>
      </c>
      <c r="D1460" s="68">
        <v>5</v>
      </c>
      <c r="E1460" s="69"/>
      <c r="F1460" s="70">
        <v>20</v>
      </c>
      <c r="G1460" s="67"/>
      <c r="H1460" s="71"/>
      <c r="I1460" s="72"/>
      <c r="J1460" s="72"/>
      <c r="K1460" s="34" t="s">
        <v>65</v>
      </c>
      <c r="L1460" s="79">
        <v>1460</v>
      </c>
      <c r="M1460" s="79"/>
      <c r="N1460" s="74"/>
      <c r="O1460" s="81" t="s">
        <v>944</v>
      </c>
      <c r="P1460">
        <v>1</v>
      </c>
      <c r="Q1460" s="80" t="str">
        <f>REPLACE(INDEX(GroupVertices[Group],MATCH(Edges[[#This Row],[Vertex 1]],GroupVertices[Vertex],0)),1,1,"")</f>
        <v>3</v>
      </c>
      <c r="R1460" s="80" t="str">
        <f>REPLACE(INDEX(GroupVertices[Group],MATCH(Edges[[#This Row],[Vertex 2]],GroupVertices[Vertex],0)),1,1,"")</f>
        <v>3</v>
      </c>
      <c r="S1460" s="34"/>
      <c r="T1460" s="34"/>
      <c r="U1460" s="34"/>
      <c r="V1460" s="34"/>
      <c r="W1460" s="34"/>
      <c r="X1460" s="34"/>
      <c r="Y1460" s="34"/>
      <c r="Z1460" s="34"/>
      <c r="AA1460" s="34"/>
    </row>
    <row r="1461" spans="1:27" ht="15">
      <c r="A1461" s="66" t="s">
        <v>239</v>
      </c>
      <c r="B1461" s="66" t="s">
        <v>510</v>
      </c>
      <c r="C1461" s="67" t="s">
        <v>4454</v>
      </c>
      <c r="D1461" s="68">
        <v>5</v>
      </c>
      <c r="E1461" s="69"/>
      <c r="F1461" s="70">
        <v>20</v>
      </c>
      <c r="G1461" s="67"/>
      <c r="H1461" s="71"/>
      <c r="I1461" s="72"/>
      <c r="J1461" s="72"/>
      <c r="K1461" s="34" t="s">
        <v>65</v>
      </c>
      <c r="L1461" s="79">
        <v>1461</v>
      </c>
      <c r="M1461" s="79"/>
      <c r="N1461" s="74"/>
      <c r="O1461" s="81" t="s">
        <v>944</v>
      </c>
      <c r="P1461">
        <v>1</v>
      </c>
      <c r="Q1461" s="80" t="str">
        <f>REPLACE(INDEX(GroupVertices[Group],MATCH(Edges[[#This Row],[Vertex 1]],GroupVertices[Vertex],0)),1,1,"")</f>
        <v>3</v>
      </c>
      <c r="R1461" s="80" t="str">
        <f>REPLACE(INDEX(GroupVertices[Group],MATCH(Edges[[#This Row],[Vertex 2]],GroupVertices[Vertex],0)),1,1,"")</f>
        <v>2</v>
      </c>
      <c r="S1461" s="34"/>
      <c r="T1461" s="34"/>
      <c r="U1461" s="34"/>
      <c r="V1461" s="34"/>
      <c r="W1461" s="34"/>
      <c r="X1461" s="34"/>
      <c r="Y1461" s="34"/>
      <c r="Z1461" s="34"/>
      <c r="AA1461" s="34"/>
    </row>
    <row r="1462" spans="1:27" ht="15">
      <c r="A1462" s="66" t="s">
        <v>239</v>
      </c>
      <c r="B1462" s="66" t="s">
        <v>250</v>
      </c>
      <c r="C1462" s="67" t="s">
        <v>4454</v>
      </c>
      <c r="D1462" s="68">
        <v>5</v>
      </c>
      <c r="E1462" s="69"/>
      <c r="F1462" s="70">
        <v>20</v>
      </c>
      <c r="G1462" s="67"/>
      <c r="H1462" s="71"/>
      <c r="I1462" s="72"/>
      <c r="J1462" s="72"/>
      <c r="K1462" s="34" t="s">
        <v>66</v>
      </c>
      <c r="L1462" s="79">
        <v>1462</v>
      </c>
      <c r="M1462" s="79"/>
      <c r="N1462" s="74"/>
      <c r="O1462" s="81" t="s">
        <v>944</v>
      </c>
      <c r="P1462">
        <v>1</v>
      </c>
      <c r="Q1462" s="80" t="str">
        <f>REPLACE(INDEX(GroupVertices[Group],MATCH(Edges[[#This Row],[Vertex 1]],GroupVertices[Vertex],0)),1,1,"")</f>
        <v>3</v>
      </c>
      <c r="R1462" s="80" t="str">
        <f>REPLACE(INDEX(GroupVertices[Group],MATCH(Edges[[#This Row],[Vertex 2]],GroupVertices[Vertex],0)),1,1,"")</f>
        <v>2</v>
      </c>
      <c r="S1462" s="34"/>
      <c r="T1462" s="34"/>
      <c r="U1462" s="34"/>
      <c r="V1462" s="34"/>
      <c r="W1462" s="34"/>
      <c r="X1462" s="34"/>
      <c r="Y1462" s="34"/>
      <c r="Z1462" s="34"/>
      <c r="AA1462" s="34"/>
    </row>
    <row r="1463" spans="1:27" ht="15">
      <c r="A1463" s="66" t="s">
        <v>239</v>
      </c>
      <c r="B1463" s="66" t="s">
        <v>254</v>
      </c>
      <c r="C1463" s="67" t="s">
        <v>4454</v>
      </c>
      <c r="D1463" s="68">
        <v>5</v>
      </c>
      <c r="E1463" s="69"/>
      <c r="F1463" s="70">
        <v>20</v>
      </c>
      <c r="G1463" s="67"/>
      <c r="H1463" s="71"/>
      <c r="I1463" s="72"/>
      <c r="J1463" s="72"/>
      <c r="K1463" s="34" t="s">
        <v>65</v>
      </c>
      <c r="L1463" s="79">
        <v>1463</v>
      </c>
      <c r="M1463" s="79"/>
      <c r="N1463" s="74"/>
      <c r="O1463" s="81" t="s">
        <v>944</v>
      </c>
      <c r="P1463">
        <v>1</v>
      </c>
      <c r="Q1463" s="80" t="str">
        <f>REPLACE(INDEX(GroupVertices[Group],MATCH(Edges[[#This Row],[Vertex 1]],GroupVertices[Vertex],0)),1,1,"")</f>
        <v>3</v>
      </c>
      <c r="R1463" s="80" t="str">
        <f>REPLACE(INDEX(GroupVertices[Group],MATCH(Edges[[#This Row],[Vertex 2]],GroupVertices[Vertex],0)),1,1,"")</f>
        <v>3</v>
      </c>
      <c r="S1463" s="34"/>
      <c r="T1463" s="34"/>
      <c r="U1463" s="34"/>
      <c r="V1463" s="34"/>
      <c r="W1463" s="34"/>
      <c r="X1463" s="34"/>
      <c r="Y1463" s="34"/>
      <c r="Z1463" s="34"/>
      <c r="AA1463" s="34"/>
    </row>
    <row r="1464" spans="1:27" ht="15">
      <c r="A1464" s="66" t="s">
        <v>239</v>
      </c>
      <c r="B1464" s="66" t="s">
        <v>259</v>
      </c>
      <c r="C1464" s="67" t="s">
        <v>4454</v>
      </c>
      <c r="D1464" s="68">
        <v>5</v>
      </c>
      <c r="E1464" s="69"/>
      <c r="F1464" s="70">
        <v>20</v>
      </c>
      <c r="G1464" s="67"/>
      <c r="H1464" s="71"/>
      <c r="I1464" s="72"/>
      <c r="J1464" s="72"/>
      <c r="K1464" s="34" t="s">
        <v>65</v>
      </c>
      <c r="L1464" s="79">
        <v>1464</v>
      </c>
      <c r="M1464" s="79"/>
      <c r="N1464" s="74"/>
      <c r="O1464" s="81" t="s">
        <v>944</v>
      </c>
      <c r="P1464">
        <v>1</v>
      </c>
      <c r="Q1464" s="80" t="str">
        <f>REPLACE(INDEX(GroupVertices[Group],MATCH(Edges[[#This Row],[Vertex 1]],GroupVertices[Vertex],0)),1,1,"")</f>
        <v>3</v>
      </c>
      <c r="R1464" s="80" t="str">
        <f>REPLACE(INDEX(GroupVertices[Group],MATCH(Edges[[#This Row],[Vertex 2]],GroupVertices[Vertex],0)),1,1,"")</f>
        <v>2</v>
      </c>
      <c r="S1464" s="34"/>
      <c r="T1464" s="34"/>
      <c r="U1464" s="34"/>
      <c r="V1464" s="34"/>
      <c r="W1464" s="34"/>
      <c r="X1464" s="34"/>
      <c r="Y1464" s="34"/>
      <c r="Z1464" s="34"/>
      <c r="AA1464" s="34"/>
    </row>
    <row r="1465" spans="1:27" ht="15">
      <c r="A1465" s="66" t="s">
        <v>240</v>
      </c>
      <c r="B1465" s="66" t="s">
        <v>239</v>
      </c>
      <c r="C1465" s="67" t="s">
        <v>4454</v>
      </c>
      <c r="D1465" s="68">
        <v>5</v>
      </c>
      <c r="E1465" s="69"/>
      <c r="F1465" s="70">
        <v>20</v>
      </c>
      <c r="G1465" s="67"/>
      <c r="H1465" s="71"/>
      <c r="I1465" s="72"/>
      <c r="J1465" s="72"/>
      <c r="K1465" s="34" t="s">
        <v>66</v>
      </c>
      <c r="L1465" s="79">
        <v>1465</v>
      </c>
      <c r="M1465" s="79"/>
      <c r="N1465" s="74"/>
      <c r="O1465" s="81" t="s">
        <v>944</v>
      </c>
      <c r="P1465">
        <v>1</v>
      </c>
      <c r="Q1465" s="80" t="str">
        <f>REPLACE(INDEX(GroupVertices[Group],MATCH(Edges[[#This Row],[Vertex 1]],GroupVertices[Vertex],0)),1,1,"")</f>
        <v>2</v>
      </c>
      <c r="R1465" s="80" t="str">
        <f>REPLACE(INDEX(GroupVertices[Group],MATCH(Edges[[#This Row],[Vertex 2]],GroupVertices[Vertex],0)),1,1,"")</f>
        <v>3</v>
      </c>
      <c r="S1465" s="34"/>
      <c r="T1465" s="34"/>
      <c r="U1465" s="34"/>
      <c r="V1465" s="34"/>
      <c r="W1465" s="34"/>
      <c r="X1465" s="34"/>
      <c r="Y1465" s="34"/>
      <c r="Z1465" s="34"/>
      <c r="AA1465" s="34"/>
    </row>
    <row r="1466" spans="1:27" ht="15">
      <c r="A1466" s="66" t="s">
        <v>243</v>
      </c>
      <c r="B1466" s="66" t="s">
        <v>239</v>
      </c>
      <c r="C1466" s="67" t="s">
        <v>4454</v>
      </c>
      <c r="D1466" s="68">
        <v>5</v>
      </c>
      <c r="E1466" s="69"/>
      <c r="F1466" s="70">
        <v>20</v>
      </c>
      <c r="G1466" s="67"/>
      <c r="H1466" s="71"/>
      <c r="I1466" s="72"/>
      <c r="J1466" s="72"/>
      <c r="K1466" s="34" t="s">
        <v>66</v>
      </c>
      <c r="L1466" s="79">
        <v>1466</v>
      </c>
      <c r="M1466" s="79"/>
      <c r="N1466" s="74"/>
      <c r="O1466" s="81" t="s">
        <v>944</v>
      </c>
      <c r="P1466">
        <v>1</v>
      </c>
      <c r="Q1466" s="80" t="str">
        <f>REPLACE(INDEX(GroupVertices[Group],MATCH(Edges[[#This Row],[Vertex 1]],GroupVertices[Vertex],0)),1,1,"")</f>
        <v>2</v>
      </c>
      <c r="R1466" s="80" t="str">
        <f>REPLACE(INDEX(GroupVertices[Group],MATCH(Edges[[#This Row],[Vertex 2]],GroupVertices[Vertex],0)),1,1,"")</f>
        <v>3</v>
      </c>
      <c r="S1466" s="34"/>
      <c r="T1466" s="34"/>
      <c r="U1466" s="34"/>
      <c r="V1466" s="34"/>
      <c r="W1466" s="34"/>
      <c r="X1466" s="34"/>
      <c r="Y1466" s="34"/>
      <c r="Z1466" s="34"/>
      <c r="AA1466" s="34"/>
    </row>
    <row r="1467" spans="1:27" ht="15">
      <c r="A1467" s="66" t="s">
        <v>246</v>
      </c>
      <c r="B1467" s="66" t="s">
        <v>239</v>
      </c>
      <c r="C1467" s="67" t="s">
        <v>4454</v>
      </c>
      <c r="D1467" s="68">
        <v>5</v>
      </c>
      <c r="E1467" s="69"/>
      <c r="F1467" s="70">
        <v>20</v>
      </c>
      <c r="G1467" s="67"/>
      <c r="H1467" s="71"/>
      <c r="I1467" s="72"/>
      <c r="J1467" s="72"/>
      <c r="K1467" s="34" t="s">
        <v>66</v>
      </c>
      <c r="L1467" s="79">
        <v>1467</v>
      </c>
      <c r="M1467" s="79"/>
      <c r="N1467" s="74"/>
      <c r="O1467" s="81" t="s">
        <v>944</v>
      </c>
      <c r="P1467">
        <v>1</v>
      </c>
      <c r="Q1467" s="80" t="str">
        <f>REPLACE(INDEX(GroupVertices[Group],MATCH(Edges[[#This Row],[Vertex 1]],GroupVertices[Vertex],0)),1,1,"")</f>
        <v>2</v>
      </c>
      <c r="R1467" s="80" t="str">
        <f>REPLACE(INDEX(GroupVertices[Group],MATCH(Edges[[#This Row],[Vertex 2]],GroupVertices[Vertex],0)),1,1,"")</f>
        <v>3</v>
      </c>
      <c r="S1467" s="34"/>
      <c r="T1467" s="34"/>
      <c r="U1467" s="34"/>
      <c r="V1467" s="34"/>
      <c r="W1467" s="34"/>
      <c r="X1467" s="34"/>
      <c r="Y1467" s="34"/>
      <c r="Z1467" s="34"/>
      <c r="AA1467" s="34"/>
    </row>
    <row r="1468" spans="1:27" ht="15">
      <c r="A1468" s="66" t="s">
        <v>247</v>
      </c>
      <c r="B1468" s="66" t="s">
        <v>239</v>
      </c>
      <c r="C1468" s="67" t="s">
        <v>4454</v>
      </c>
      <c r="D1468" s="68">
        <v>5</v>
      </c>
      <c r="E1468" s="69"/>
      <c r="F1468" s="70">
        <v>20</v>
      </c>
      <c r="G1468" s="67"/>
      <c r="H1468" s="71"/>
      <c r="I1468" s="72"/>
      <c r="J1468" s="72"/>
      <c r="K1468" s="34" t="s">
        <v>66</v>
      </c>
      <c r="L1468" s="79">
        <v>1468</v>
      </c>
      <c r="M1468" s="79"/>
      <c r="N1468" s="74"/>
      <c r="O1468" s="81" t="s">
        <v>944</v>
      </c>
      <c r="P1468">
        <v>1</v>
      </c>
      <c r="Q1468" s="80" t="str">
        <f>REPLACE(INDEX(GroupVertices[Group],MATCH(Edges[[#This Row],[Vertex 1]],GroupVertices[Vertex],0)),1,1,"")</f>
        <v>2</v>
      </c>
      <c r="R1468" s="80" t="str">
        <f>REPLACE(INDEX(GroupVertices[Group],MATCH(Edges[[#This Row],[Vertex 2]],GroupVertices[Vertex],0)),1,1,"")</f>
        <v>3</v>
      </c>
      <c r="S1468" s="34"/>
      <c r="T1468" s="34"/>
      <c r="U1468" s="34"/>
      <c r="V1468" s="34"/>
      <c r="W1468" s="34"/>
      <c r="X1468" s="34"/>
      <c r="Y1468" s="34"/>
      <c r="Z1468" s="34"/>
      <c r="AA1468" s="34"/>
    </row>
    <row r="1469" spans="1:27" ht="15">
      <c r="A1469" s="66" t="s">
        <v>249</v>
      </c>
      <c r="B1469" s="66" t="s">
        <v>239</v>
      </c>
      <c r="C1469" s="67" t="s">
        <v>4454</v>
      </c>
      <c r="D1469" s="68">
        <v>5</v>
      </c>
      <c r="E1469" s="69"/>
      <c r="F1469" s="70">
        <v>20</v>
      </c>
      <c r="G1469" s="67"/>
      <c r="H1469" s="71"/>
      <c r="I1469" s="72"/>
      <c r="J1469" s="72"/>
      <c r="K1469" s="34" t="s">
        <v>66</v>
      </c>
      <c r="L1469" s="79">
        <v>1469</v>
      </c>
      <c r="M1469" s="79"/>
      <c r="N1469" s="74"/>
      <c r="O1469" s="81" t="s">
        <v>944</v>
      </c>
      <c r="P1469">
        <v>1</v>
      </c>
      <c r="Q1469" s="80" t="str">
        <f>REPLACE(INDEX(GroupVertices[Group],MATCH(Edges[[#This Row],[Vertex 1]],GroupVertices[Vertex],0)),1,1,"")</f>
        <v>2</v>
      </c>
      <c r="R1469" s="80" t="str">
        <f>REPLACE(INDEX(GroupVertices[Group],MATCH(Edges[[#This Row],[Vertex 2]],GroupVertices[Vertex],0)),1,1,"")</f>
        <v>3</v>
      </c>
      <c r="S1469" s="34"/>
      <c r="T1469" s="34"/>
      <c r="U1469" s="34"/>
      <c r="V1469" s="34"/>
      <c r="W1469" s="34"/>
      <c r="X1469" s="34"/>
      <c r="Y1469" s="34"/>
      <c r="Z1469" s="34"/>
      <c r="AA1469" s="34"/>
    </row>
    <row r="1470" spans="1:27" ht="15">
      <c r="A1470" s="66" t="s">
        <v>250</v>
      </c>
      <c r="B1470" s="66" t="s">
        <v>239</v>
      </c>
      <c r="C1470" s="67" t="s">
        <v>4454</v>
      </c>
      <c r="D1470" s="68">
        <v>5</v>
      </c>
      <c r="E1470" s="69"/>
      <c r="F1470" s="70">
        <v>20</v>
      </c>
      <c r="G1470" s="67"/>
      <c r="H1470" s="71"/>
      <c r="I1470" s="72"/>
      <c r="J1470" s="72"/>
      <c r="K1470" s="34" t="s">
        <v>66</v>
      </c>
      <c r="L1470" s="79">
        <v>1470</v>
      </c>
      <c r="M1470" s="79"/>
      <c r="N1470" s="74"/>
      <c r="O1470" s="81" t="s">
        <v>944</v>
      </c>
      <c r="P1470">
        <v>1</v>
      </c>
      <c r="Q1470" s="80" t="str">
        <f>REPLACE(INDEX(GroupVertices[Group],MATCH(Edges[[#This Row],[Vertex 1]],GroupVertices[Vertex],0)),1,1,"")</f>
        <v>2</v>
      </c>
      <c r="R1470" s="80" t="str">
        <f>REPLACE(INDEX(GroupVertices[Group],MATCH(Edges[[#This Row],[Vertex 2]],GroupVertices[Vertex],0)),1,1,"")</f>
        <v>3</v>
      </c>
      <c r="S1470" s="34"/>
      <c r="T1470" s="34"/>
      <c r="U1470" s="34"/>
      <c r="V1470" s="34"/>
      <c r="W1470" s="34"/>
      <c r="X1470" s="34"/>
      <c r="Y1470" s="34"/>
      <c r="Z1470" s="34"/>
      <c r="AA1470" s="34"/>
    </row>
    <row r="1471" spans="1:27" ht="15">
      <c r="A1471" s="66" t="s">
        <v>255</v>
      </c>
      <c r="B1471" s="66" t="s">
        <v>239</v>
      </c>
      <c r="C1471" s="67" t="s">
        <v>4454</v>
      </c>
      <c r="D1471" s="68">
        <v>5</v>
      </c>
      <c r="E1471" s="69"/>
      <c r="F1471" s="70">
        <v>20</v>
      </c>
      <c r="G1471" s="67"/>
      <c r="H1471" s="71"/>
      <c r="I1471" s="72"/>
      <c r="J1471" s="72"/>
      <c r="K1471" s="34" t="s">
        <v>66</v>
      </c>
      <c r="L1471" s="79">
        <v>1471</v>
      </c>
      <c r="M1471" s="79"/>
      <c r="N1471" s="74"/>
      <c r="O1471" s="81" t="s">
        <v>944</v>
      </c>
      <c r="P1471">
        <v>1</v>
      </c>
      <c r="Q1471" s="80" t="str">
        <f>REPLACE(INDEX(GroupVertices[Group],MATCH(Edges[[#This Row],[Vertex 1]],GroupVertices[Vertex],0)),1,1,"")</f>
        <v>4</v>
      </c>
      <c r="R1471" s="80" t="str">
        <f>REPLACE(INDEX(GroupVertices[Group],MATCH(Edges[[#This Row],[Vertex 2]],GroupVertices[Vertex],0)),1,1,"")</f>
        <v>3</v>
      </c>
      <c r="S1471" s="34"/>
      <c r="T1471" s="34"/>
      <c r="U1471" s="34"/>
      <c r="V1471" s="34"/>
      <c r="W1471" s="34"/>
      <c r="X1471" s="34"/>
      <c r="Y1471" s="34"/>
      <c r="Z1471" s="34"/>
      <c r="AA1471" s="34"/>
    </row>
    <row r="1472" spans="1:27" ht="15">
      <c r="A1472" s="66" t="s">
        <v>256</v>
      </c>
      <c r="B1472" s="66" t="s">
        <v>239</v>
      </c>
      <c r="C1472" s="67" t="s">
        <v>4454</v>
      </c>
      <c r="D1472" s="68">
        <v>5</v>
      </c>
      <c r="E1472" s="69"/>
      <c r="F1472" s="70">
        <v>20</v>
      </c>
      <c r="G1472" s="67"/>
      <c r="H1472" s="71"/>
      <c r="I1472" s="72"/>
      <c r="J1472" s="72"/>
      <c r="K1472" s="34" t="s">
        <v>66</v>
      </c>
      <c r="L1472" s="79">
        <v>1472</v>
      </c>
      <c r="M1472" s="79"/>
      <c r="N1472" s="74"/>
      <c r="O1472" s="81" t="s">
        <v>944</v>
      </c>
      <c r="P1472">
        <v>1</v>
      </c>
      <c r="Q1472" s="80" t="str">
        <f>REPLACE(INDEX(GroupVertices[Group],MATCH(Edges[[#This Row],[Vertex 1]],GroupVertices[Vertex],0)),1,1,"")</f>
        <v>1</v>
      </c>
      <c r="R1472" s="80" t="str">
        <f>REPLACE(INDEX(GroupVertices[Group],MATCH(Edges[[#This Row],[Vertex 2]],GroupVertices[Vertex],0)),1,1,"")</f>
        <v>3</v>
      </c>
      <c r="S1472" s="34"/>
      <c r="T1472" s="34"/>
      <c r="U1472" s="34"/>
      <c r="V1472" s="34"/>
      <c r="W1472" s="34"/>
      <c r="X1472" s="34"/>
      <c r="Y1472" s="34"/>
      <c r="Z1472" s="34"/>
      <c r="AA1472" s="34"/>
    </row>
    <row r="1473" spans="1:27" ht="15">
      <c r="A1473" s="66" t="s">
        <v>257</v>
      </c>
      <c r="B1473" s="66" t="s">
        <v>239</v>
      </c>
      <c r="C1473" s="67" t="s">
        <v>4454</v>
      </c>
      <c r="D1473" s="68">
        <v>5</v>
      </c>
      <c r="E1473" s="69"/>
      <c r="F1473" s="70">
        <v>20</v>
      </c>
      <c r="G1473" s="67"/>
      <c r="H1473" s="71"/>
      <c r="I1473" s="72"/>
      <c r="J1473" s="72"/>
      <c r="K1473" s="34" t="s">
        <v>66</v>
      </c>
      <c r="L1473" s="79">
        <v>1473</v>
      </c>
      <c r="M1473" s="79"/>
      <c r="N1473" s="74"/>
      <c r="O1473" s="81" t="s">
        <v>944</v>
      </c>
      <c r="P1473">
        <v>1</v>
      </c>
      <c r="Q1473" s="80" t="str">
        <f>REPLACE(INDEX(GroupVertices[Group],MATCH(Edges[[#This Row],[Vertex 1]],GroupVertices[Vertex],0)),1,1,"")</f>
        <v>2</v>
      </c>
      <c r="R1473" s="80" t="str">
        <f>REPLACE(INDEX(GroupVertices[Group],MATCH(Edges[[#This Row],[Vertex 2]],GroupVertices[Vertex],0)),1,1,"")</f>
        <v>3</v>
      </c>
      <c r="S1473" s="34"/>
      <c r="T1473" s="34"/>
      <c r="U1473" s="34"/>
      <c r="V1473" s="34"/>
      <c r="W1473" s="34"/>
      <c r="X1473" s="34"/>
      <c r="Y1473" s="34"/>
      <c r="Z1473" s="34"/>
      <c r="AA1473" s="34"/>
    </row>
    <row r="1474" spans="1:27" ht="15">
      <c r="A1474" s="66" t="s">
        <v>258</v>
      </c>
      <c r="B1474" s="66" t="s">
        <v>870</v>
      </c>
      <c r="C1474" s="67" t="s">
        <v>4454</v>
      </c>
      <c r="D1474" s="68">
        <v>5</v>
      </c>
      <c r="E1474" s="69"/>
      <c r="F1474" s="70">
        <v>20</v>
      </c>
      <c r="G1474" s="67"/>
      <c r="H1474" s="71"/>
      <c r="I1474" s="72"/>
      <c r="J1474" s="72"/>
      <c r="K1474" s="34" t="s">
        <v>65</v>
      </c>
      <c r="L1474" s="79">
        <v>1474</v>
      </c>
      <c r="M1474" s="79"/>
      <c r="N1474" s="74"/>
      <c r="O1474" s="81" t="s">
        <v>944</v>
      </c>
      <c r="P1474">
        <v>1</v>
      </c>
      <c r="Q1474" s="80" t="str">
        <f>REPLACE(INDEX(GroupVertices[Group],MATCH(Edges[[#This Row],[Vertex 1]],GroupVertices[Vertex],0)),1,1,"")</f>
        <v>1</v>
      </c>
      <c r="R1474" s="80" t="str">
        <f>REPLACE(INDEX(GroupVertices[Group],MATCH(Edges[[#This Row],[Vertex 2]],GroupVertices[Vertex],0)),1,1,"")</f>
        <v>1</v>
      </c>
      <c r="S1474" s="34"/>
      <c r="T1474" s="34"/>
      <c r="U1474" s="34"/>
      <c r="V1474" s="34"/>
      <c r="W1474" s="34"/>
      <c r="X1474" s="34"/>
      <c r="Y1474" s="34"/>
      <c r="Z1474" s="34"/>
      <c r="AA1474" s="34"/>
    </row>
    <row r="1475" spans="1:27" ht="15">
      <c r="A1475" s="66" t="s">
        <v>242</v>
      </c>
      <c r="B1475" s="66" t="s">
        <v>879</v>
      </c>
      <c r="C1475" s="67" t="s">
        <v>4454</v>
      </c>
      <c r="D1475" s="68">
        <v>5</v>
      </c>
      <c r="E1475" s="69"/>
      <c r="F1475" s="70">
        <v>20</v>
      </c>
      <c r="G1475" s="67"/>
      <c r="H1475" s="71"/>
      <c r="I1475" s="72"/>
      <c r="J1475" s="72"/>
      <c r="K1475" s="34" t="s">
        <v>65</v>
      </c>
      <c r="L1475" s="79">
        <v>1475</v>
      </c>
      <c r="M1475" s="79"/>
      <c r="N1475" s="74"/>
      <c r="O1475" s="81" t="s">
        <v>944</v>
      </c>
      <c r="P1475">
        <v>1</v>
      </c>
      <c r="Q1475" s="80" t="str">
        <f>REPLACE(INDEX(GroupVertices[Group],MATCH(Edges[[#This Row],[Vertex 1]],GroupVertices[Vertex],0)),1,1,"")</f>
        <v>1</v>
      </c>
      <c r="R1475" s="80" t="str">
        <f>REPLACE(INDEX(GroupVertices[Group],MATCH(Edges[[#This Row],[Vertex 2]],GroupVertices[Vertex],0)),1,1,"")</f>
        <v>1</v>
      </c>
      <c r="S1475" s="34"/>
      <c r="T1475" s="34"/>
      <c r="U1475" s="34"/>
      <c r="V1475" s="34"/>
      <c r="W1475" s="34"/>
      <c r="X1475" s="34"/>
      <c r="Y1475" s="34"/>
      <c r="Z1475" s="34"/>
      <c r="AA1475" s="34"/>
    </row>
    <row r="1476" spans="1:27" ht="15">
      <c r="A1476" s="66" t="s">
        <v>256</v>
      </c>
      <c r="B1476" s="66" t="s">
        <v>879</v>
      </c>
      <c r="C1476" s="67" t="s">
        <v>4454</v>
      </c>
      <c r="D1476" s="68">
        <v>5</v>
      </c>
      <c r="E1476" s="69"/>
      <c r="F1476" s="70">
        <v>20</v>
      </c>
      <c r="G1476" s="67"/>
      <c r="H1476" s="71"/>
      <c r="I1476" s="72"/>
      <c r="J1476" s="72"/>
      <c r="K1476" s="34" t="s">
        <v>65</v>
      </c>
      <c r="L1476" s="79">
        <v>1476</v>
      </c>
      <c r="M1476" s="79"/>
      <c r="N1476" s="74"/>
      <c r="O1476" s="81" t="s">
        <v>944</v>
      </c>
      <c r="P1476">
        <v>1</v>
      </c>
      <c r="Q1476" s="80" t="str">
        <f>REPLACE(INDEX(GroupVertices[Group],MATCH(Edges[[#This Row],[Vertex 1]],GroupVertices[Vertex],0)),1,1,"")</f>
        <v>1</v>
      </c>
      <c r="R1476" s="80" t="str">
        <f>REPLACE(INDEX(GroupVertices[Group],MATCH(Edges[[#This Row],[Vertex 2]],GroupVertices[Vertex],0)),1,1,"")</f>
        <v>1</v>
      </c>
      <c r="S1476" s="34"/>
      <c r="T1476" s="34"/>
      <c r="U1476" s="34"/>
      <c r="V1476" s="34"/>
      <c r="W1476" s="34"/>
      <c r="X1476" s="34"/>
      <c r="Y1476" s="34"/>
      <c r="Z1476" s="34"/>
      <c r="AA1476" s="34"/>
    </row>
    <row r="1477" spans="1:27" ht="15">
      <c r="A1477" s="66" t="s">
        <v>258</v>
      </c>
      <c r="B1477" s="66" t="s">
        <v>879</v>
      </c>
      <c r="C1477" s="67" t="s">
        <v>4454</v>
      </c>
      <c r="D1477" s="68">
        <v>5</v>
      </c>
      <c r="E1477" s="69"/>
      <c r="F1477" s="70">
        <v>20</v>
      </c>
      <c r="G1477" s="67"/>
      <c r="H1477" s="71"/>
      <c r="I1477" s="72"/>
      <c r="J1477" s="72"/>
      <c r="K1477" s="34" t="s">
        <v>65</v>
      </c>
      <c r="L1477" s="79">
        <v>1477</v>
      </c>
      <c r="M1477" s="79"/>
      <c r="N1477" s="74"/>
      <c r="O1477" s="81" t="s">
        <v>944</v>
      </c>
      <c r="P1477">
        <v>1</v>
      </c>
      <c r="Q1477" s="80" t="str">
        <f>REPLACE(INDEX(GroupVertices[Group],MATCH(Edges[[#This Row],[Vertex 1]],GroupVertices[Vertex],0)),1,1,"")</f>
        <v>1</v>
      </c>
      <c r="R1477" s="80" t="str">
        <f>REPLACE(INDEX(GroupVertices[Group],MATCH(Edges[[#This Row],[Vertex 2]],GroupVertices[Vertex],0)),1,1,"")</f>
        <v>1</v>
      </c>
      <c r="S1477" s="34"/>
      <c r="T1477" s="34"/>
      <c r="U1477" s="34"/>
      <c r="V1477" s="34"/>
      <c r="W1477" s="34"/>
      <c r="X1477" s="34"/>
      <c r="Y1477" s="34"/>
      <c r="Z1477" s="34"/>
      <c r="AA1477" s="34"/>
    </row>
    <row r="1478" spans="1:27" ht="15">
      <c r="A1478" s="66" t="s">
        <v>256</v>
      </c>
      <c r="B1478" s="66" t="s">
        <v>880</v>
      </c>
      <c r="C1478" s="67" t="s">
        <v>4454</v>
      </c>
      <c r="D1478" s="68">
        <v>5</v>
      </c>
      <c r="E1478" s="69"/>
      <c r="F1478" s="70">
        <v>20</v>
      </c>
      <c r="G1478" s="67"/>
      <c r="H1478" s="71"/>
      <c r="I1478" s="72"/>
      <c r="J1478" s="72"/>
      <c r="K1478" s="34" t="s">
        <v>65</v>
      </c>
      <c r="L1478" s="79">
        <v>1478</v>
      </c>
      <c r="M1478" s="79"/>
      <c r="N1478" s="74"/>
      <c r="O1478" s="81" t="s">
        <v>944</v>
      </c>
      <c r="P1478">
        <v>1</v>
      </c>
      <c r="Q1478" s="80" t="str">
        <f>REPLACE(INDEX(GroupVertices[Group],MATCH(Edges[[#This Row],[Vertex 1]],GroupVertices[Vertex],0)),1,1,"")</f>
        <v>1</v>
      </c>
      <c r="R1478" s="80" t="str">
        <f>REPLACE(INDEX(GroupVertices[Group],MATCH(Edges[[#This Row],[Vertex 2]],GroupVertices[Vertex],0)),1,1,"")</f>
        <v>1</v>
      </c>
      <c r="S1478" s="34"/>
      <c r="T1478" s="34"/>
      <c r="U1478" s="34"/>
      <c r="V1478" s="34"/>
      <c r="W1478" s="34"/>
      <c r="X1478" s="34"/>
      <c r="Y1478" s="34"/>
      <c r="Z1478" s="34"/>
      <c r="AA1478" s="34"/>
    </row>
    <row r="1479" spans="1:27" ht="15">
      <c r="A1479" s="66" t="s">
        <v>258</v>
      </c>
      <c r="B1479" s="66" t="s">
        <v>880</v>
      </c>
      <c r="C1479" s="67" t="s">
        <v>4454</v>
      </c>
      <c r="D1479" s="68">
        <v>5</v>
      </c>
      <c r="E1479" s="69"/>
      <c r="F1479" s="70">
        <v>20</v>
      </c>
      <c r="G1479" s="67"/>
      <c r="H1479" s="71"/>
      <c r="I1479" s="72"/>
      <c r="J1479" s="72"/>
      <c r="K1479" s="34" t="s">
        <v>65</v>
      </c>
      <c r="L1479" s="79">
        <v>1479</v>
      </c>
      <c r="M1479" s="79"/>
      <c r="N1479" s="74"/>
      <c r="O1479" s="81" t="s">
        <v>944</v>
      </c>
      <c r="P1479">
        <v>1</v>
      </c>
      <c r="Q1479" s="80" t="str">
        <f>REPLACE(INDEX(GroupVertices[Group],MATCH(Edges[[#This Row],[Vertex 1]],GroupVertices[Vertex],0)),1,1,"")</f>
        <v>1</v>
      </c>
      <c r="R1479" s="80" t="str">
        <f>REPLACE(INDEX(GroupVertices[Group],MATCH(Edges[[#This Row],[Vertex 2]],GroupVertices[Vertex],0)),1,1,"")</f>
        <v>1</v>
      </c>
      <c r="S1479" s="34"/>
      <c r="T1479" s="34"/>
      <c r="U1479" s="34"/>
      <c r="V1479" s="34"/>
      <c r="W1479" s="34"/>
      <c r="X1479" s="34"/>
      <c r="Y1479" s="34"/>
      <c r="Z1479" s="34"/>
      <c r="AA1479" s="34"/>
    </row>
    <row r="1480" spans="1:27" ht="15">
      <c r="A1480" s="66" t="s">
        <v>232</v>
      </c>
      <c r="B1480" s="66" t="s">
        <v>600</v>
      </c>
      <c r="C1480" s="67" t="s">
        <v>4454</v>
      </c>
      <c r="D1480" s="68">
        <v>5</v>
      </c>
      <c r="E1480" s="69"/>
      <c r="F1480" s="70">
        <v>20</v>
      </c>
      <c r="G1480" s="67"/>
      <c r="H1480" s="71"/>
      <c r="I1480" s="72"/>
      <c r="J1480" s="72"/>
      <c r="K1480" s="34" t="s">
        <v>65</v>
      </c>
      <c r="L1480" s="79">
        <v>1480</v>
      </c>
      <c r="M1480" s="79"/>
      <c r="N1480" s="74"/>
      <c r="O1480" s="81" t="s">
        <v>944</v>
      </c>
      <c r="P1480">
        <v>1</v>
      </c>
      <c r="Q1480" s="80" t="str">
        <f>REPLACE(INDEX(GroupVertices[Group],MATCH(Edges[[#This Row],[Vertex 1]],GroupVertices[Vertex],0)),1,1,"")</f>
        <v>1</v>
      </c>
      <c r="R1480" s="80" t="str">
        <f>REPLACE(INDEX(GroupVertices[Group],MATCH(Edges[[#This Row],[Vertex 2]],GroupVertices[Vertex],0)),1,1,"")</f>
        <v>1</v>
      </c>
      <c r="S1480" s="34"/>
      <c r="T1480" s="34"/>
      <c r="U1480" s="34"/>
      <c r="V1480" s="34"/>
      <c r="W1480" s="34"/>
      <c r="X1480" s="34"/>
      <c r="Y1480" s="34"/>
      <c r="Z1480" s="34"/>
      <c r="AA1480" s="34"/>
    </row>
    <row r="1481" spans="1:27" ht="15">
      <c r="A1481" s="66" t="s">
        <v>248</v>
      </c>
      <c r="B1481" s="66" t="s">
        <v>600</v>
      </c>
      <c r="C1481" s="67" t="s">
        <v>4454</v>
      </c>
      <c r="D1481" s="68">
        <v>5</v>
      </c>
      <c r="E1481" s="69"/>
      <c r="F1481" s="70">
        <v>20</v>
      </c>
      <c r="G1481" s="67"/>
      <c r="H1481" s="71"/>
      <c r="I1481" s="72"/>
      <c r="J1481" s="72"/>
      <c r="K1481" s="34" t="s">
        <v>65</v>
      </c>
      <c r="L1481" s="79">
        <v>1481</v>
      </c>
      <c r="M1481" s="79"/>
      <c r="N1481" s="74"/>
      <c r="O1481" s="81" t="s">
        <v>944</v>
      </c>
      <c r="P1481">
        <v>1</v>
      </c>
      <c r="Q1481" s="80" t="str">
        <f>REPLACE(INDEX(GroupVertices[Group],MATCH(Edges[[#This Row],[Vertex 1]],GroupVertices[Vertex],0)),1,1,"")</f>
        <v>1</v>
      </c>
      <c r="R1481" s="80" t="str">
        <f>REPLACE(INDEX(GroupVertices[Group],MATCH(Edges[[#This Row],[Vertex 2]],GroupVertices[Vertex],0)),1,1,"")</f>
        <v>1</v>
      </c>
      <c r="S1481" s="34"/>
      <c r="T1481" s="34"/>
      <c r="U1481" s="34"/>
      <c r="V1481" s="34"/>
      <c r="W1481" s="34"/>
      <c r="X1481" s="34"/>
      <c r="Y1481" s="34"/>
      <c r="Z1481" s="34"/>
      <c r="AA1481" s="34"/>
    </row>
    <row r="1482" spans="1:27" ht="15">
      <c r="A1482" s="66" t="s">
        <v>252</v>
      </c>
      <c r="B1482" s="66" t="s">
        <v>600</v>
      </c>
      <c r="C1482" s="67" t="s">
        <v>4454</v>
      </c>
      <c r="D1482" s="68">
        <v>5</v>
      </c>
      <c r="E1482" s="69"/>
      <c r="F1482" s="70">
        <v>20</v>
      </c>
      <c r="G1482" s="67"/>
      <c r="H1482" s="71"/>
      <c r="I1482" s="72"/>
      <c r="J1482" s="72"/>
      <c r="K1482" s="34" t="s">
        <v>65</v>
      </c>
      <c r="L1482" s="79">
        <v>1482</v>
      </c>
      <c r="M1482" s="79"/>
      <c r="N1482" s="74"/>
      <c r="O1482" s="81" t="s">
        <v>944</v>
      </c>
      <c r="P1482">
        <v>1</v>
      </c>
      <c r="Q1482" s="80" t="str">
        <f>REPLACE(INDEX(GroupVertices[Group],MATCH(Edges[[#This Row],[Vertex 1]],GroupVertices[Vertex],0)),1,1,"")</f>
        <v>1</v>
      </c>
      <c r="R1482" s="80" t="str">
        <f>REPLACE(INDEX(GroupVertices[Group],MATCH(Edges[[#This Row],[Vertex 2]],GroupVertices[Vertex],0)),1,1,"")</f>
        <v>1</v>
      </c>
      <c r="S1482" s="34"/>
      <c r="T1482" s="34"/>
      <c r="U1482" s="34"/>
      <c r="V1482" s="34"/>
      <c r="W1482" s="34"/>
      <c r="X1482" s="34"/>
      <c r="Y1482" s="34"/>
      <c r="Z1482" s="34"/>
      <c r="AA1482" s="34"/>
    </row>
    <row r="1483" spans="1:27" ht="15">
      <c r="A1483" s="66" t="s">
        <v>258</v>
      </c>
      <c r="B1483" s="66" t="s">
        <v>600</v>
      </c>
      <c r="C1483" s="67" t="s">
        <v>4454</v>
      </c>
      <c r="D1483" s="68">
        <v>5</v>
      </c>
      <c r="E1483" s="69"/>
      <c r="F1483" s="70">
        <v>20</v>
      </c>
      <c r="G1483" s="67"/>
      <c r="H1483" s="71"/>
      <c r="I1483" s="72"/>
      <c r="J1483" s="72"/>
      <c r="K1483" s="34" t="s">
        <v>65</v>
      </c>
      <c r="L1483" s="79">
        <v>1483</v>
      </c>
      <c r="M1483" s="79"/>
      <c r="N1483" s="74"/>
      <c r="O1483" s="81" t="s">
        <v>944</v>
      </c>
      <c r="P1483">
        <v>1</v>
      </c>
      <c r="Q1483" s="80" t="str">
        <f>REPLACE(INDEX(GroupVertices[Group],MATCH(Edges[[#This Row],[Vertex 1]],GroupVertices[Vertex],0)),1,1,"")</f>
        <v>1</v>
      </c>
      <c r="R1483" s="80" t="str">
        <f>REPLACE(INDEX(GroupVertices[Group],MATCH(Edges[[#This Row],[Vertex 2]],GroupVertices[Vertex],0)),1,1,"")</f>
        <v>1</v>
      </c>
      <c r="S1483" s="34"/>
      <c r="T1483" s="34"/>
      <c r="U1483" s="34"/>
      <c r="V1483" s="34"/>
      <c r="W1483" s="34"/>
      <c r="X1483" s="34"/>
      <c r="Y1483" s="34"/>
      <c r="Z1483" s="34"/>
      <c r="AA1483" s="34"/>
    </row>
    <row r="1484" spans="1:27" ht="15">
      <c r="A1484" s="66" t="s">
        <v>220</v>
      </c>
      <c r="B1484" s="66" t="s">
        <v>234</v>
      </c>
      <c r="C1484" s="67" t="s">
        <v>4454</v>
      </c>
      <c r="D1484" s="68">
        <v>5</v>
      </c>
      <c r="E1484" s="69"/>
      <c r="F1484" s="70">
        <v>20</v>
      </c>
      <c r="G1484" s="67"/>
      <c r="H1484" s="71"/>
      <c r="I1484" s="72"/>
      <c r="J1484" s="72"/>
      <c r="K1484" s="34" t="s">
        <v>66</v>
      </c>
      <c r="L1484" s="79">
        <v>1484</v>
      </c>
      <c r="M1484" s="79"/>
      <c r="N1484" s="74"/>
      <c r="O1484" s="81" t="s">
        <v>944</v>
      </c>
      <c r="P1484">
        <v>1</v>
      </c>
      <c r="Q1484" s="80" t="str">
        <f>REPLACE(INDEX(GroupVertices[Group],MATCH(Edges[[#This Row],[Vertex 1]],GroupVertices[Vertex],0)),1,1,"")</f>
        <v>2</v>
      </c>
      <c r="R1484" s="80" t="str">
        <f>REPLACE(INDEX(GroupVertices[Group],MATCH(Edges[[#This Row],[Vertex 2]],GroupVertices[Vertex],0)),1,1,"")</f>
        <v>4</v>
      </c>
      <c r="S1484" s="34"/>
      <c r="T1484" s="34"/>
      <c r="U1484" s="34"/>
      <c r="V1484" s="34"/>
      <c r="W1484" s="34"/>
      <c r="X1484" s="34"/>
      <c r="Y1484" s="34"/>
      <c r="Z1484" s="34"/>
      <c r="AA1484" s="34"/>
    </row>
    <row r="1485" spans="1:27" ht="15">
      <c r="A1485" s="66" t="s">
        <v>221</v>
      </c>
      <c r="B1485" s="66" t="s">
        <v>234</v>
      </c>
      <c r="C1485" s="67" t="s">
        <v>4454</v>
      </c>
      <c r="D1485" s="68">
        <v>5</v>
      </c>
      <c r="E1485" s="69"/>
      <c r="F1485" s="70">
        <v>20</v>
      </c>
      <c r="G1485" s="67"/>
      <c r="H1485" s="71"/>
      <c r="I1485" s="72"/>
      <c r="J1485" s="72"/>
      <c r="K1485" s="34" t="s">
        <v>65</v>
      </c>
      <c r="L1485" s="79">
        <v>1485</v>
      </c>
      <c r="M1485" s="79"/>
      <c r="N1485" s="74"/>
      <c r="O1485" s="81" t="s">
        <v>944</v>
      </c>
      <c r="P1485">
        <v>1</v>
      </c>
      <c r="Q1485" s="80" t="str">
        <f>REPLACE(INDEX(GroupVertices[Group],MATCH(Edges[[#This Row],[Vertex 1]],GroupVertices[Vertex],0)),1,1,"")</f>
        <v>2</v>
      </c>
      <c r="R1485" s="80" t="str">
        <f>REPLACE(INDEX(GroupVertices[Group],MATCH(Edges[[#This Row],[Vertex 2]],GroupVertices[Vertex],0)),1,1,"")</f>
        <v>4</v>
      </c>
      <c r="S1485" s="34"/>
      <c r="T1485" s="34"/>
      <c r="U1485" s="34"/>
      <c r="V1485" s="34"/>
      <c r="W1485" s="34"/>
      <c r="X1485" s="34"/>
      <c r="Y1485" s="34"/>
      <c r="Z1485" s="34"/>
      <c r="AA1485" s="34"/>
    </row>
    <row r="1486" spans="1:27" ht="15">
      <c r="A1486" s="66" t="s">
        <v>223</v>
      </c>
      <c r="B1486" s="66" t="s">
        <v>234</v>
      </c>
      <c r="C1486" s="67" t="s">
        <v>4454</v>
      </c>
      <c r="D1486" s="68">
        <v>5</v>
      </c>
      <c r="E1486" s="69"/>
      <c r="F1486" s="70">
        <v>20</v>
      </c>
      <c r="G1486" s="67"/>
      <c r="H1486" s="71"/>
      <c r="I1486" s="72"/>
      <c r="J1486" s="72"/>
      <c r="K1486" s="34" t="s">
        <v>66</v>
      </c>
      <c r="L1486" s="79">
        <v>1486</v>
      </c>
      <c r="M1486" s="79"/>
      <c r="N1486" s="74"/>
      <c r="O1486" s="81" t="s">
        <v>944</v>
      </c>
      <c r="P1486">
        <v>1</v>
      </c>
      <c r="Q1486" s="80" t="str">
        <f>REPLACE(INDEX(GroupVertices[Group],MATCH(Edges[[#This Row],[Vertex 1]],GroupVertices[Vertex],0)),1,1,"")</f>
        <v>3</v>
      </c>
      <c r="R1486" s="80" t="str">
        <f>REPLACE(INDEX(GroupVertices[Group],MATCH(Edges[[#This Row],[Vertex 2]],GroupVertices[Vertex],0)),1,1,"")</f>
        <v>4</v>
      </c>
      <c r="S1486" s="34"/>
      <c r="T1486" s="34"/>
      <c r="U1486" s="34"/>
      <c r="V1486" s="34"/>
      <c r="W1486" s="34"/>
      <c r="X1486" s="34"/>
      <c r="Y1486" s="34"/>
      <c r="Z1486" s="34"/>
      <c r="AA1486" s="34"/>
    </row>
    <row r="1487" spans="1:27" ht="15">
      <c r="A1487" s="66" t="s">
        <v>224</v>
      </c>
      <c r="B1487" s="66" t="s">
        <v>234</v>
      </c>
      <c r="C1487" s="67" t="s">
        <v>4454</v>
      </c>
      <c r="D1487" s="68">
        <v>5</v>
      </c>
      <c r="E1487" s="69"/>
      <c r="F1487" s="70">
        <v>20</v>
      </c>
      <c r="G1487" s="67"/>
      <c r="H1487" s="71"/>
      <c r="I1487" s="72"/>
      <c r="J1487" s="72"/>
      <c r="K1487" s="34" t="s">
        <v>65</v>
      </c>
      <c r="L1487" s="79">
        <v>1487</v>
      </c>
      <c r="M1487" s="79"/>
      <c r="N1487" s="74"/>
      <c r="O1487" s="81" t="s">
        <v>944</v>
      </c>
      <c r="P1487">
        <v>1</v>
      </c>
      <c r="Q1487" s="80" t="str">
        <f>REPLACE(INDEX(GroupVertices[Group],MATCH(Edges[[#This Row],[Vertex 1]],GroupVertices[Vertex],0)),1,1,"")</f>
        <v>2</v>
      </c>
      <c r="R1487" s="80" t="str">
        <f>REPLACE(INDEX(GroupVertices[Group],MATCH(Edges[[#This Row],[Vertex 2]],GroupVertices[Vertex],0)),1,1,"")</f>
        <v>4</v>
      </c>
      <c r="S1487" s="34"/>
      <c r="T1487" s="34"/>
      <c r="U1487" s="34"/>
      <c r="V1487" s="34"/>
      <c r="W1487" s="34"/>
      <c r="X1487" s="34"/>
      <c r="Y1487" s="34"/>
      <c r="Z1487" s="34"/>
      <c r="AA1487" s="34"/>
    </row>
    <row r="1488" spans="1:27" ht="15">
      <c r="A1488" s="66" t="s">
        <v>234</v>
      </c>
      <c r="B1488" s="66" t="s">
        <v>246</v>
      </c>
      <c r="C1488" s="67" t="s">
        <v>4454</v>
      </c>
      <c r="D1488" s="68">
        <v>5</v>
      </c>
      <c r="E1488" s="69"/>
      <c r="F1488" s="70">
        <v>20</v>
      </c>
      <c r="G1488" s="67"/>
      <c r="H1488" s="71"/>
      <c r="I1488" s="72"/>
      <c r="J1488" s="72"/>
      <c r="K1488" s="34" t="s">
        <v>66</v>
      </c>
      <c r="L1488" s="79">
        <v>1488</v>
      </c>
      <c r="M1488" s="79"/>
      <c r="N1488" s="74"/>
      <c r="O1488" s="81" t="s">
        <v>944</v>
      </c>
      <c r="P1488">
        <v>1</v>
      </c>
      <c r="Q1488" s="80" t="str">
        <f>REPLACE(INDEX(GroupVertices[Group],MATCH(Edges[[#This Row],[Vertex 1]],GroupVertices[Vertex],0)),1,1,"")</f>
        <v>4</v>
      </c>
      <c r="R1488" s="80" t="str">
        <f>REPLACE(INDEX(GroupVertices[Group],MATCH(Edges[[#This Row],[Vertex 2]],GroupVertices[Vertex],0)),1,1,"")</f>
        <v>2</v>
      </c>
      <c r="S1488" s="34"/>
      <c r="T1488" s="34"/>
      <c r="U1488" s="34"/>
      <c r="V1488" s="34"/>
      <c r="W1488" s="34"/>
      <c r="X1488" s="34"/>
      <c r="Y1488" s="34"/>
      <c r="Z1488" s="34"/>
      <c r="AA1488" s="34"/>
    </row>
    <row r="1489" spans="1:27" ht="15">
      <c r="A1489" s="66" t="s">
        <v>234</v>
      </c>
      <c r="B1489" s="66" t="s">
        <v>242</v>
      </c>
      <c r="C1489" s="67" t="s">
        <v>4454</v>
      </c>
      <c r="D1489" s="68">
        <v>5</v>
      </c>
      <c r="E1489" s="69"/>
      <c r="F1489" s="70">
        <v>20</v>
      </c>
      <c r="G1489" s="67"/>
      <c r="H1489" s="71"/>
      <c r="I1489" s="72"/>
      <c r="J1489" s="72"/>
      <c r="K1489" s="34" t="s">
        <v>65</v>
      </c>
      <c r="L1489" s="79">
        <v>1489</v>
      </c>
      <c r="M1489" s="79"/>
      <c r="N1489" s="74"/>
      <c r="O1489" s="81" t="s">
        <v>944</v>
      </c>
      <c r="P1489">
        <v>1</v>
      </c>
      <c r="Q1489" s="80" t="str">
        <f>REPLACE(INDEX(GroupVertices[Group],MATCH(Edges[[#This Row],[Vertex 1]],GroupVertices[Vertex],0)),1,1,"")</f>
        <v>4</v>
      </c>
      <c r="R1489" s="80" t="str">
        <f>REPLACE(INDEX(GroupVertices[Group],MATCH(Edges[[#This Row],[Vertex 2]],GroupVertices[Vertex],0)),1,1,"")</f>
        <v>1</v>
      </c>
      <c r="S1489" s="34"/>
      <c r="T1489" s="34"/>
      <c r="U1489" s="34"/>
      <c r="V1489" s="34"/>
      <c r="W1489" s="34"/>
      <c r="X1489" s="34"/>
      <c r="Y1489" s="34"/>
      <c r="Z1489" s="34"/>
      <c r="AA1489" s="34"/>
    </row>
    <row r="1490" spans="1:27" ht="15">
      <c r="A1490" s="66" t="s">
        <v>234</v>
      </c>
      <c r="B1490" s="66" t="s">
        <v>257</v>
      </c>
      <c r="C1490" s="67" t="s">
        <v>4454</v>
      </c>
      <c r="D1490" s="68">
        <v>5</v>
      </c>
      <c r="E1490" s="69"/>
      <c r="F1490" s="70">
        <v>20</v>
      </c>
      <c r="G1490" s="67"/>
      <c r="H1490" s="71"/>
      <c r="I1490" s="72"/>
      <c r="J1490" s="72"/>
      <c r="K1490" s="34" t="s">
        <v>65</v>
      </c>
      <c r="L1490" s="79">
        <v>1490</v>
      </c>
      <c r="M1490" s="79"/>
      <c r="N1490" s="74"/>
      <c r="O1490" s="81" t="s">
        <v>944</v>
      </c>
      <c r="P1490">
        <v>1</v>
      </c>
      <c r="Q1490" s="80" t="str">
        <f>REPLACE(INDEX(GroupVertices[Group],MATCH(Edges[[#This Row],[Vertex 1]],GroupVertices[Vertex],0)),1,1,"")</f>
        <v>4</v>
      </c>
      <c r="R1490" s="80" t="str">
        <f>REPLACE(INDEX(GroupVertices[Group],MATCH(Edges[[#This Row],[Vertex 2]],GroupVertices[Vertex],0)),1,1,"")</f>
        <v>2</v>
      </c>
      <c r="S1490" s="34"/>
      <c r="T1490" s="34"/>
      <c r="U1490" s="34"/>
      <c r="V1490" s="34"/>
      <c r="W1490" s="34"/>
      <c r="X1490" s="34"/>
      <c r="Y1490" s="34"/>
      <c r="Z1490" s="34"/>
      <c r="AA1490" s="34"/>
    </row>
    <row r="1491" spans="1:27" ht="15">
      <c r="A1491" s="66" t="s">
        <v>234</v>
      </c>
      <c r="B1491" s="66" t="s">
        <v>258</v>
      </c>
      <c r="C1491" s="67" t="s">
        <v>4454</v>
      </c>
      <c r="D1491" s="68">
        <v>5</v>
      </c>
      <c r="E1491" s="69"/>
      <c r="F1491" s="70">
        <v>20</v>
      </c>
      <c r="G1491" s="67"/>
      <c r="H1491" s="71"/>
      <c r="I1491" s="72"/>
      <c r="J1491" s="72"/>
      <c r="K1491" s="34" t="s">
        <v>66</v>
      </c>
      <c r="L1491" s="79">
        <v>1491</v>
      </c>
      <c r="M1491" s="79"/>
      <c r="N1491" s="74"/>
      <c r="O1491" s="81" t="s">
        <v>944</v>
      </c>
      <c r="P1491">
        <v>1</v>
      </c>
      <c r="Q1491" s="80" t="str">
        <f>REPLACE(INDEX(GroupVertices[Group],MATCH(Edges[[#This Row],[Vertex 1]],GroupVertices[Vertex],0)),1,1,"")</f>
        <v>4</v>
      </c>
      <c r="R1491" s="80" t="str">
        <f>REPLACE(INDEX(GroupVertices[Group],MATCH(Edges[[#This Row],[Vertex 2]],GroupVertices[Vertex],0)),1,1,"")</f>
        <v>1</v>
      </c>
      <c r="S1491" s="34"/>
      <c r="T1491" s="34"/>
      <c r="U1491" s="34"/>
      <c r="V1491" s="34"/>
      <c r="W1491" s="34"/>
      <c r="X1491" s="34"/>
      <c r="Y1491" s="34"/>
      <c r="Z1491" s="34"/>
      <c r="AA1491" s="34"/>
    </row>
    <row r="1492" spans="1:27" ht="15">
      <c r="A1492" s="66" t="s">
        <v>234</v>
      </c>
      <c r="B1492" s="66" t="s">
        <v>240</v>
      </c>
      <c r="C1492" s="67" t="s">
        <v>4454</v>
      </c>
      <c r="D1492" s="68">
        <v>5</v>
      </c>
      <c r="E1492" s="69"/>
      <c r="F1492" s="70">
        <v>20</v>
      </c>
      <c r="G1492" s="67"/>
      <c r="H1492" s="71"/>
      <c r="I1492" s="72"/>
      <c r="J1492" s="72"/>
      <c r="K1492" s="34" t="s">
        <v>66</v>
      </c>
      <c r="L1492" s="79">
        <v>1492</v>
      </c>
      <c r="M1492" s="79"/>
      <c r="N1492" s="74"/>
      <c r="O1492" s="81" t="s">
        <v>944</v>
      </c>
      <c r="P1492">
        <v>1</v>
      </c>
      <c r="Q1492" s="80" t="str">
        <f>REPLACE(INDEX(GroupVertices[Group],MATCH(Edges[[#This Row],[Vertex 1]],GroupVertices[Vertex],0)),1,1,"")</f>
        <v>4</v>
      </c>
      <c r="R1492" s="80" t="str">
        <f>REPLACE(INDEX(GroupVertices[Group],MATCH(Edges[[#This Row],[Vertex 2]],GroupVertices[Vertex],0)),1,1,"")</f>
        <v>2</v>
      </c>
      <c r="S1492" s="34"/>
      <c r="T1492" s="34"/>
      <c r="U1492" s="34"/>
      <c r="V1492" s="34"/>
      <c r="W1492" s="34"/>
      <c r="X1492" s="34"/>
      <c r="Y1492" s="34"/>
      <c r="Z1492" s="34"/>
      <c r="AA1492" s="34"/>
    </row>
    <row r="1493" spans="1:27" ht="15">
      <c r="A1493" s="66" t="s">
        <v>234</v>
      </c>
      <c r="B1493" s="66" t="s">
        <v>243</v>
      </c>
      <c r="C1493" s="67" t="s">
        <v>4454</v>
      </c>
      <c r="D1493" s="68">
        <v>5</v>
      </c>
      <c r="E1493" s="69"/>
      <c r="F1493" s="70">
        <v>20</v>
      </c>
      <c r="G1493" s="67"/>
      <c r="H1493" s="71"/>
      <c r="I1493" s="72"/>
      <c r="J1493" s="72"/>
      <c r="K1493" s="34" t="s">
        <v>66</v>
      </c>
      <c r="L1493" s="79">
        <v>1493</v>
      </c>
      <c r="M1493" s="79"/>
      <c r="N1493" s="74"/>
      <c r="O1493" s="81" t="s">
        <v>944</v>
      </c>
      <c r="P1493">
        <v>1</v>
      </c>
      <c r="Q1493" s="80" t="str">
        <f>REPLACE(INDEX(GroupVertices[Group],MATCH(Edges[[#This Row],[Vertex 1]],GroupVertices[Vertex],0)),1,1,"")</f>
        <v>4</v>
      </c>
      <c r="R1493" s="80" t="str">
        <f>REPLACE(INDEX(GroupVertices[Group],MATCH(Edges[[#This Row],[Vertex 2]],GroupVertices[Vertex],0)),1,1,"")</f>
        <v>2</v>
      </c>
      <c r="S1493" s="34"/>
      <c r="T1493" s="34"/>
      <c r="U1493" s="34"/>
      <c r="V1493" s="34"/>
      <c r="W1493" s="34"/>
      <c r="X1493" s="34"/>
      <c r="Y1493" s="34"/>
      <c r="Z1493" s="34"/>
      <c r="AA1493" s="34"/>
    </row>
    <row r="1494" spans="1:27" ht="15">
      <c r="A1494" s="66" t="s">
        <v>234</v>
      </c>
      <c r="B1494" s="66" t="s">
        <v>255</v>
      </c>
      <c r="C1494" s="67" t="s">
        <v>4454</v>
      </c>
      <c r="D1494" s="68">
        <v>5</v>
      </c>
      <c r="E1494" s="69"/>
      <c r="F1494" s="70">
        <v>20</v>
      </c>
      <c r="G1494" s="67"/>
      <c r="H1494" s="71"/>
      <c r="I1494" s="72"/>
      <c r="J1494" s="72"/>
      <c r="K1494" s="34" t="s">
        <v>65</v>
      </c>
      <c r="L1494" s="79">
        <v>1494</v>
      </c>
      <c r="M1494" s="79"/>
      <c r="N1494" s="74"/>
      <c r="O1494" s="81" t="s">
        <v>944</v>
      </c>
      <c r="P1494">
        <v>1</v>
      </c>
      <c r="Q1494" s="80" t="str">
        <f>REPLACE(INDEX(GroupVertices[Group],MATCH(Edges[[#This Row],[Vertex 1]],GroupVertices[Vertex],0)),1,1,"")</f>
        <v>4</v>
      </c>
      <c r="R1494" s="80" t="str">
        <f>REPLACE(INDEX(GroupVertices[Group],MATCH(Edges[[#This Row],[Vertex 2]],GroupVertices[Vertex],0)),1,1,"")</f>
        <v>4</v>
      </c>
      <c r="S1494" s="34"/>
      <c r="T1494" s="34"/>
      <c r="U1494" s="34"/>
      <c r="V1494" s="34"/>
      <c r="W1494" s="34"/>
      <c r="X1494" s="34"/>
      <c r="Y1494" s="34"/>
      <c r="Z1494" s="34"/>
      <c r="AA1494" s="34"/>
    </row>
    <row r="1495" spans="1:27" ht="15">
      <c r="A1495" s="66" t="s">
        <v>234</v>
      </c>
      <c r="B1495" s="66" t="s">
        <v>252</v>
      </c>
      <c r="C1495" s="67" t="s">
        <v>4454</v>
      </c>
      <c r="D1495" s="68">
        <v>5</v>
      </c>
      <c r="E1495" s="69"/>
      <c r="F1495" s="70">
        <v>20</v>
      </c>
      <c r="G1495" s="67"/>
      <c r="H1495" s="71"/>
      <c r="I1495" s="72"/>
      <c r="J1495" s="72"/>
      <c r="K1495" s="34" t="s">
        <v>65</v>
      </c>
      <c r="L1495" s="79">
        <v>1495</v>
      </c>
      <c r="M1495" s="79"/>
      <c r="N1495" s="74"/>
      <c r="O1495" s="81" t="s">
        <v>944</v>
      </c>
      <c r="P1495">
        <v>1</v>
      </c>
      <c r="Q1495" s="80" t="str">
        <f>REPLACE(INDEX(GroupVertices[Group],MATCH(Edges[[#This Row],[Vertex 1]],GroupVertices[Vertex],0)),1,1,"")</f>
        <v>4</v>
      </c>
      <c r="R1495" s="80" t="str">
        <f>REPLACE(INDEX(GroupVertices[Group],MATCH(Edges[[#This Row],[Vertex 2]],GroupVertices[Vertex],0)),1,1,"")</f>
        <v>1</v>
      </c>
      <c r="S1495" s="34"/>
      <c r="T1495" s="34"/>
      <c r="U1495" s="34"/>
      <c r="V1495" s="34"/>
      <c r="W1495" s="34"/>
      <c r="X1495" s="34"/>
      <c r="Y1495" s="34"/>
      <c r="Z1495" s="34"/>
      <c r="AA1495" s="34"/>
    </row>
    <row r="1496" spans="1:27" ht="15">
      <c r="A1496" s="66" t="s">
        <v>234</v>
      </c>
      <c r="B1496" s="66" t="s">
        <v>510</v>
      </c>
      <c r="C1496" s="67" t="s">
        <v>4454</v>
      </c>
      <c r="D1496" s="68">
        <v>5</v>
      </c>
      <c r="E1496" s="69"/>
      <c r="F1496" s="70">
        <v>20</v>
      </c>
      <c r="G1496" s="67"/>
      <c r="H1496" s="71"/>
      <c r="I1496" s="72"/>
      <c r="J1496" s="72"/>
      <c r="K1496" s="34" t="s">
        <v>65</v>
      </c>
      <c r="L1496" s="79">
        <v>1496</v>
      </c>
      <c r="M1496" s="79"/>
      <c r="N1496" s="74"/>
      <c r="O1496" s="81" t="s">
        <v>944</v>
      </c>
      <c r="P1496">
        <v>1</v>
      </c>
      <c r="Q1496" s="80" t="str">
        <f>REPLACE(INDEX(GroupVertices[Group],MATCH(Edges[[#This Row],[Vertex 1]],GroupVertices[Vertex],0)),1,1,"")</f>
        <v>4</v>
      </c>
      <c r="R1496" s="80" t="str">
        <f>REPLACE(INDEX(GroupVertices[Group],MATCH(Edges[[#This Row],[Vertex 2]],GroupVertices[Vertex],0)),1,1,"")</f>
        <v>2</v>
      </c>
      <c r="S1496" s="34"/>
      <c r="T1496" s="34"/>
      <c r="U1496" s="34"/>
      <c r="V1496" s="34"/>
      <c r="W1496" s="34"/>
      <c r="X1496" s="34"/>
      <c r="Y1496" s="34"/>
      <c r="Z1496" s="34"/>
      <c r="AA1496" s="34"/>
    </row>
    <row r="1497" spans="1:27" ht="15">
      <c r="A1497" s="66" t="s">
        <v>234</v>
      </c>
      <c r="B1497" s="66" t="s">
        <v>484</v>
      </c>
      <c r="C1497" s="67" t="s">
        <v>4454</v>
      </c>
      <c r="D1497" s="68">
        <v>5</v>
      </c>
      <c r="E1497" s="69"/>
      <c r="F1497" s="70">
        <v>20</v>
      </c>
      <c r="G1497" s="67"/>
      <c r="H1497" s="71"/>
      <c r="I1497" s="72"/>
      <c r="J1497" s="72"/>
      <c r="K1497" s="34" t="s">
        <v>65</v>
      </c>
      <c r="L1497" s="79">
        <v>1497</v>
      </c>
      <c r="M1497" s="79"/>
      <c r="N1497" s="74"/>
      <c r="O1497" s="81" t="s">
        <v>944</v>
      </c>
      <c r="P1497">
        <v>1</v>
      </c>
      <c r="Q1497" s="80" t="str">
        <f>REPLACE(INDEX(GroupVertices[Group],MATCH(Edges[[#This Row],[Vertex 1]],GroupVertices[Vertex],0)),1,1,"")</f>
        <v>4</v>
      </c>
      <c r="R1497" s="80" t="str">
        <f>REPLACE(INDEX(GroupVertices[Group],MATCH(Edges[[#This Row],[Vertex 2]],GroupVertices[Vertex],0)),1,1,"")</f>
        <v>1</v>
      </c>
      <c r="S1497" s="34"/>
      <c r="T1497" s="34"/>
      <c r="U1497" s="34"/>
      <c r="V1497" s="34"/>
      <c r="W1497" s="34"/>
      <c r="X1497" s="34"/>
      <c r="Y1497" s="34"/>
      <c r="Z1497" s="34"/>
      <c r="AA1497" s="34"/>
    </row>
    <row r="1498" spans="1:27" ht="15">
      <c r="A1498" s="66" t="s">
        <v>234</v>
      </c>
      <c r="B1498" s="66" t="s">
        <v>247</v>
      </c>
      <c r="C1498" s="67" t="s">
        <v>4454</v>
      </c>
      <c r="D1498" s="68">
        <v>5</v>
      </c>
      <c r="E1498" s="69"/>
      <c r="F1498" s="70">
        <v>20</v>
      </c>
      <c r="G1498" s="67"/>
      <c r="H1498" s="71"/>
      <c r="I1498" s="72"/>
      <c r="J1498" s="72"/>
      <c r="K1498" s="34" t="s">
        <v>65</v>
      </c>
      <c r="L1498" s="79">
        <v>1498</v>
      </c>
      <c r="M1498" s="79"/>
      <c r="N1498" s="74"/>
      <c r="O1498" s="81" t="s">
        <v>944</v>
      </c>
      <c r="P1498">
        <v>1</v>
      </c>
      <c r="Q1498" s="80" t="str">
        <f>REPLACE(INDEX(GroupVertices[Group],MATCH(Edges[[#This Row],[Vertex 1]],GroupVertices[Vertex],0)),1,1,"")</f>
        <v>4</v>
      </c>
      <c r="R1498" s="80" t="str">
        <f>REPLACE(INDEX(GroupVertices[Group],MATCH(Edges[[#This Row],[Vertex 2]],GroupVertices[Vertex],0)),1,1,"")</f>
        <v>2</v>
      </c>
      <c r="S1498" s="34"/>
      <c r="T1498" s="34"/>
      <c r="U1498" s="34"/>
      <c r="V1498" s="34"/>
      <c r="W1498" s="34"/>
      <c r="X1498" s="34"/>
      <c r="Y1498" s="34"/>
      <c r="Z1498" s="34"/>
      <c r="AA1498" s="34"/>
    </row>
    <row r="1499" spans="1:27" ht="15">
      <c r="A1499" s="66" t="s">
        <v>234</v>
      </c>
      <c r="B1499" s="66" t="s">
        <v>223</v>
      </c>
      <c r="C1499" s="67" t="s">
        <v>4454</v>
      </c>
      <c r="D1499" s="68">
        <v>5</v>
      </c>
      <c r="E1499" s="69"/>
      <c r="F1499" s="70">
        <v>20</v>
      </c>
      <c r="G1499" s="67"/>
      <c r="H1499" s="71"/>
      <c r="I1499" s="72"/>
      <c r="J1499" s="72"/>
      <c r="K1499" s="34" t="s">
        <v>66</v>
      </c>
      <c r="L1499" s="79">
        <v>1499</v>
      </c>
      <c r="M1499" s="79"/>
      <c r="N1499" s="74"/>
      <c r="O1499" s="81" t="s">
        <v>944</v>
      </c>
      <c r="P1499">
        <v>1</v>
      </c>
      <c r="Q1499" s="80" t="str">
        <f>REPLACE(INDEX(GroupVertices[Group],MATCH(Edges[[#This Row],[Vertex 1]],GroupVertices[Vertex],0)),1,1,"")</f>
        <v>4</v>
      </c>
      <c r="R1499" s="80" t="str">
        <f>REPLACE(INDEX(GroupVertices[Group],MATCH(Edges[[#This Row],[Vertex 2]],GroupVertices[Vertex],0)),1,1,"")</f>
        <v>3</v>
      </c>
      <c r="S1499" s="34"/>
      <c r="T1499" s="34"/>
      <c r="U1499" s="34"/>
      <c r="V1499" s="34"/>
      <c r="W1499" s="34"/>
      <c r="X1499" s="34"/>
      <c r="Y1499" s="34"/>
      <c r="Z1499" s="34"/>
      <c r="AA1499" s="34"/>
    </row>
    <row r="1500" spans="1:27" ht="15">
      <c r="A1500" s="66" t="s">
        <v>234</v>
      </c>
      <c r="B1500" s="66" t="s">
        <v>260</v>
      </c>
      <c r="C1500" s="67" t="s">
        <v>4454</v>
      </c>
      <c r="D1500" s="68">
        <v>5</v>
      </c>
      <c r="E1500" s="69"/>
      <c r="F1500" s="70">
        <v>20</v>
      </c>
      <c r="G1500" s="67"/>
      <c r="H1500" s="71"/>
      <c r="I1500" s="72"/>
      <c r="J1500" s="72"/>
      <c r="K1500" s="34" t="s">
        <v>65</v>
      </c>
      <c r="L1500" s="79">
        <v>1500</v>
      </c>
      <c r="M1500" s="79"/>
      <c r="N1500" s="74"/>
      <c r="O1500" s="81" t="s">
        <v>944</v>
      </c>
      <c r="P1500">
        <v>1</v>
      </c>
      <c r="Q1500" s="80" t="str">
        <f>REPLACE(INDEX(GroupVertices[Group],MATCH(Edges[[#This Row],[Vertex 1]],GroupVertices[Vertex],0)),1,1,"")</f>
        <v>4</v>
      </c>
      <c r="R1500" s="80" t="str">
        <f>REPLACE(INDEX(GroupVertices[Group],MATCH(Edges[[#This Row],[Vertex 2]],GroupVertices[Vertex],0)),1,1,"")</f>
        <v>2</v>
      </c>
      <c r="S1500" s="34"/>
      <c r="T1500" s="34"/>
      <c r="U1500" s="34"/>
      <c r="V1500" s="34"/>
      <c r="W1500" s="34"/>
      <c r="X1500" s="34"/>
      <c r="Y1500" s="34"/>
      <c r="Z1500" s="34"/>
      <c r="AA1500" s="34"/>
    </row>
    <row r="1501" spans="1:27" ht="15">
      <c r="A1501" s="66" t="s">
        <v>234</v>
      </c>
      <c r="B1501" s="66" t="s">
        <v>241</v>
      </c>
      <c r="C1501" s="67" t="s">
        <v>4454</v>
      </c>
      <c r="D1501" s="68">
        <v>5</v>
      </c>
      <c r="E1501" s="69"/>
      <c r="F1501" s="70">
        <v>20</v>
      </c>
      <c r="G1501" s="67"/>
      <c r="H1501" s="71"/>
      <c r="I1501" s="72"/>
      <c r="J1501" s="72"/>
      <c r="K1501" s="34" t="s">
        <v>66</v>
      </c>
      <c r="L1501" s="79">
        <v>1501</v>
      </c>
      <c r="M1501" s="79"/>
      <c r="N1501" s="74"/>
      <c r="O1501" s="81" t="s">
        <v>944</v>
      </c>
      <c r="P1501">
        <v>1</v>
      </c>
      <c r="Q1501" s="80" t="str">
        <f>REPLACE(INDEX(GroupVertices[Group],MATCH(Edges[[#This Row],[Vertex 1]],GroupVertices[Vertex],0)),1,1,"")</f>
        <v>4</v>
      </c>
      <c r="R1501" s="80" t="str">
        <f>REPLACE(INDEX(GroupVertices[Group],MATCH(Edges[[#This Row],[Vertex 2]],GroupVertices[Vertex],0)),1,1,"")</f>
        <v>2</v>
      </c>
      <c r="S1501" s="34"/>
      <c r="T1501" s="34"/>
      <c r="U1501" s="34"/>
      <c r="V1501" s="34"/>
      <c r="W1501" s="34"/>
      <c r="X1501" s="34"/>
      <c r="Y1501" s="34"/>
      <c r="Z1501" s="34"/>
      <c r="AA1501" s="34"/>
    </row>
    <row r="1502" spans="1:27" ht="15">
      <c r="A1502" s="66" t="s">
        <v>234</v>
      </c>
      <c r="B1502" s="66" t="s">
        <v>872</v>
      </c>
      <c r="C1502" s="67" t="s">
        <v>4454</v>
      </c>
      <c r="D1502" s="68">
        <v>5</v>
      </c>
      <c r="E1502" s="69"/>
      <c r="F1502" s="70">
        <v>20</v>
      </c>
      <c r="G1502" s="67"/>
      <c r="H1502" s="71"/>
      <c r="I1502" s="72"/>
      <c r="J1502" s="72"/>
      <c r="K1502" s="34" t="s">
        <v>65</v>
      </c>
      <c r="L1502" s="79">
        <v>1502</v>
      </c>
      <c r="M1502" s="79"/>
      <c r="N1502" s="74"/>
      <c r="O1502" s="81" t="s">
        <v>944</v>
      </c>
      <c r="P1502">
        <v>1</v>
      </c>
      <c r="Q1502" s="80" t="str">
        <f>REPLACE(INDEX(GroupVertices[Group],MATCH(Edges[[#This Row],[Vertex 1]],GroupVertices[Vertex],0)),1,1,"")</f>
        <v>4</v>
      </c>
      <c r="R1502" s="80" t="str">
        <f>REPLACE(INDEX(GroupVertices[Group],MATCH(Edges[[#This Row],[Vertex 2]],GroupVertices[Vertex],0)),1,1,"")</f>
        <v>4</v>
      </c>
      <c r="S1502" s="34"/>
      <c r="T1502" s="34"/>
      <c r="U1502" s="34"/>
      <c r="V1502" s="34"/>
      <c r="W1502" s="34"/>
      <c r="X1502" s="34"/>
      <c r="Y1502" s="34"/>
      <c r="Z1502" s="34"/>
      <c r="AA1502" s="34"/>
    </row>
    <row r="1503" spans="1:27" ht="15">
      <c r="A1503" s="66" t="s">
        <v>234</v>
      </c>
      <c r="B1503" s="66" t="s">
        <v>238</v>
      </c>
      <c r="C1503" s="67" t="s">
        <v>4454</v>
      </c>
      <c r="D1503" s="68">
        <v>5</v>
      </c>
      <c r="E1503" s="69"/>
      <c r="F1503" s="70">
        <v>20</v>
      </c>
      <c r="G1503" s="67"/>
      <c r="H1503" s="71"/>
      <c r="I1503" s="72"/>
      <c r="J1503" s="72"/>
      <c r="K1503" s="34" t="s">
        <v>66</v>
      </c>
      <c r="L1503" s="79">
        <v>1503</v>
      </c>
      <c r="M1503" s="79"/>
      <c r="N1503" s="74"/>
      <c r="O1503" s="81" t="s">
        <v>944</v>
      </c>
      <c r="P1503">
        <v>1</v>
      </c>
      <c r="Q1503" s="80" t="str">
        <f>REPLACE(INDEX(GroupVertices[Group],MATCH(Edges[[#This Row],[Vertex 1]],GroupVertices[Vertex],0)),1,1,"")</f>
        <v>4</v>
      </c>
      <c r="R1503" s="80" t="str">
        <f>REPLACE(INDEX(GroupVertices[Group],MATCH(Edges[[#This Row],[Vertex 2]],GroupVertices[Vertex],0)),1,1,"")</f>
        <v>2</v>
      </c>
      <c r="S1503" s="34"/>
      <c r="T1503" s="34"/>
      <c r="U1503" s="34"/>
      <c r="V1503" s="34"/>
      <c r="W1503" s="34"/>
      <c r="X1503" s="34"/>
      <c r="Y1503" s="34"/>
      <c r="Z1503" s="34"/>
      <c r="AA1503" s="34"/>
    </row>
    <row r="1504" spans="1:27" ht="15">
      <c r="A1504" s="66" t="s">
        <v>234</v>
      </c>
      <c r="B1504" s="66" t="s">
        <v>881</v>
      </c>
      <c r="C1504" s="67" t="s">
        <v>4454</v>
      </c>
      <c r="D1504" s="68">
        <v>5</v>
      </c>
      <c r="E1504" s="69"/>
      <c r="F1504" s="70">
        <v>20</v>
      </c>
      <c r="G1504" s="67"/>
      <c r="H1504" s="71"/>
      <c r="I1504" s="72"/>
      <c r="J1504" s="72"/>
      <c r="K1504" s="34" t="s">
        <v>65</v>
      </c>
      <c r="L1504" s="79">
        <v>1504</v>
      </c>
      <c r="M1504" s="79"/>
      <c r="N1504" s="74"/>
      <c r="O1504" s="81" t="s">
        <v>944</v>
      </c>
      <c r="P1504">
        <v>1</v>
      </c>
      <c r="Q1504" s="80" t="str">
        <f>REPLACE(INDEX(GroupVertices[Group],MATCH(Edges[[#This Row],[Vertex 1]],GroupVertices[Vertex],0)),1,1,"")</f>
        <v>4</v>
      </c>
      <c r="R1504" s="80" t="str">
        <f>REPLACE(INDEX(GroupVertices[Group],MATCH(Edges[[#This Row],[Vertex 2]],GroupVertices[Vertex],0)),1,1,"")</f>
        <v>1</v>
      </c>
      <c r="S1504" s="34"/>
      <c r="T1504" s="34"/>
      <c r="U1504" s="34"/>
      <c r="V1504" s="34"/>
      <c r="W1504" s="34"/>
      <c r="X1504" s="34"/>
      <c r="Y1504" s="34"/>
      <c r="Z1504" s="34"/>
      <c r="AA1504" s="34"/>
    </row>
    <row r="1505" spans="1:27" ht="15">
      <c r="A1505" s="66" t="s">
        <v>234</v>
      </c>
      <c r="B1505" s="66" t="s">
        <v>249</v>
      </c>
      <c r="C1505" s="67" t="s">
        <v>4454</v>
      </c>
      <c r="D1505" s="68">
        <v>5</v>
      </c>
      <c r="E1505" s="69"/>
      <c r="F1505" s="70">
        <v>20</v>
      </c>
      <c r="G1505" s="67"/>
      <c r="H1505" s="71"/>
      <c r="I1505" s="72"/>
      <c r="J1505" s="72"/>
      <c r="K1505" s="34" t="s">
        <v>66</v>
      </c>
      <c r="L1505" s="79">
        <v>1505</v>
      </c>
      <c r="M1505" s="79"/>
      <c r="N1505" s="74"/>
      <c r="O1505" s="81" t="s">
        <v>944</v>
      </c>
      <c r="P1505">
        <v>1</v>
      </c>
      <c r="Q1505" s="80" t="str">
        <f>REPLACE(INDEX(GroupVertices[Group],MATCH(Edges[[#This Row],[Vertex 1]],GroupVertices[Vertex],0)),1,1,"")</f>
        <v>4</v>
      </c>
      <c r="R1505" s="80" t="str">
        <f>REPLACE(INDEX(GroupVertices[Group],MATCH(Edges[[#This Row],[Vertex 2]],GroupVertices[Vertex],0)),1,1,"")</f>
        <v>2</v>
      </c>
      <c r="S1505" s="34"/>
      <c r="T1505" s="34"/>
      <c r="U1505" s="34"/>
      <c r="V1505" s="34"/>
      <c r="W1505" s="34"/>
      <c r="X1505" s="34"/>
      <c r="Y1505" s="34"/>
      <c r="Z1505" s="34"/>
      <c r="AA1505" s="34"/>
    </row>
    <row r="1506" spans="1:27" ht="15">
      <c r="A1506" s="66" t="s">
        <v>234</v>
      </c>
      <c r="B1506" s="66" t="s">
        <v>217</v>
      </c>
      <c r="C1506" s="67" t="s">
        <v>4454</v>
      </c>
      <c r="D1506" s="68">
        <v>5</v>
      </c>
      <c r="E1506" s="69"/>
      <c r="F1506" s="70">
        <v>20</v>
      </c>
      <c r="G1506" s="67"/>
      <c r="H1506" s="71"/>
      <c r="I1506" s="72"/>
      <c r="J1506" s="72"/>
      <c r="K1506" s="34" t="s">
        <v>65</v>
      </c>
      <c r="L1506" s="79">
        <v>1506</v>
      </c>
      <c r="M1506" s="79"/>
      <c r="N1506" s="74"/>
      <c r="O1506" s="81" t="s">
        <v>944</v>
      </c>
      <c r="P1506">
        <v>1</v>
      </c>
      <c r="Q1506" s="80" t="str">
        <f>REPLACE(INDEX(GroupVertices[Group],MATCH(Edges[[#This Row],[Vertex 1]],GroupVertices[Vertex],0)),1,1,"")</f>
        <v>4</v>
      </c>
      <c r="R1506" s="80" t="str">
        <f>REPLACE(INDEX(GroupVertices[Group],MATCH(Edges[[#This Row],[Vertex 2]],GroupVertices[Vertex],0)),1,1,"")</f>
        <v>4</v>
      </c>
      <c r="S1506" s="34"/>
      <c r="T1506" s="34"/>
      <c r="U1506" s="34"/>
      <c r="V1506" s="34"/>
      <c r="W1506" s="34"/>
      <c r="X1506" s="34"/>
      <c r="Y1506" s="34"/>
      <c r="Z1506" s="34"/>
      <c r="AA1506" s="34"/>
    </row>
    <row r="1507" spans="1:27" ht="15">
      <c r="A1507" s="66" t="s">
        <v>234</v>
      </c>
      <c r="B1507" s="66" t="s">
        <v>512</v>
      </c>
      <c r="C1507" s="67" t="s">
        <v>4454</v>
      </c>
      <c r="D1507" s="68">
        <v>5</v>
      </c>
      <c r="E1507" s="69"/>
      <c r="F1507" s="70">
        <v>20</v>
      </c>
      <c r="G1507" s="67"/>
      <c r="H1507" s="71"/>
      <c r="I1507" s="72"/>
      <c r="J1507" s="72"/>
      <c r="K1507" s="34" t="s">
        <v>65</v>
      </c>
      <c r="L1507" s="79">
        <v>1507</v>
      </c>
      <c r="M1507" s="79"/>
      <c r="N1507" s="74"/>
      <c r="O1507" s="81" t="s">
        <v>944</v>
      </c>
      <c r="P1507">
        <v>1</v>
      </c>
      <c r="Q1507" s="80" t="str">
        <f>REPLACE(INDEX(GroupVertices[Group],MATCH(Edges[[#This Row],[Vertex 1]],GroupVertices[Vertex],0)),1,1,"")</f>
        <v>4</v>
      </c>
      <c r="R1507" s="80" t="str">
        <f>REPLACE(INDEX(GroupVertices[Group],MATCH(Edges[[#This Row],[Vertex 2]],GroupVertices[Vertex],0)),1,1,"")</f>
        <v>2</v>
      </c>
      <c r="S1507" s="34"/>
      <c r="T1507" s="34"/>
      <c r="U1507" s="34"/>
      <c r="V1507" s="34"/>
      <c r="W1507" s="34"/>
      <c r="X1507" s="34"/>
      <c r="Y1507" s="34"/>
      <c r="Z1507" s="34"/>
      <c r="AA1507" s="34"/>
    </row>
    <row r="1508" spans="1:27" ht="15">
      <c r="A1508" s="66" t="s">
        <v>234</v>
      </c>
      <c r="B1508" s="66" t="s">
        <v>675</v>
      </c>
      <c r="C1508" s="67" t="s">
        <v>4454</v>
      </c>
      <c r="D1508" s="68">
        <v>5</v>
      </c>
      <c r="E1508" s="69"/>
      <c r="F1508" s="70">
        <v>20</v>
      </c>
      <c r="G1508" s="67"/>
      <c r="H1508" s="71"/>
      <c r="I1508" s="72"/>
      <c r="J1508" s="72"/>
      <c r="K1508" s="34" t="s">
        <v>65</v>
      </c>
      <c r="L1508" s="79">
        <v>1508</v>
      </c>
      <c r="M1508" s="79"/>
      <c r="N1508" s="74"/>
      <c r="O1508" s="81" t="s">
        <v>944</v>
      </c>
      <c r="P1508">
        <v>1</v>
      </c>
      <c r="Q1508" s="80" t="str">
        <f>REPLACE(INDEX(GroupVertices[Group],MATCH(Edges[[#This Row],[Vertex 1]],GroupVertices[Vertex],0)),1,1,"")</f>
        <v>4</v>
      </c>
      <c r="R1508" s="80" t="str">
        <f>REPLACE(INDEX(GroupVertices[Group],MATCH(Edges[[#This Row],[Vertex 2]],GroupVertices[Vertex],0)),1,1,"")</f>
        <v>2</v>
      </c>
      <c r="S1508" s="34"/>
      <c r="T1508" s="34"/>
      <c r="U1508" s="34"/>
      <c r="V1508" s="34"/>
      <c r="W1508" s="34"/>
      <c r="X1508" s="34"/>
      <c r="Y1508" s="34"/>
      <c r="Z1508" s="34"/>
      <c r="AA1508" s="34"/>
    </row>
    <row r="1509" spans="1:27" ht="15">
      <c r="A1509" s="66" t="s">
        <v>234</v>
      </c>
      <c r="B1509" s="66" t="s">
        <v>220</v>
      </c>
      <c r="C1509" s="67" t="s">
        <v>4454</v>
      </c>
      <c r="D1509" s="68">
        <v>5</v>
      </c>
      <c r="E1509" s="69"/>
      <c r="F1509" s="70">
        <v>20</v>
      </c>
      <c r="G1509" s="67"/>
      <c r="H1509" s="71"/>
      <c r="I1509" s="72"/>
      <c r="J1509" s="72"/>
      <c r="K1509" s="34" t="s">
        <v>66</v>
      </c>
      <c r="L1509" s="79">
        <v>1509</v>
      </c>
      <c r="M1509" s="79"/>
      <c r="N1509" s="74"/>
      <c r="O1509" s="81" t="s">
        <v>944</v>
      </c>
      <c r="P1509">
        <v>1</v>
      </c>
      <c r="Q1509" s="80" t="str">
        <f>REPLACE(INDEX(GroupVertices[Group],MATCH(Edges[[#This Row],[Vertex 1]],GroupVertices[Vertex],0)),1,1,"")</f>
        <v>4</v>
      </c>
      <c r="R1509" s="80" t="str">
        <f>REPLACE(INDEX(GroupVertices[Group],MATCH(Edges[[#This Row],[Vertex 2]],GroupVertices[Vertex],0)),1,1,"")</f>
        <v>2</v>
      </c>
      <c r="S1509" s="34"/>
      <c r="T1509" s="34"/>
      <c r="U1509" s="34"/>
      <c r="V1509" s="34"/>
      <c r="W1509" s="34"/>
      <c r="X1509" s="34"/>
      <c r="Y1509" s="34"/>
      <c r="Z1509" s="34"/>
      <c r="AA1509" s="34"/>
    </row>
    <row r="1510" spans="1:27" ht="15">
      <c r="A1510" s="66" t="s">
        <v>234</v>
      </c>
      <c r="B1510" s="66" t="s">
        <v>261</v>
      </c>
      <c r="C1510" s="67" t="s">
        <v>4454</v>
      </c>
      <c r="D1510" s="68">
        <v>5</v>
      </c>
      <c r="E1510" s="69"/>
      <c r="F1510" s="70">
        <v>20</v>
      </c>
      <c r="G1510" s="67"/>
      <c r="H1510" s="71"/>
      <c r="I1510" s="72"/>
      <c r="J1510" s="72"/>
      <c r="K1510" s="34" t="s">
        <v>65</v>
      </c>
      <c r="L1510" s="79">
        <v>1510</v>
      </c>
      <c r="M1510" s="79"/>
      <c r="N1510" s="74"/>
      <c r="O1510" s="81" t="s">
        <v>944</v>
      </c>
      <c r="P1510">
        <v>1</v>
      </c>
      <c r="Q1510" s="80" t="str">
        <f>REPLACE(INDEX(GroupVertices[Group],MATCH(Edges[[#This Row],[Vertex 1]],GroupVertices[Vertex],0)),1,1,"")</f>
        <v>4</v>
      </c>
      <c r="R1510" s="80" t="str">
        <f>REPLACE(INDEX(GroupVertices[Group],MATCH(Edges[[#This Row],[Vertex 2]],GroupVertices[Vertex],0)),1,1,"")</f>
        <v>1</v>
      </c>
      <c r="S1510" s="34"/>
      <c r="T1510" s="34"/>
      <c r="U1510" s="34"/>
      <c r="V1510" s="34"/>
      <c r="W1510" s="34"/>
      <c r="X1510" s="34"/>
      <c r="Y1510" s="34"/>
      <c r="Z1510" s="34"/>
      <c r="AA1510" s="34"/>
    </row>
    <row r="1511" spans="1:27" ht="15">
      <c r="A1511" s="66" t="s">
        <v>234</v>
      </c>
      <c r="B1511" s="66" t="s">
        <v>253</v>
      </c>
      <c r="C1511" s="67" t="s">
        <v>4454</v>
      </c>
      <c r="D1511" s="68">
        <v>5</v>
      </c>
      <c r="E1511" s="69"/>
      <c r="F1511" s="70">
        <v>20</v>
      </c>
      <c r="G1511" s="67"/>
      <c r="H1511" s="71"/>
      <c r="I1511" s="72"/>
      <c r="J1511" s="72"/>
      <c r="K1511" s="34" t="s">
        <v>65</v>
      </c>
      <c r="L1511" s="79">
        <v>1511</v>
      </c>
      <c r="M1511" s="79"/>
      <c r="N1511" s="74"/>
      <c r="O1511" s="81" t="s">
        <v>944</v>
      </c>
      <c r="P1511">
        <v>1</v>
      </c>
      <c r="Q1511" s="80" t="str">
        <f>REPLACE(INDEX(GroupVertices[Group],MATCH(Edges[[#This Row],[Vertex 1]],GroupVertices[Vertex],0)),1,1,"")</f>
        <v>4</v>
      </c>
      <c r="R1511" s="80" t="str">
        <f>REPLACE(INDEX(GroupVertices[Group],MATCH(Edges[[#This Row],[Vertex 2]],GroupVertices[Vertex],0)),1,1,"")</f>
        <v>1</v>
      </c>
      <c r="S1511" s="34"/>
      <c r="T1511" s="34"/>
      <c r="U1511" s="34"/>
      <c r="V1511" s="34"/>
      <c r="W1511" s="34"/>
      <c r="X1511" s="34"/>
      <c r="Y1511" s="34"/>
      <c r="Z1511" s="34"/>
      <c r="AA1511" s="34"/>
    </row>
    <row r="1512" spans="1:27" ht="15">
      <c r="A1512" s="66" t="s">
        <v>234</v>
      </c>
      <c r="B1512" s="66" t="s">
        <v>250</v>
      </c>
      <c r="C1512" s="67" t="s">
        <v>4454</v>
      </c>
      <c r="D1512" s="68">
        <v>5</v>
      </c>
      <c r="E1512" s="69"/>
      <c r="F1512" s="70">
        <v>20</v>
      </c>
      <c r="G1512" s="67"/>
      <c r="H1512" s="71"/>
      <c r="I1512" s="72"/>
      <c r="J1512" s="72"/>
      <c r="K1512" s="34" t="s">
        <v>66</v>
      </c>
      <c r="L1512" s="79">
        <v>1512</v>
      </c>
      <c r="M1512" s="79"/>
      <c r="N1512" s="74"/>
      <c r="O1512" s="81" t="s">
        <v>944</v>
      </c>
      <c r="P1512">
        <v>1</v>
      </c>
      <c r="Q1512" s="80" t="str">
        <f>REPLACE(INDEX(GroupVertices[Group],MATCH(Edges[[#This Row],[Vertex 1]],GroupVertices[Vertex],0)),1,1,"")</f>
        <v>4</v>
      </c>
      <c r="R1512" s="80" t="str">
        <f>REPLACE(INDEX(GroupVertices[Group],MATCH(Edges[[#This Row],[Vertex 2]],GroupVertices[Vertex],0)),1,1,"")</f>
        <v>2</v>
      </c>
      <c r="S1512" s="34"/>
      <c r="T1512" s="34"/>
      <c r="U1512" s="34"/>
      <c r="V1512" s="34"/>
      <c r="W1512" s="34"/>
      <c r="X1512" s="34"/>
      <c r="Y1512" s="34"/>
      <c r="Z1512" s="34"/>
      <c r="AA1512" s="34"/>
    </row>
    <row r="1513" spans="1:27" ht="15">
      <c r="A1513" s="66" t="s">
        <v>234</v>
      </c>
      <c r="B1513" s="66" t="s">
        <v>882</v>
      </c>
      <c r="C1513" s="67" t="s">
        <v>4454</v>
      </c>
      <c r="D1513" s="68">
        <v>5</v>
      </c>
      <c r="E1513" s="69"/>
      <c r="F1513" s="70">
        <v>20</v>
      </c>
      <c r="G1513" s="67"/>
      <c r="H1513" s="71"/>
      <c r="I1513" s="72"/>
      <c r="J1513" s="72"/>
      <c r="K1513" s="34" t="s">
        <v>65</v>
      </c>
      <c r="L1513" s="79">
        <v>1513</v>
      </c>
      <c r="M1513" s="79"/>
      <c r="N1513" s="74"/>
      <c r="O1513" s="81" t="s">
        <v>944</v>
      </c>
      <c r="P1513">
        <v>1</v>
      </c>
      <c r="Q1513" s="80" t="str">
        <f>REPLACE(INDEX(GroupVertices[Group],MATCH(Edges[[#This Row],[Vertex 1]],GroupVertices[Vertex],0)),1,1,"")</f>
        <v>4</v>
      </c>
      <c r="R1513" s="80" t="str">
        <f>REPLACE(INDEX(GroupVertices[Group],MATCH(Edges[[#This Row],[Vertex 2]],GroupVertices[Vertex],0)),1,1,"")</f>
        <v>4</v>
      </c>
      <c r="S1513" s="34"/>
      <c r="T1513" s="34"/>
      <c r="U1513" s="34"/>
      <c r="V1513" s="34"/>
      <c r="W1513" s="34"/>
      <c r="X1513" s="34"/>
      <c r="Y1513" s="34"/>
      <c r="Z1513" s="34"/>
      <c r="AA1513" s="34"/>
    </row>
    <row r="1514" spans="1:27" ht="15">
      <c r="A1514" s="66" t="s">
        <v>234</v>
      </c>
      <c r="B1514" s="66" t="s">
        <v>259</v>
      </c>
      <c r="C1514" s="67" t="s">
        <v>4454</v>
      </c>
      <c r="D1514" s="68">
        <v>5</v>
      </c>
      <c r="E1514" s="69"/>
      <c r="F1514" s="70">
        <v>20</v>
      </c>
      <c r="G1514" s="67"/>
      <c r="H1514" s="71"/>
      <c r="I1514" s="72"/>
      <c r="J1514" s="72"/>
      <c r="K1514" s="34" t="s">
        <v>65</v>
      </c>
      <c r="L1514" s="79">
        <v>1514</v>
      </c>
      <c r="M1514" s="79"/>
      <c r="N1514" s="74"/>
      <c r="O1514" s="81" t="s">
        <v>944</v>
      </c>
      <c r="P1514">
        <v>1</v>
      </c>
      <c r="Q1514" s="80" t="str">
        <f>REPLACE(INDEX(GroupVertices[Group],MATCH(Edges[[#This Row],[Vertex 1]],GroupVertices[Vertex],0)),1,1,"")</f>
        <v>4</v>
      </c>
      <c r="R1514" s="80" t="str">
        <f>REPLACE(INDEX(GroupVertices[Group],MATCH(Edges[[#This Row],[Vertex 2]],GroupVertices[Vertex],0)),1,1,"")</f>
        <v>2</v>
      </c>
      <c r="S1514" s="34"/>
      <c r="T1514" s="34"/>
      <c r="U1514" s="34"/>
      <c r="V1514" s="34"/>
      <c r="W1514" s="34"/>
      <c r="X1514" s="34"/>
      <c r="Y1514" s="34"/>
      <c r="Z1514" s="34"/>
      <c r="AA1514" s="34"/>
    </row>
    <row r="1515" spans="1:27" ht="15">
      <c r="A1515" s="66" t="s">
        <v>234</v>
      </c>
      <c r="B1515" s="66" t="s">
        <v>254</v>
      </c>
      <c r="C1515" s="67" t="s">
        <v>4454</v>
      </c>
      <c r="D1515" s="68">
        <v>5</v>
      </c>
      <c r="E1515" s="69"/>
      <c r="F1515" s="70">
        <v>20</v>
      </c>
      <c r="G1515" s="67"/>
      <c r="H1515" s="71"/>
      <c r="I1515" s="72"/>
      <c r="J1515" s="72"/>
      <c r="K1515" s="34" t="s">
        <v>65</v>
      </c>
      <c r="L1515" s="79">
        <v>1515</v>
      </c>
      <c r="M1515" s="79"/>
      <c r="N1515" s="74"/>
      <c r="O1515" s="81" t="s">
        <v>944</v>
      </c>
      <c r="P1515">
        <v>1</v>
      </c>
      <c r="Q1515" s="80" t="str">
        <f>REPLACE(INDEX(GroupVertices[Group],MATCH(Edges[[#This Row],[Vertex 1]],GroupVertices[Vertex],0)),1,1,"")</f>
        <v>4</v>
      </c>
      <c r="R1515" s="80" t="str">
        <f>REPLACE(INDEX(GroupVertices[Group],MATCH(Edges[[#This Row],[Vertex 2]],GroupVertices[Vertex],0)),1,1,"")</f>
        <v>3</v>
      </c>
      <c r="S1515" s="34"/>
      <c r="T1515" s="34"/>
      <c r="U1515" s="34"/>
      <c r="V1515" s="34"/>
      <c r="W1515" s="34"/>
      <c r="X1515" s="34"/>
      <c r="Y1515" s="34"/>
      <c r="Z1515" s="34"/>
      <c r="AA1515" s="34"/>
    </row>
    <row r="1516" spans="1:27" ht="15">
      <c r="A1516" s="66" t="s">
        <v>235</v>
      </c>
      <c r="B1516" s="66" t="s">
        <v>234</v>
      </c>
      <c r="C1516" s="67" t="s">
        <v>4454</v>
      </c>
      <c r="D1516" s="68">
        <v>5</v>
      </c>
      <c r="E1516" s="69"/>
      <c r="F1516" s="70">
        <v>20</v>
      </c>
      <c r="G1516" s="67"/>
      <c r="H1516" s="71"/>
      <c r="I1516" s="72"/>
      <c r="J1516" s="72"/>
      <c r="K1516" s="34" t="s">
        <v>65</v>
      </c>
      <c r="L1516" s="79">
        <v>1516</v>
      </c>
      <c r="M1516" s="79"/>
      <c r="N1516" s="74"/>
      <c r="O1516" s="81" t="s">
        <v>944</v>
      </c>
      <c r="P1516">
        <v>1</v>
      </c>
      <c r="Q1516" s="80" t="str">
        <f>REPLACE(INDEX(GroupVertices[Group],MATCH(Edges[[#This Row],[Vertex 1]],GroupVertices[Vertex],0)),1,1,"")</f>
        <v>2</v>
      </c>
      <c r="R1516" s="80" t="str">
        <f>REPLACE(INDEX(GroupVertices[Group],MATCH(Edges[[#This Row],[Vertex 2]],GroupVertices[Vertex],0)),1,1,"")</f>
        <v>4</v>
      </c>
      <c r="S1516" s="34"/>
      <c r="T1516" s="34"/>
      <c r="U1516" s="34"/>
      <c r="V1516" s="34"/>
      <c r="W1516" s="34"/>
      <c r="X1516" s="34"/>
      <c r="Y1516" s="34"/>
      <c r="Z1516" s="34"/>
      <c r="AA1516" s="34"/>
    </row>
    <row r="1517" spans="1:27" ht="15">
      <c r="A1517" s="66" t="s">
        <v>238</v>
      </c>
      <c r="B1517" s="66" t="s">
        <v>234</v>
      </c>
      <c r="C1517" s="67" t="s">
        <v>4454</v>
      </c>
      <c r="D1517" s="68">
        <v>5</v>
      </c>
      <c r="E1517" s="69"/>
      <c r="F1517" s="70">
        <v>20</v>
      </c>
      <c r="G1517" s="67"/>
      <c r="H1517" s="71"/>
      <c r="I1517" s="72"/>
      <c r="J1517" s="72"/>
      <c r="K1517" s="34" t="s">
        <v>66</v>
      </c>
      <c r="L1517" s="79">
        <v>1517</v>
      </c>
      <c r="M1517" s="79"/>
      <c r="N1517" s="74"/>
      <c r="O1517" s="81" t="s">
        <v>944</v>
      </c>
      <c r="P1517">
        <v>1</v>
      </c>
      <c r="Q1517" s="80" t="str">
        <f>REPLACE(INDEX(GroupVertices[Group],MATCH(Edges[[#This Row],[Vertex 1]],GroupVertices[Vertex],0)),1,1,"")</f>
        <v>2</v>
      </c>
      <c r="R1517" s="80" t="str">
        <f>REPLACE(INDEX(GroupVertices[Group],MATCH(Edges[[#This Row],[Vertex 2]],GroupVertices[Vertex],0)),1,1,"")</f>
        <v>4</v>
      </c>
      <c r="S1517" s="34"/>
      <c r="T1517" s="34"/>
      <c r="U1517" s="34"/>
      <c r="V1517" s="34"/>
      <c r="W1517" s="34"/>
      <c r="X1517" s="34"/>
      <c r="Y1517" s="34"/>
      <c r="Z1517" s="34"/>
      <c r="AA1517" s="34"/>
    </row>
    <row r="1518" spans="1:27" ht="15">
      <c r="A1518" s="66" t="s">
        <v>240</v>
      </c>
      <c r="B1518" s="66" t="s">
        <v>234</v>
      </c>
      <c r="C1518" s="67" t="s">
        <v>4454</v>
      </c>
      <c r="D1518" s="68">
        <v>5</v>
      </c>
      <c r="E1518" s="69"/>
      <c r="F1518" s="70">
        <v>20</v>
      </c>
      <c r="G1518" s="67"/>
      <c r="H1518" s="71"/>
      <c r="I1518" s="72"/>
      <c r="J1518" s="72"/>
      <c r="K1518" s="34" t="s">
        <v>66</v>
      </c>
      <c r="L1518" s="79">
        <v>1518</v>
      </c>
      <c r="M1518" s="79"/>
      <c r="N1518" s="74"/>
      <c r="O1518" s="81" t="s">
        <v>944</v>
      </c>
      <c r="P1518">
        <v>1</v>
      </c>
      <c r="Q1518" s="80" t="str">
        <f>REPLACE(INDEX(GroupVertices[Group],MATCH(Edges[[#This Row],[Vertex 1]],GroupVertices[Vertex],0)),1,1,"")</f>
        <v>2</v>
      </c>
      <c r="R1518" s="80" t="str">
        <f>REPLACE(INDEX(GroupVertices[Group],MATCH(Edges[[#This Row],[Vertex 2]],GroupVertices[Vertex],0)),1,1,"")</f>
        <v>4</v>
      </c>
      <c r="S1518" s="34"/>
      <c r="T1518" s="34"/>
      <c r="U1518" s="34"/>
      <c r="V1518" s="34"/>
      <c r="W1518" s="34"/>
      <c r="X1518" s="34"/>
      <c r="Y1518" s="34"/>
      <c r="Z1518" s="34"/>
      <c r="AA1518" s="34"/>
    </row>
    <row r="1519" spans="1:27" ht="15">
      <c r="A1519" s="66" t="s">
        <v>241</v>
      </c>
      <c r="B1519" s="66" t="s">
        <v>234</v>
      </c>
      <c r="C1519" s="67" t="s">
        <v>4454</v>
      </c>
      <c r="D1519" s="68">
        <v>5</v>
      </c>
      <c r="E1519" s="69"/>
      <c r="F1519" s="70">
        <v>20</v>
      </c>
      <c r="G1519" s="67"/>
      <c r="H1519" s="71"/>
      <c r="I1519" s="72"/>
      <c r="J1519" s="72"/>
      <c r="K1519" s="34" t="s">
        <v>66</v>
      </c>
      <c r="L1519" s="79">
        <v>1519</v>
      </c>
      <c r="M1519" s="79"/>
      <c r="N1519" s="74"/>
      <c r="O1519" s="81" t="s">
        <v>944</v>
      </c>
      <c r="P1519">
        <v>1</v>
      </c>
      <c r="Q1519" s="80" t="str">
        <f>REPLACE(INDEX(GroupVertices[Group],MATCH(Edges[[#This Row],[Vertex 1]],GroupVertices[Vertex],0)),1,1,"")</f>
        <v>2</v>
      </c>
      <c r="R1519" s="80" t="str">
        <f>REPLACE(INDEX(GroupVertices[Group],MATCH(Edges[[#This Row],[Vertex 2]],GroupVertices[Vertex],0)),1,1,"")</f>
        <v>4</v>
      </c>
      <c r="S1519" s="34"/>
      <c r="T1519" s="34"/>
      <c r="U1519" s="34"/>
      <c r="V1519" s="34"/>
      <c r="W1519" s="34"/>
      <c r="X1519" s="34"/>
      <c r="Y1519" s="34"/>
      <c r="Z1519" s="34"/>
      <c r="AA1519" s="34"/>
    </row>
    <row r="1520" spans="1:27" ht="15">
      <c r="A1520" s="66" t="s">
        <v>243</v>
      </c>
      <c r="B1520" s="66" t="s">
        <v>234</v>
      </c>
      <c r="C1520" s="67" t="s">
        <v>4454</v>
      </c>
      <c r="D1520" s="68">
        <v>5</v>
      </c>
      <c r="E1520" s="69"/>
      <c r="F1520" s="70">
        <v>20</v>
      </c>
      <c r="G1520" s="67"/>
      <c r="H1520" s="71"/>
      <c r="I1520" s="72"/>
      <c r="J1520" s="72"/>
      <c r="K1520" s="34" t="s">
        <v>66</v>
      </c>
      <c r="L1520" s="79">
        <v>1520</v>
      </c>
      <c r="M1520" s="79"/>
      <c r="N1520" s="74"/>
      <c r="O1520" s="81" t="s">
        <v>944</v>
      </c>
      <c r="P1520">
        <v>1</v>
      </c>
      <c r="Q1520" s="80" t="str">
        <f>REPLACE(INDEX(GroupVertices[Group],MATCH(Edges[[#This Row],[Vertex 1]],GroupVertices[Vertex],0)),1,1,"")</f>
        <v>2</v>
      </c>
      <c r="R1520" s="80" t="str">
        <f>REPLACE(INDEX(GroupVertices[Group],MATCH(Edges[[#This Row],[Vertex 2]],GroupVertices[Vertex],0)),1,1,"")</f>
        <v>4</v>
      </c>
      <c r="S1520" s="34"/>
      <c r="T1520" s="34"/>
      <c r="U1520" s="34"/>
      <c r="V1520" s="34"/>
      <c r="W1520" s="34"/>
      <c r="X1520" s="34"/>
      <c r="Y1520" s="34"/>
      <c r="Z1520" s="34"/>
      <c r="AA1520" s="34"/>
    </row>
    <row r="1521" spans="1:27" ht="15">
      <c r="A1521" s="66" t="s">
        <v>246</v>
      </c>
      <c r="B1521" s="66" t="s">
        <v>234</v>
      </c>
      <c r="C1521" s="67" t="s">
        <v>4454</v>
      </c>
      <c r="D1521" s="68">
        <v>5</v>
      </c>
      <c r="E1521" s="69"/>
      <c r="F1521" s="70">
        <v>20</v>
      </c>
      <c r="G1521" s="67"/>
      <c r="H1521" s="71"/>
      <c r="I1521" s="72"/>
      <c r="J1521" s="72"/>
      <c r="K1521" s="34" t="s">
        <v>66</v>
      </c>
      <c r="L1521" s="79">
        <v>1521</v>
      </c>
      <c r="M1521" s="79"/>
      <c r="N1521" s="74"/>
      <c r="O1521" s="81" t="s">
        <v>944</v>
      </c>
      <c r="P1521">
        <v>1</v>
      </c>
      <c r="Q1521" s="80" t="str">
        <f>REPLACE(INDEX(GroupVertices[Group],MATCH(Edges[[#This Row],[Vertex 1]],GroupVertices[Vertex],0)),1,1,"")</f>
        <v>2</v>
      </c>
      <c r="R1521" s="80" t="str">
        <f>REPLACE(INDEX(GroupVertices[Group],MATCH(Edges[[#This Row],[Vertex 2]],GroupVertices[Vertex],0)),1,1,"")</f>
        <v>4</v>
      </c>
      <c r="S1521" s="34"/>
      <c r="T1521" s="34"/>
      <c r="U1521" s="34"/>
      <c r="V1521" s="34"/>
      <c r="W1521" s="34"/>
      <c r="X1521" s="34"/>
      <c r="Y1521" s="34"/>
      <c r="Z1521" s="34"/>
      <c r="AA1521" s="34"/>
    </row>
    <row r="1522" spans="1:27" ht="15">
      <c r="A1522" s="66" t="s">
        <v>249</v>
      </c>
      <c r="B1522" s="66" t="s">
        <v>234</v>
      </c>
      <c r="C1522" s="67" t="s">
        <v>4454</v>
      </c>
      <c r="D1522" s="68">
        <v>5</v>
      </c>
      <c r="E1522" s="69"/>
      <c r="F1522" s="70">
        <v>20</v>
      </c>
      <c r="G1522" s="67"/>
      <c r="H1522" s="71"/>
      <c r="I1522" s="72"/>
      <c r="J1522" s="72"/>
      <c r="K1522" s="34" t="s">
        <v>66</v>
      </c>
      <c r="L1522" s="79">
        <v>1522</v>
      </c>
      <c r="M1522" s="79"/>
      <c r="N1522" s="74"/>
      <c r="O1522" s="81" t="s">
        <v>944</v>
      </c>
      <c r="P1522">
        <v>1</v>
      </c>
      <c r="Q1522" s="80" t="str">
        <f>REPLACE(INDEX(GroupVertices[Group],MATCH(Edges[[#This Row],[Vertex 1]],GroupVertices[Vertex],0)),1,1,"")</f>
        <v>2</v>
      </c>
      <c r="R1522" s="80" t="str">
        <f>REPLACE(INDEX(GroupVertices[Group],MATCH(Edges[[#This Row],[Vertex 2]],GroupVertices[Vertex],0)),1,1,"")</f>
        <v>4</v>
      </c>
      <c r="S1522" s="34"/>
      <c r="T1522" s="34"/>
      <c r="U1522" s="34"/>
      <c r="V1522" s="34"/>
      <c r="W1522" s="34"/>
      <c r="X1522" s="34"/>
      <c r="Y1522" s="34"/>
      <c r="Z1522" s="34"/>
      <c r="AA1522" s="34"/>
    </row>
    <row r="1523" spans="1:27" ht="15">
      <c r="A1523" s="66" t="s">
        <v>250</v>
      </c>
      <c r="B1523" s="66" t="s">
        <v>234</v>
      </c>
      <c r="C1523" s="67" t="s">
        <v>4454</v>
      </c>
      <c r="D1523" s="68">
        <v>5</v>
      </c>
      <c r="E1523" s="69"/>
      <c r="F1523" s="70">
        <v>20</v>
      </c>
      <c r="G1523" s="67"/>
      <c r="H1523" s="71"/>
      <c r="I1523" s="72"/>
      <c r="J1523" s="72"/>
      <c r="K1523" s="34" t="s">
        <v>66</v>
      </c>
      <c r="L1523" s="79">
        <v>1523</v>
      </c>
      <c r="M1523" s="79"/>
      <c r="N1523" s="74"/>
      <c r="O1523" s="81" t="s">
        <v>944</v>
      </c>
      <c r="P1523">
        <v>1</v>
      </c>
      <c r="Q1523" s="80" t="str">
        <f>REPLACE(INDEX(GroupVertices[Group],MATCH(Edges[[#This Row],[Vertex 1]],GroupVertices[Vertex],0)),1,1,"")</f>
        <v>2</v>
      </c>
      <c r="R1523" s="80" t="str">
        <f>REPLACE(INDEX(GroupVertices[Group],MATCH(Edges[[#This Row],[Vertex 2]],GroupVertices[Vertex],0)),1,1,"")</f>
        <v>4</v>
      </c>
      <c r="S1523" s="34"/>
      <c r="T1523" s="34"/>
      <c r="U1523" s="34"/>
      <c r="V1523" s="34"/>
      <c r="W1523" s="34"/>
      <c r="X1523" s="34"/>
      <c r="Y1523" s="34"/>
      <c r="Z1523" s="34"/>
      <c r="AA1523" s="34"/>
    </row>
    <row r="1524" spans="1:27" ht="15">
      <c r="A1524" s="66" t="s">
        <v>256</v>
      </c>
      <c r="B1524" s="66" t="s">
        <v>234</v>
      </c>
      <c r="C1524" s="67" t="s">
        <v>4454</v>
      </c>
      <c r="D1524" s="68">
        <v>5</v>
      </c>
      <c r="E1524" s="69"/>
      <c r="F1524" s="70">
        <v>20</v>
      </c>
      <c r="G1524" s="67"/>
      <c r="H1524" s="71"/>
      <c r="I1524" s="72"/>
      <c r="J1524" s="72"/>
      <c r="K1524" s="34" t="s">
        <v>65</v>
      </c>
      <c r="L1524" s="79">
        <v>1524</v>
      </c>
      <c r="M1524" s="79"/>
      <c r="N1524" s="74"/>
      <c r="O1524" s="81" t="s">
        <v>944</v>
      </c>
      <c r="P1524">
        <v>1</v>
      </c>
      <c r="Q1524" s="80" t="str">
        <f>REPLACE(INDEX(GroupVertices[Group],MATCH(Edges[[#This Row],[Vertex 1]],GroupVertices[Vertex],0)),1,1,"")</f>
        <v>1</v>
      </c>
      <c r="R1524" s="80" t="str">
        <f>REPLACE(INDEX(GroupVertices[Group],MATCH(Edges[[#This Row],[Vertex 2]],GroupVertices[Vertex],0)),1,1,"")</f>
        <v>4</v>
      </c>
      <c r="S1524" s="34"/>
      <c r="T1524" s="34"/>
      <c r="U1524" s="34"/>
      <c r="V1524" s="34"/>
      <c r="W1524" s="34"/>
      <c r="X1524" s="34"/>
      <c r="Y1524" s="34"/>
      <c r="Z1524" s="34"/>
      <c r="AA1524" s="34"/>
    </row>
    <row r="1525" spans="1:27" ht="15">
      <c r="A1525" s="66" t="s">
        <v>258</v>
      </c>
      <c r="B1525" s="66" t="s">
        <v>234</v>
      </c>
      <c r="C1525" s="67" t="s">
        <v>4454</v>
      </c>
      <c r="D1525" s="68">
        <v>5</v>
      </c>
      <c r="E1525" s="69"/>
      <c r="F1525" s="70">
        <v>20</v>
      </c>
      <c r="G1525" s="67"/>
      <c r="H1525" s="71"/>
      <c r="I1525" s="72"/>
      <c r="J1525" s="72"/>
      <c r="K1525" s="34" t="s">
        <v>66</v>
      </c>
      <c r="L1525" s="79">
        <v>1525</v>
      </c>
      <c r="M1525" s="79"/>
      <c r="N1525" s="74"/>
      <c r="O1525" s="81" t="s">
        <v>944</v>
      </c>
      <c r="P1525">
        <v>1</v>
      </c>
      <c r="Q1525" s="80" t="str">
        <f>REPLACE(INDEX(GroupVertices[Group],MATCH(Edges[[#This Row],[Vertex 1]],GroupVertices[Vertex],0)),1,1,"")</f>
        <v>1</v>
      </c>
      <c r="R1525" s="80" t="str">
        <f>REPLACE(INDEX(GroupVertices[Group],MATCH(Edges[[#This Row],[Vertex 2]],GroupVertices[Vertex],0)),1,1,"")</f>
        <v>4</v>
      </c>
      <c r="S1525" s="34"/>
      <c r="T1525" s="34"/>
      <c r="U1525" s="34"/>
      <c r="V1525" s="34"/>
      <c r="W1525" s="34"/>
      <c r="X1525" s="34"/>
      <c r="Y1525" s="34"/>
      <c r="Z1525" s="34"/>
      <c r="AA1525" s="34"/>
    </row>
    <row r="1526" spans="1:27" ht="15">
      <c r="A1526" s="66" t="s">
        <v>220</v>
      </c>
      <c r="B1526" s="66" t="s">
        <v>257</v>
      </c>
      <c r="C1526" s="67" t="s">
        <v>4454</v>
      </c>
      <c r="D1526" s="68">
        <v>5</v>
      </c>
      <c r="E1526" s="69"/>
      <c r="F1526" s="70">
        <v>20</v>
      </c>
      <c r="G1526" s="67"/>
      <c r="H1526" s="71"/>
      <c r="I1526" s="72"/>
      <c r="J1526" s="72"/>
      <c r="K1526" s="34" t="s">
        <v>65</v>
      </c>
      <c r="L1526" s="79">
        <v>1526</v>
      </c>
      <c r="M1526" s="79"/>
      <c r="N1526" s="74"/>
      <c r="O1526" s="81" t="s">
        <v>944</v>
      </c>
      <c r="P1526">
        <v>1</v>
      </c>
      <c r="Q1526" s="80" t="str">
        <f>REPLACE(INDEX(GroupVertices[Group],MATCH(Edges[[#This Row],[Vertex 1]],GroupVertices[Vertex],0)),1,1,"")</f>
        <v>2</v>
      </c>
      <c r="R1526" s="80" t="str">
        <f>REPLACE(INDEX(GroupVertices[Group],MATCH(Edges[[#This Row],[Vertex 2]],GroupVertices[Vertex],0)),1,1,"")</f>
        <v>2</v>
      </c>
      <c r="S1526" s="34"/>
      <c r="T1526" s="34"/>
      <c r="U1526" s="34"/>
      <c r="V1526" s="34"/>
      <c r="W1526" s="34"/>
      <c r="X1526" s="34"/>
      <c r="Y1526" s="34"/>
      <c r="Z1526" s="34"/>
      <c r="AA1526" s="34"/>
    </row>
    <row r="1527" spans="1:27" ht="15">
      <c r="A1527" s="66" t="s">
        <v>221</v>
      </c>
      <c r="B1527" s="66" t="s">
        <v>257</v>
      </c>
      <c r="C1527" s="67" t="s">
        <v>4454</v>
      </c>
      <c r="D1527" s="68">
        <v>5</v>
      </c>
      <c r="E1527" s="69"/>
      <c r="F1527" s="70">
        <v>20</v>
      </c>
      <c r="G1527" s="67"/>
      <c r="H1527" s="71"/>
      <c r="I1527" s="72"/>
      <c r="J1527" s="72"/>
      <c r="K1527" s="34" t="s">
        <v>65</v>
      </c>
      <c r="L1527" s="79">
        <v>1527</v>
      </c>
      <c r="M1527" s="79"/>
      <c r="N1527" s="74"/>
      <c r="O1527" s="81" t="s">
        <v>944</v>
      </c>
      <c r="P1527">
        <v>1</v>
      </c>
      <c r="Q1527" s="80" t="str">
        <f>REPLACE(INDEX(GroupVertices[Group],MATCH(Edges[[#This Row],[Vertex 1]],GroupVertices[Vertex],0)),1,1,"")</f>
        <v>2</v>
      </c>
      <c r="R1527" s="80" t="str">
        <f>REPLACE(INDEX(GroupVertices[Group],MATCH(Edges[[#This Row],[Vertex 2]],GroupVertices[Vertex],0)),1,1,"")</f>
        <v>2</v>
      </c>
      <c r="S1527" s="34"/>
      <c r="T1527" s="34"/>
      <c r="U1527" s="34"/>
      <c r="V1527" s="34"/>
      <c r="W1527" s="34"/>
      <c r="X1527" s="34"/>
      <c r="Y1527" s="34"/>
      <c r="Z1527" s="34"/>
      <c r="AA1527" s="34"/>
    </row>
    <row r="1528" spans="1:27" ht="15">
      <c r="A1528" s="66" t="s">
        <v>223</v>
      </c>
      <c r="B1528" s="66" t="s">
        <v>257</v>
      </c>
      <c r="C1528" s="67" t="s">
        <v>4454</v>
      </c>
      <c r="D1528" s="68">
        <v>5</v>
      </c>
      <c r="E1528" s="69"/>
      <c r="F1528" s="70">
        <v>20</v>
      </c>
      <c r="G1528" s="67"/>
      <c r="H1528" s="71"/>
      <c r="I1528" s="72"/>
      <c r="J1528" s="72"/>
      <c r="K1528" s="34" t="s">
        <v>66</v>
      </c>
      <c r="L1528" s="79">
        <v>1528</v>
      </c>
      <c r="M1528" s="79"/>
      <c r="N1528" s="74"/>
      <c r="O1528" s="81" t="s">
        <v>944</v>
      </c>
      <c r="P1528">
        <v>1</v>
      </c>
      <c r="Q1528" s="80" t="str">
        <f>REPLACE(INDEX(GroupVertices[Group],MATCH(Edges[[#This Row],[Vertex 1]],GroupVertices[Vertex],0)),1,1,"")</f>
        <v>3</v>
      </c>
      <c r="R1528" s="80" t="str">
        <f>REPLACE(INDEX(GroupVertices[Group],MATCH(Edges[[#This Row],[Vertex 2]],GroupVertices[Vertex],0)),1,1,"")</f>
        <v>2</v>
      </c>
      <c r="S1528" s="34"/>
      <c r="T1528" s="34"/>
      <c r="U1528" s="34"/>
      <c r="V1528" s="34"/>
      <c r="W1528" s="34"/>
      <c r="X1528" s="34"/>
      <c r="Y1528" s="34"/>
      <c r="Z1528" s="34"/>
      <c r="AA1528" s="34"/>
    </row>
    <row r="1529" spans="1:27" ht="15">
      <c r="A1529" s="66" t="s">
        <v>224</v>
      </c>
      <c r="B1529" s="66" t="s">
        <v>257</v>
      </c>
      <c r="C1529" s="67" t="s">
        <v>4454</v>
      </c>
      <c r="D1529" s="68">
        <v>5</v>
      </c>
      <c r="E1529" s="69"/>
      <c r="F1529" s="70">
        <v>20</v>
      </c>
      <c r="G1529" s="67"/>
      <c r="H1529" s="71"/>
      <c r="I1529" s="72"/>
      <c r="J1529" s="72"/>
      <c r="K1529" s="34" t="s">
        <v>66</v>
      </c>
      <c r="L1529" s="79">
        <v>1529</v>
      </c>
      <c r="M1529" s="79"/>
      <c r="N1529" s="74"/>
      <c r="O1529" s="81" t="s">
        <v>944</v>
      </c>
      <c r="P1529">
        <v>1</v>
      </c>
      <c r="Q1529" s="80" t="str">
        <f>REPLACE(INDEX(GroupVertices[Group],MATCH(Edges[[#This Row],[Vertex 1]],GroupVertices[Vertex],0)),1,1,"")</f>
        <v>2</v>
      </c>
      <c r="R1529" s="80" t="str">
        <f>REPLACE(INDEX(GroupVertices[Group],MATCH(Edges[[#This Row],[Vertex 2]],GroupVertices[Vertex],0)),1,1,"")</f>
        <v>2</v>
      </c>
      <c r="S1529" s="34"/>
      <c r="T1529" s="34"/>
      <c r="U1529" s="34"/>
      <c r="V1529" s="34"/>
      <c r="W1529" s="34"/>
      <c r="X1529" s="34"/>
      <c r="Y1529" s="34"/>
      <c r="Z1529" s="34"/>
      <c r="AA1529" s="34"/>
    </row>
    <row r="1530" spans="1:27" ht="15">
      <c r="A1530" s="66" t="s">
        <v>233</v>
      </c>
      <c r="B1530" s="66" t="s">
        <v>257</v>
      </c>
      <c r="C1530" s="67" t="s">
        <v>4454</v>
      </c>
      <c r="D1530" s="68">
        <v>5</v>
      </c>
      <c r="E1530" s="69"/>
      <c r="F1530" s="70">
        <v>20</v>
      </c>
      <c r="G1530" s="67"/>
      <c r="H1530" s="71"/>
      <c r="I1530" s="72"/>
      <c r="J1530" s="72"/>
      <c r="K1530" s="34" t="s">
        <v>66</v>
      </c>
      <c r="L1530" s="79">
        <v>1530</v>
      </c>
      <c r="M1530" s="79"/>
      <c r="N1530" s="74"/>
      <c r="O1530" s="81" t="s">
        <v>944</v>
      </c>
      <c r="P1530">
        <v>1</v>
      </c>
      <c r="Q1530" s="80" t="str">
        <f>REPLACE(INDEX(GroupVertices[Group],MATCH(Edges[[#This Row],[Vertex 1]],GroupVertices[Vertex],0)),1,1,"")</f>
        <v>2</v>
      </c>
      <c r="R1530" s="80" t="str">
        <f>REPLACE(INDEX(GroupVertices[Group],MATCH(Edges[[#This Row],[Vertex 2]],GroupVertices[Vertex],0)),1,1,"")</f>
        <v>2</v>
      </c>
      <c r="S1530" s="34"/>
      <c r="T1530" s="34"/>
      <c r="U1530" s="34"/>
      <c r="V1530" s="34"/>
      <c r="W1530" s="34"/>
      <c r="X1530" s="34"/>
      <c r="Y1530" s="34"/>
      <c r="Z1530" s="34"/>
      <c r="AA1530" s="34"/>
    </row>
    <row r="1531" spans="1:27" ht="15">
      <c r="A1531" s="66" t="s">
        <v>235</v>
      </c>
      <c r="B1531" s="66" t="s">
        <v>257</v>
      </c>
      <c r="C1531" s="67" t="s">
        <v>4454</v>
      </c>
      <c r="D1531" s="68">
        <v>5</v>
      </c>
      <c r="E1531" s="69"/>
      <c r="F1531" s="70">
        <v>20</v>
      </c>
      <c r="G1531" s="67"/>
      <c r="H1531" s="71"/>
      <c r="I1531" s="72"/>
      <c r="J1531" s="72"/>
      <c r="K1531" s="34" t="s">
        <v>66</v>
      </c>
      <c r="L1531" s="79">
        <v>1531</v>
      </c>
      <c r="M1531" s="79"/>
      <c r="N1531" s="74"/>
      <c r="O1531" s="81" t="s">
        <v>944</v>
      </c>
      <c r="P1531">
        <v>1</v>
      </c>
      <c r="Q1531" s="80" t="str">
        <f>REPLACE(INDEX(GroupVertices[Group],MATCH(Edges[[#This Row],[Vertex 1]],GroupVertices[Vertex],0)),1,1,"")</f>
        <v>2</v>
      </c>
      <c r="R1531" s="80" t="str">
        <f>REPLACE(INDEX(GroupVertices[Group],MATCH(Edges[[#This Row],[Vertex 2]],GroupVertices[Vertex],0)),1,1,"")</f>
        <v>2</v>
      </c>
      <c r="S1531" s="34"/>
      <c r="T1531" s="34"/>
      <c r="U1531" s="34"/>
      <c r="V1531" s="34"/>
      <c r="W1531" s="34"/>
      <c r="X1531" s="34"/>
      <c r="Y1531" s="34"/>
      <c r="Z1531" s="34"/>
      <c r="AA1531" s="34"/>
    </row>
    <row r="1532" spans="1:27" ht="15">
      <c r="A1532" s="66" t="s">
        <v>238</v>
      </c>
      <c r="B1532" s="66" t="s">
        <v>257</v>
      </c>
      <c r="C1532" s="67" t="s">
        <v>4454</v>
      </c>
      <c r="D1532" s="68">
        <v>5</v>
      </c>
      <c r="E1532" s="69"/>
      <c r="F1532" s="70">
        <v>20</v>
      </c>
      <c r="G1532" s="67"/>
      <c r="H1532" s="71"/>
      <c r="I1532" s="72"/>
      <c r="J1532" s="72"/>
      <c r="K1532" s="34" t="s">
        <v>66</v>
      </c>
      <c r="L1532" s="79">
        <v>1532</v>
      </c>
      <c r="M1532" s="79"/>
      <c r="N1532" s="74"/>
      <c r="O1532" s="81" t="s">
        <v>944</v>
      </c>
      <c r="P1532">
        <v>1</v>
      </c>
      <c r="Q1532" s="80" t="str">
        <f>REPLACE(INDEX(GroupVertices[Group],MATCH(Edges[[#This Row],[Vertex 1]],GroupVertices[Vertex],0)),1,1,"")</f>
        <v>2</v>
      </c>
      <c r="R1532" s="80" t="str">
        <f>REPLACE(INDEX(GroupVertices[Group],MATCH(Edges[[#This Row],[Vertex 2]],GroupVertices[Vertex],0)),1,1,"")</f>
        <v>2</v>
      </c>
      <c r="S1532" s="34"/>
      <c r="T1532" s="34"/>
      <c r="U1532" s="34"/>
      <c r="V1532" s="34"/>
      <c r="W1532" s="34"/>
      <c r="X1532" s="34"/>
      <c r="Y1532" s="34"/>
      <c r="Z1532" s="34"/>
      <c r="AA1532" s="34"/>
    </row>
    <row r="1533" spans="1:27" ht="15">
      <c r="A1533" s="66" t="s">
        <v>240</v>
      </c>
      <c r="B1533" s="66" t="s">
        <v>257</v>
      </c>
      <c r="C1533" s="67" t="s">
        <v>4454</v>
      </c>
      <c r="D1533" s="68">
        <v>5</v>
      </c>
      <c r="E1533" s="69"/>
      <c r="F1533" s="70">
        <v>20</v>
      </c>
      <c r="G1533" s="67"/>
      <c r="H1533" s="71"/>
      <c r="I1533" s="72"/>
      <c r="J1533" s="72"/>
      <c r="K1533" s="34" t="s">
        <v>65</v>
      </c>
      <c r="L1533" s="79">
        <v>1533</v>
      </c>
      <c r="M1533" s="79"/>
      <c r="N1533" s="74"/>
      <c r="O1533" s="81" t="s">
        <v>944</v>
      </c>
      <c r="P1533">
        <v>1</v>
      </c>
      <c r="Q1533" s="80" t="str">
        <f>REPLACE(INDEX(GroupVertices[Group],MATCH(Edges[[#This Row],[Vertex 1]],GroupVertices[Vertex],0)),1,1,"")</f>
        <v>2</v>
      </c>
      <c r="R1533" s="80" t="str">
        <f>REPLACE(INDEX(GroupVertices[Group],MATCH(Edges[[#This Row],[Vertex 2]],GroupVertices[Vertex],0)),1,1,"")</f>
        <v>2</v>
      </c>
      <c r="S1533" s="34"/>
      <c r="T1533" s="34"/>
      <c r="U1533" s="34"/>
      <c r="V1533" s="34"/>
      <c r="W1533" s="34"/>
      <c r="X1533" s="34"/>
      <c r="Y1533" s="34"/>
      <c r="Z1533" s="34"/>
      <c r="AA1533" s="34"/>
    </row>
    <row r="1534" spans="1:27" ht="15">
      <c r="A1534" s="66" t="s">
        <v>241</v>
      </c>
      <c r="B1534" s="66" t="s">
        <v>257</v>
      </c>
      <c r="C1534" s="67" t="s">
        <v>4454</v>
      </c>
      <c r="D1534" s="68">
        <v>5</v>
      </c>
      <c r="E1534" s="69"/>
      <c r="F1534" s="70">
        <v>20</v>
      </c>
      <c r="G1534" s="67"/>
      <c r="H1534" s="71"/>
      <c r="I1534" s="72"/>
      <c r="J1534" s="72"/>
      <c r="K1534" s="34" t="s">
        <v>66</v>
      </c>
      <c r="L1534" s="79">
        <v>1534</v>
      </c>
      <c r="M1534" s="79"/>
      <c r="N1534" s="74"/>
      <c r="O1534" s="81" t="s">
        <v>944</v>
      </c>
      <c r="P1534">
        <v>1</v>
      </c>
      <c r="Q1534" s="80" t="str">
        <f>REPLACE(INDEX(GroupVertices[Group],MATCH(Edges[[#This Row],[Vertex 1]],GroupVertices[Vertex],0)),1,1,"")</f>
        <v>2</v>
      </c>
      <c r="R1534" s="80" t="str">
        <f>REPLACE(INDEX(GroupVertices[Group],MATCH(Edges[[#This Row],[Vertex 2]],GroupVertices[Vertex],0)),1,1,"")</f>
        <v>2</v>
      </c>
      <c r="S1534" s="34"/>
      <c r="T1534" s="34"/>
      <c r="U1534" s="34"/>
      <c r="V1534" s="34"/>
      <c r="W1534" s="34"/>
      <c r="X1534" s="34"/>
      <c r="Y1534" s="34"/>
      <c r="Z1534" s="34"/>
      <c r="AA1534" s="34"/>
    </row>
    <row r="1535" spans="1:27" ht="15">
      <c r="A1535" s="66" t="s">
        <v>243</v>
      </c>
      <c r="B1535" s="66" t="s">
        <v>257</v>
      </c>
      <c r="C1535" s="67" t="s">
        <v>4454</v>
      </c>
      <c r="D1535" s="68">
        <v>5</v>
      </c>
      <c r="E1535" s="69"/>
      <c r="F1535" s="70">
        <v>20</v>
      </c>
      <c r="G1535" s="67"/>
      <c r="H1535" s="71"/>
      <c r="I1535" s="72"/>
      <c r="J1535" s="72"/>
      <c r="K1535" s="34" t="s">
        <v>66</v>
      </c>
      <c r="L1535" s="79">
        <v>1535</v>
      </c>
      <c r="M1535" s="79"/>
      <c r="N1535" s="74"/>
      <c r="O1535" s="81" t="s">
        <v>944</v>
      </c>
      <c r="P1535">
        <v>1</v>
      </c>
      <c r="Q1535" s="80" t="str">
        <f>REPLACE(INDEX(GroupVertices[Group],MATCH(Edges[[#This Row],[Vertex 1]],GroupVertices[Vertex],0)),1,1,"")</f>
        <v>2</v>
      </c>
      <c r="R1535" s="80" t="str">
        <f>REPLACE(INDEX(GroupVertices[Group],MATCH(Edges[[#This Row],[Vertex 2]],GroupVertices[Vertex],0)),1,1,"")</f>
        <v>2</v>
      </c>
      <c r="S1535" s="34"/>
      <c r="T1535" s="34"/>
      <c r="U1535" s="34"/>
      <c r="V1535" s="34"/>
      <c r="W1535" s="34"/>
      <c r="X1535" s="34"/>
      <c r="Y1535" s="34"/>
      <c r="Z1535" s="34"/>
      <c r="AA1535" s="34"/>
    </row>
    <row r="1536" spans="1:27" ht="15">
      <c r="A1536" s="66" t="s">
        <v>246</v>
      </c>
      <c r="B1536" s="66" t="s">
        <v>257</v>
      </c>
      <c r="C1536" s="67" t="s">
        <v>4454</v>
      </c>
      <c r="D1536" s="68">
        <v>5</v>
      </c>
      <c r="E1536" s="69"/>
      <c r="F1536" s="70">
        <v>20</v>
      </c>
      <c r="G1536" s="67"/>
      <c r="H1536" s="71"/>
      <c r="I1536" s="72"/>
      <c r="J1536" s="72"/>
      <c r="K1536" s="34" t="s">
        <v>66</v>
      </c>
      <c r="L1536" s="79">
        <v>1536</v>
      </c>
      <c r="M1536" s="79"/>
      <c r="N1536" s="74"/>
      <c r="O1536" s="81" t="s">
        <v>944</v>
      </c>
      <c r="P1536">
        <v>1</v>
      </c>
      <c r="Q1536" s="80" t="str">
        <f>REPLACE(INDEX(GroupVertices[Group],MATCH(Edges[[#This Row],[Vertex 1]],GroupVertices[Vertex],0)),1,1,"")</f>
        <v>2</v>
      </c>
      <c r="R1536" s="80" t="str">
        <f>REPLACE(INDEX(GroupVertices[Group],MATCH(Edges[[#This Row],[Vertex 2]],GroupVertices[Vertex],0)),1,1,"")</f>
        <v>2</v>
      </c>
      <c r="S1536" s="34"/>
      <c r="T1536" s="34"/>
      <c r="U1536" s="34"/>
      <c r="V1536" s="34"/>
      <c r="W1536" s="34"/>
      <c r="X1536" s="34"/>
      <c r="Y1536" s="34"/>
      <c r="Z1536" s="34"/>
      <c r="AA1536" s="34"/>
    </row>
    <row r="1537" spans="1:27" ht="15">
      <c r="A1537" s="66" t="s">
        <v>247</v>
      </c>
      <c r="B1537" s="66" t="s">
        <v>257</v>
      </c>
      <c r="C1537" s="67" t="s">
        <v>4454</v>
      </c>
      <c r="D1537" s="68">
        <v>5</v>
      </c>
      <c r="E1537" s="69"/>
      <c r="F1537" s="70">
        <v>20</v>
      </c>
      <c r="G1537" s="67"/>
      <c r="H1537" s="71"/>
      <c r="I1537" s="72"/>
      <c r="J1537" s="72"/>
      <c r="K1537" s="34" t="s">
        <v>66</v>
      </c>
      <c r="L1537" s="79">
        <v>1537</v>
      </c>
      <c r="M1537" s="79"/>
      <c r="N1537" s="74"/>
      <c r="O1537" s="81" t="s">
        <v>944</v>
      </c>
      <c r="P1537">
        <v>1</v>
      </c>
      <c r="Q1537" s="80" t="str">
        <f>REPLACE(INDEX(GroupVertices[Group],MATCH(Edges[[#This Row],[Vertex 1]],GroupVertices[Vertex],0)),1,1,"")</f>
        <v>2</v>
      </c>
      <c r="R1537" s="80" t="str">
        <f>REPLACE(INDEX(GroupVertices[Group],MATCH(Edges[[#This Row],[Vertex 2]],GroupVertices[Vertex],0)),1,1,"")</f>
        <v>2</v>
      </c>
      <c r="S1537" s="34"/>
      <c r="T1537" s="34"/>
      <c r="U1537" s="34"/>
      <c r="V1537" s="34"/>
      <c r="W1537" s="34"/>
      <c r="X1537" s="34"/>
      <c r="Y1537" s="34"/>
      <c r="Z1537" s="34"/>
      <c r="AA1537" s="34"/>
    </row>
    <row r="1538" spans="1:27" ht="15">
      <c r="A1538" s="66" t="s">
        <v>249</v>
      </c>
      <c r="B1538" s="66" t="s">
        <v>257</v>
      </c>
      <c r="C1538" s="67" t="s">
        <v>4454</v>
      </c>
      <c r="D1538" s="68">
        <v>5</v>
      </c>
      <c r="E1538" s="69"/>
      <c r="F1538" s="70">
        <v>20</v>
      </c>
      <c r="G1538" s="67"/>
      <c r="H1538" s="71"/>
      <c r="I1538" s="72"/>
      <c r="J1538" s="72"/>
      <c r="K1538" s="34" t="s">
        <v>66</v>
      </c>
      <c r="L1538" s="79">
        <v>1538</v>
      </c>
      <c r="M1538" s="79"/>
      <c r="N1538" s="74"/>
      <c r="O1538" s="81" t="s">
        <v>944</v>
      </c>
      <c r="P1538">
        <v>1</v>
      </c>
      <c r="Q1538" s="80" t="str">
        <f>REPLACE(INDEX(GroupVertices[Group],MATCH(Edges[[#This Row],[Vertex 1]],GroupVertices[Vertex],0)),1,1,"")</f>
        <v>2</v>
      </c>
      <c r="R1538" s="80" t="str">
        <f>REPLACE(INDEX(GroupVertices[Group],MATCH(Edges[[#This Row],[Vertex 2]],GroupVertices[Vertex],0)),1,1,"")</f>
        <v>2</v>
      </c>
      <c r="S1538" s="34"/>
      <c r="T1538" s="34"/>
      <c r="U1538" s="34"/>
      <c r="V1538" s="34"/>
      <c r="W1538" s="34"/>
      <c r="X1538" s="34"/>
      <c r="Y1538" s="34"/>
      <c r="Z1538" s="34"/>
      <c r="AA1538" s="34"/>
    </row>
    <row r="1539" spans="1:27" ht="15">
      <c r="A1539" s="66" t="s">
        <v>250</v>
      </c>
      <c r="B1539" s="66" t="s">
        <v>257</v>
      </c>
      <c r="C1539" s="67" t="s">
        <v>4454</v>
      </c>
      <c r="D1539" s="68">
        <v>5</v>
      </c>
      <c r="E1539" s="69"/>
      <c r="F1539" s="70">
        <v>20</v>
      </c>
      <c r="G1539" s="67"/>
      <c r="H1539" s="71"/>
      <c r="I1539" s="72"/>
      <c r="J1539" s="72"/>
      <c r="K1539" s="34" t="s">
        <v>66</v>
      </c>
      <c r="L1539" s="79">
        <v>1539</v>
      </c>
      <c r="M1539" s="79"/>
      <c r="N1539" s="74"/>
      <c r="O1539" s="81" t="s">
        <v>944</v>
      </c>
      <c r="P1539">
        <v>1</v>
      </c>
      <c r="Q1539" s="80" t="str">
        <f>REPLACE(INDEX(GroupVertices[Group],MATCH(Edges[[#This Row],[Vertex 1]],GroupVertices[Vertex],0)),1,1,"")</f>
        <v>2</v>
      </c>
      <c r="R1539" s="80" t="str">
        <f>REPLACE(INDEX(GroupVertices[Group],MATCH(Edges[[#This Row],[Vertex 2]],GroupVertices[Vertex],0)),1,1,"")</f>
        <v>2</v>
      </c>
      <c r="S1539" s="34"/>
      <c r="T1539" s="34"/>
      <c r="U1539" s="34"/>
      <c r="V1539" s="34"/>
      <c r="W1539" s="34"/>
      <c r="X1539" s="34"/>
      <c r="Y1539" s="34"/>
      <c r="Z1539" s="34"/>
      <c r="AA1539" s="34"/>
    </row>
    <row r="1540" spans="1:27" ht="15">
      <c r="A1540" s="66" t="s">
        <v>255</v>
      </c>
      <c r="B1540" s="66" t="s">
        <v>257</v>
      </c>
      <c r="C1540" s="67" t="s">
        <v>4454</v>
      </c>
      <c r="D1540" s="68">
        <v>5</v>
      </c>
      <c r="E1540" s="69"/>
      <c r="F1540" s="70">
        <v>20</v>
      </c>
      <c r="G1540" s="67"/>
      <c r="H1540" s="71"/>
      <c r="I1540" s="72"/>
      <c r="J1540" s="72"/>
      <c r="K1540" s="34" t="s">
        <v>66</v>
      </c>
      <c r="L1540" s="79">
        <v>1540</v>
      </c>
      <c r="M1540" s="79"/>
      <c r="N1540" s="74"/>
      <c r="O1540" s="81" t="s">
        <v>944</v>
      </c>
      <c r="P1540">
        <v>1</v>
      </c>
      <c r="Q1540" s="80" t="str">
        <f>REPLACE(INDEX(GroupVertices[Group],MATCH(Edges[[#This Row],[Vertex 1]],GroupVertices[Vertex],0)),1,1,"")</f>
        <v>4</v>
      </c>
      <c r="R1540" s="80" t="str">
        <f>REPLACE(INDEX(GroupVertices[Group],MATCH(Edges[[#This Row],[Vertex 2]],GroupVertices[Vertex],0)),1,1,"")</f>
        <v>2</v>
      </c>
      <c r="S1540" s="34"/>
      <c r="T1540" s="34"/>
      <c r="U1540" s="34"/>
      <c r="V1540" s="34"/>
      <c r="W1540" s="34"/>
      <c r="X1540" s="34"/>
      <c r="Y1540" s="34"/>
      <c r="Z1540" s="34"/>
      <c r="AA1540" s="34"/>
    </row>
    <row r="1541" spans="1:27" ht="15">
      <c r="A1541" s="66" t="s">
        <v>256</v>
      </c>
      <c r="B1541" s="66" t="s">
        <v>257</v>
      </c>
      <c r="C1541" s="67" t="s">
        <v>4454</v>
      </c>
      <c r="D1541" s="68">
        <v>5</v>
      </c>
      <c r="E1541" s="69"/>
      <c r="F1541" s="70">
        <v>20</v>
      </c>
      <c r="G1541" s="67"/>
      <c r="H1541" s="71"/>
      <c r="I1541" s="72"/>
      <c r="J1541" s="72"/>
      <c r="K1541" s="34" t="s">
        <v>66</v>
      </c>
      <c r="L1541" s="79">
        <v>1541</v>
      </c>
      <c r="M1541" s="79"/>
      <c r="N1541" s="74"/>
      <c r="O1541" s="81" t="s">
        <v>944</v>
      </c>
      <c r="P1541">
        <v>1</v>
      </c>
      <c r="Q1541" s="80" t="str">
        <f>REPLACE(INDEX(GroupVertices[Group],MATCH(Edges[[#This Row],[Vertex 1]],GroupVertices[Vertex],0)),1,1,"")</f>
        <v>1</v>
      </c>
      <c r="R1541" s="80" t="str">
        <f>REPLACE(INDEX(GroupVertices[Group],MATCH(Edges[[#This Row],[Vertex 2]],GroupVertices[Vertex],0)),1,1,"")</f>
        <v>2</v>
      </c>
      <c r="S1541" s="34"/>
      <c r="T1541" s="34"/>
      <c r="U1541" s="34"/>
      <c r="V1541" s="34"/>
      <c r="W1541" s="34"/>
      <c r="X1541" s="34"/>
      <c r="Y1541" s="34"/>
      <c r="Z1541" s="34"/>
      <c r="AA1541" s="34"/>
    </row>
    <row r="1542" spans="1:27" ht="15">
      <c r="A1542" s="66" t="s">
        <v>257</v>
      </c>
      <c r="B1542" s="66" t="s">
        <v>478</v>
      </c>
      <c r="C1542" s="67" t="s">
        <v>4454</v>
      </c>
      <c r="D1542" s="68">
        <v>5</v>
      </c>
      <c r="E1542" s="69"/>
      <c r="F1542" s="70">
        <v>20</v>
      </c>
      <c r="G1542" s="67"/>
      <c r="H1542" s="71"/>
      <c r="I1542" s="72"/>
      <c r="J1542" s="72"/>
      <c r="K1542" s="34" t="s">
        <v>65</v>
      </c>
      <c r="L1542" s="79">
        <v>1542</v>
      </c>
      <c r="M1542" s="79"/>
      <c r="N1542" s="74"/>
      <c r="O1542" s="81" t="s">
        <v>944</v>
      </c>
      <c r="P1542">
        <v>1</v>
      </c>
      <c r="Q1542" s="80" t="str">
        <f>REPLACE(INDEX(GroupVertices[Group],MATCH(Edges[[#This Row],[Vertex 1]],GroupVertices[Vertex],0)),1,1,"")</f>
        <v>2</v>
      </c>
      <c r="R1542" s="80" t="str">
        <f>REPLACE(INDEX(GroupVertices[Group],MATCH(Edges[[#This Row],[Vertex 2]],GroupVertices[Vertex],0)),1,1,"")</f>
        <v>3</v>
      </c>
      <c r="S1542" s="34"/>
      <c r="T1542" s="34"/>
      <c r="U1542" s="34"/>
      <c r="V1542" s="34"/>
      <c r="W1542" s="34"/>
      <c r="X1542" s="34"/>
      <c r="Y1542" s="34"/>
      <c r="Z1542" s="34"/>
      <c r="AA1542" s="34"/>
    </row>
    <row r="1543" spans="1:27" ht="15">
      <c r="A1543" s="66" t="s">
        <v>257</v>
      </c>
      <c r="B1543" s="66" t="s">
        <v>231</v>
      </c>
      <c r="C1543" s="67" t="s">
        <v>4454</v>
      </c>
      <c r="D1543" s="68">
        <v>5</v>
      </c>
      <c r="E1543" s="69"/>
      <c r="F1543" s="70">
        <v>20</v>
      </c>
      <c r="G1543" s="67"/>
      <c r="H1543" s="71"/>
      <c r="I1543" s="72"/>
      <c r="J1543" s="72"/>
      <c r="K1543" s="34" t="s">
        <v>65</v>
      </c>
      <c r="L1543" s="79">
        <v>1543</v>
      </c>
      <c r="M1543" s="79"/>
      <c r="N1543" s="74"/>
      <c r="O1543" s="81" t="s">
        <v>944</v>
      </c>
      <c r="P1543">
        <v>1</v>
      </c>
      <c r="Q1543" s="80" t="str">
        <f>REPLACE(INDEX(GroupVertices[Group],MATCH(Edges[[#This Row],[Vertex 1]],GroupVertices[Vertex],0)),1,1,"")</f>
        <v>2</v>
      </c>
      <c r="R1543" s="80" t="str">
        <f>REPLACE(INDEX(GroupVertices[Group],MATCH(Edges[[#This Row],[Vertex 2]],GroupVertices[Vertex],0)),1,1,"")</f>
        <v>1</v>
      </c>
      <c r="S1543" s="34"/>
      <c r="T1543" s="34"/>
      <c r="U1543" s="34"/>
      <c r="V1543" s="34"/>
      <c r="W1543" s="34"/>
      <c r="X1543" s="34"/>
      <c r="Y1543" s="34"/>
      <c r="Z1543" s="34"/>
      <c r="AA1543" s="34"/>
    </row>
    <row r="1544" spans="1:27" ht="15">
      <c r="A1544" s="66" t="s">
        <v>257</v>
      </c>
      <c r="B1544" s="66" t="s">
        <v>663</v>
      </c>
      <c r="C1544" s="67" t="s">
        <v>4454</v>
      </c>
      <c r="D1544" s="68">
        <v>5</v>
      </c>
      <c r="E1544" s="69"/>
      <c r="F1544" s="70">
        <v>20</v>
      </c>
      <c r="G1544" s="67"/>
      <c r="H1544" s="71"/>
      <c r="I1544" s="72"/>
      <c r="J1544" s="72"/>
      <c r="K1544" s="34" t="s">
        <v>65</v>
      </c>
      <c r="L1544" s="79">
        <v>1544</v>
      </c>
      <c r="M1544" s="79"/>
      <c r="N1544" s="74"/>
      <c r="O1544" s="81" t="s">
        <v>944</v>
      </c>
      <c r="P1544">
        <v>1</v>
      </c>
      <c r="Q1544" s="80" t="str">
        <f>REPLACE(INDEX(GroupVertices[Group],MATCH(Edges[[#This Row],[Vertex 1]],GroupVertices[Vertex],0)),1,1,"")</f>
        <v>2</v>
      </c>
      <c r="R1544" s="80" t="str">
        <f>REPLACE(INDEX(GroupVertices[Group],MATCH(Edges[[#This Row],[Vertex 2]],GroupVertices[Vertex],0)),1,1,"")</f>
        <v>1</v>
      </c>
      <c r="S1544" s="34"/>
      <c r="T1544" s="34"/>
      <c r="U1544" s="34"/>
      <c r="V1544" s="34"/>
      <c r="W1544" s="34"/>
      <c r="X1544" s="34"/>
      <c r="Y1544" s="34"/>
      <c r="Z1544" s="34"/>
      <c r="AA1544" s="34"/>
    </row>
    <row r="1545" spans="1:27" ht="15">
      <c r="A1545" s="66" t="s">
        <v>257</v>
      </c>
      <c r="B1545" s="66" t="s">
        <v>883</v>
      </c>
      <c r="C1545" s="67" t="s">
        <v>4454</v>
      </c>
      <c r="D1545" s="68">
        <v>5</v>
      </c>
      <c r="E1545" s="69"/>
      <c r="F1545" s="70">
        <v>20</v>
      </c>
      <c r="G1545" s="67"/>
      <c r="H1545" s="71"/>
      <c r="I1545" s="72"/>
      <c r="J1545" s="72"/>
      <c r="K1545" s="34" t="s">
        <v>65</v>
      </c>
      <c r="L1545" s="79">
        <v>1545</v>
      </c>
      <c r="M1545" s="79"/>
      <c r="N1545" s="74"/>
      <c r="O1545" s="81" t="s">
        <v>944</v>
      </c>
      <c r="P1545">
        <v>1</v>
      </c>
      <c r="Q1545" s="80" t="str">
        <f>REPLACE(INDEX(GroupVertices[Group],MATCH(Edges[[#This Row],[Vertex 1]],GroupVertices[Vertex],0)),1,1,"")</f>
        <v>2</v>
      </c>
      <c r="R1545" s="80" t="str">
        <f>REPLACE(INDEX(GroupVertices[Group],MATCH(Edges[[#This Row],[Vertex 2]],GroupVertices[Vertex],0)),1,1,"")</f>
        <v>1</v>
      </c>
      <c r="S1545" s="34"/>
      <c r="T1545" s="34"/>
      <c r="U1545" s="34"/>
      <c r="V1545" s="34"/>
      <c r="W1545" s="34"/>
      <c r="X1545" s="34"/>
      <c r="Y1545" s="34"/>
      <c r="Z1545" s="34"/>
      <c r="AA1545" s="34"/>
    </row>
    <row r="1546" spans="1:27" ht="15">
      <c r="A1546" s="66" t="s">
        <v>257</v>
      </c>
      <c r="B1546" s="66" t="s">
        <v>512</v>
      </c>
      <c r="C1546" s="67" t="s">
        <v>4454</v>
      </c>
      <c r="D1546" s="68">
        <v>5</v>
      </c>
      <c r="E1546" s="69"/>
      <c r="F1546" s="70">
        <v>20</v>
      </c>
      <c r="G1546" s="67"/>
      <c r="H1546" s="71"/>
      <c r="I1546" s="72"/>
      <c r="J1546" s="72"/>
      <c r="K1546" s="34" t="s">
        <v>65</v>
      </c>
      <c r="L1546" s="79">
        <v>1546</v>
      </c>
      <c r="M1546" s="79"/>
      <c r="N1546" s="74"/>
      <c r="O1546" s="81" t="s">
        <v>944</v>
      </c>
      <c r="P1546">
        <v>1</v>
      </c>
      <c r="Q1546" s="80" t="str">
        <f>REPLACE(INDEX(GroupVertices[Group],MATCH(Edges[[#This Row],[Vertex 1]],GroupVertices[Vertex],0)),1,1,"")</f>
        <v>2</v>
      </c>
      <c r="R1546" s="80" t="str">
        <f>REPLACE(INDEX(GroupVertices[Group],MATCH(Edges[[#This Row],[Vertex 2]],GroupVertices[Vertex],0)),1,1,"")</f>
        <v>2</v>
      </c>
      <c r="S1546" s="34"/>
      <c r="T1546" s="34"/>
      <c r="U1546" s="34"/>
      <c r="V1546" s="34"/>
      <c r="W1546" s="34"/>
      <c r="X1546" s="34"/>
      <c r="Y1546" s="34"/>
      <c r="Z1546" s="34"/>
      <c r="AA1546" s="34"/>
    </row>
    <row r="1547" spans="1:27" ht="15">
      <c r="A1547" s="66" t="s">
        <v>257</v>
      </c>
      <c r="B1547" s="66" t="s">
        <v>226</v>
      </c>
      <c r="C1547" s="67" t="s">
        <v>4454</v>
      </c>
      <c r="D1547" s="68">
        <v>5</v>
      </c>
      <c r="E1547" s="69"/>
      <c r="F1547" s="70">
        <v>20</v>
      </c>
      <c r="G1547" s="67"/>
      <c r="H1547" s="71"/>
      <c r="I1547" s="72"/>
      <c r="J1547" s="72"/>
      <c r="K1547" s="34" t="s">
        <v>65</v>
      </c>
      <c r="L1547" s="79">
        <v>1547</v>
      </c>
      <c r="M1547" s="79"/>
      <c r="N1547" s="74"/>
      <c r="O1547" s="81" t="s">
        <v>944</v>
      </c>
      <c r="P1547">
        <v>1</v>
      </c>
      <c r="Q1547" s="80" t="str">
        <f>REPLACE(INDEX(GroupVertices[Group],MATCH(Edges[[#This Row],[Vertex 1]],GroupVertices[Vertex],0)),1,1,"")</f>
        <v>2</v>
      </c>
      <c r="R1547" s="80" t="str">
        <f>REPLACE(INDEX(GroupVertices[Group],MATCH(Edges[[#This Row],[Vertex 2]],GroupVertices[Vertex],0)),1,1,"")</f>
        <v>4</v>
      </c>
      <c r="S1547" s="34"/>
      <c r="T1547" s="34"/>
      <c r="U1547" s="34"/>
      <c r="V1547" s="34"/>
      <c r="W1547" s="34"/>
      <c r="X1547" s="34"/>
      <c r="Y1547" s="34"/>
      <c r="Z1547" s="34"/>
      <c r="AA1547" s="34"/>
    </row>
    <row r="1548" spans="1:27" ht="15">
      <c r="A1548" s="66" t="s">
        <v>257</v>
      </c>
      <c r="B1548" s="66" t="s">
        <v>480</v>
      </c>
      <c r="C1548" s="67" t="s">
        <v>4454</v>
      </c>
      <c r="D1548" s="68">
        <v>5</v>
      </c>
      <c r="E1548" s="69"/>
      <c r="F1548" s="70">
        <v>20</v>
      </c>
      <c r="G1548" s="67"/>
      <c r="H1548" s="71"/>
      <c r="I1548" s="72"/>
      <c r="J1548" s="72"/>
      <c r="K1548" s="34" t="s">
        <v>65</v>
      </c>
      <c r="L1548" s="79">
        <v>1548</v>
      </c>
      <c r="M1548" s="79"/>
      <c r="N1548" s="74"/>
      <c r="O1548" s="81" t="s">
        <v>944</v>
      </c>
      <c r="P1548">
        <v>1</v>
      </c>
      <c r="Q1548" s="80" t="str">
        <f>REPLACE(INDEX(GroupVertices[Group],MATCH(Edges[[#This Row],[Vertex 1]],GroupVertices[Vertex],0)),1,1,"")</f>
        <v>2</v>
      </c>
      <c r="R1548" s="80" t="str">
        <f>REPLACE(INDEX(GroupVertices[Group],MATCH(Edges[[#This Row],[Vertex 2]],GroupVertices[Vertex],0)),1,1,"")</f>
        <v>1</v>
      </c>
      <c r="S1548" s="34"/>
      <c r="T1548" s="34"/>
      <c r="U1548" s="34"/>
      <c r="V1548" s="34"/>
      <c r="W1548" s="34"/>
      <c r="X1548" s="34"/>
      <c r="Y1548" s="34"/>
      <c r="Z1548" s="34"/>
      <c r="AA1548" s="34"/>
    </row>
    <row r="1549" spans="1:27" ht="15">
      <c r="A1549" s="66" t="s">
        <v>257</v>
      </c>
      <c r="B1549" s="66" t="s">
        <v>884</v>
      </c>
      <c r="C1549" s="67" t="s">
        <v>4454</v>
      </c>
      <c r="D1549" s="68">
        <v>5</v>
      </c>
      <c r="E1549" s="69"/>
      <c r="F1549" s="70">
        <v>20</v>
      </c>
      <c r="G1549" s="67"/>
      <c r="H1549" s="71"/>
      <c r="I1549" s="72"/>
      <c r="J1549" s="72"/>
      <c r="K1549" s="34" t="s">
        <v>65</v>
      </c>
      <c r="L1549" s="79">
        <v>1549</v>
      </c>
      <c r="M1549" s="79"/>
      <c r="N1549" s="74"/>
      <c r="O1549" s="81" t="s">
        <v>944</v>
      </c>
      <c r="P1549">
        <v>1</v>
      </c>
      <c r="Q1549" s="80" t="str">
        <f>REPLACE(INDEX(GroupVertices[Group],MATCH(Edges[[#This Row],[Vertex 1]],GroupVertices[Vertex],0)),1,1,"")</f>
        <v>2</v>
      </c>
      <c r="R1549" s="80" t="str">
        <f>REPLACE(INDEX(GroupVertices[Group],MATCH(Edges[[#This Row],[Vertex 2]],GroupVertices[Vertex],0)),1,1,"")</f>
        <v>2</v>
      </c>
      <c r="S1549" s="34"/>
      <c r="T1549" s="34"/>
      <c r="U1549" s="34"/>
      <c r="V1549" s="34"/>
      <c r="W1549" s="34"/>
      <c r="X1549" s="34"/>
      <c r="Y1549" s="34"/>
      <c r="Z1549" s="34"/>
      <c r="AA1549" s="34"/>
    </row>
    <row r="1550" spans="1:27" ht="15">
      <c r="A1550" s="66" t="s">
        <v>257</v>
      </c>
      <c r="B1550" s="66" t="s">
        <v>737</v>
      </c>
      <c r="C1550" s="67" t="s">
        <v>4454</v>
      </c>
      <c r="D1550" s="68">
        <v>5</v>
      </c>
      <c r="E1550" s="69"/>
      <c r="F1550" s="70">
        <v>20</v>
      </c>
      <c r="G1550" s="67"/>
      <c r="H1550" s="71"/>
      <c r="I1550" s="72"/>
      <c r="J1550" s="72"/>
      <c r="K1550" s="34" t="s">
        <v>65</v>
      </c>
      <c r="L1550" s="79">
        <v>1550</v>
      </c>
      <c r="M1550" s="79"/>
      <c r="N1550" s="74"/>
      <c r="O1550" s="81" t="s">
        <v>944</v>
      </c>
      <c r="P1550">
        <v>1</v>
      </c>
      <c r="Q1550" s="80" t="str">
        <f>REPLACE(INDEX(GroupVertices[Group],MATCH(Edges[[#This Row],[Vertex 1]],GroupVertices[Vertex],0)),1,1,"")</f>
        <v>2</v>
      </c>
      <c r="R1550" s="80" t="str">
        <f>REPLACE(INDEX(GroupVertices[Group],MATCH(Edges[[#This Row],[Vertex 2]],GroupVertices[Vertex],0)),1,1,"")</f>
        <v>1</v>
      </c>
      <c r="S1550" s="34"/>
      <c r="T1550" s="34"/>
      <c r="U1550" s="34"/>
      <c r="V1550" s="34"/>
      <c r="W1550" s="34"/>
      <c r="X1550" s="34"/>
      <c r="Y1550" s="34"/>
      <c r="Z1550" s="34"/>
      <c r="AA1550" s="34"/>
    </row>
    <row r="1551" spans="1:27" ht="15">
      <c r="A1551" s="66" t="s">
        <v>257</v>
      </c>
      <c r="B1551" s="66" t="s">
        <v>869</v>
      </c>
      <c r="C1551" s="67" t="s">
        <v>4454</v>
      </c>
      <c r="D1551" s="68">
        <v>5</v>
      </c>
      <c r="E1551" s="69"/>
      <c r="F1551" s="70">
        <v>20</v>
      </c>
      <c r="G1551" s="67"/>
      <c r="H1551" s="71"/>
      <c r="I1551" s="72"/>
      <c r="J1551" s="72"/>
      <c r="K1551" s="34" t="s">
        <v>65</v>
      </c>
      <c r="L1551" s="79">
        <v>1551</v>
      </c>
      <c r="M1551" s="79"/>
      <c r="N1551" s="74"/>
      <c r="O1551" s="81" t="s">
        <v>944</v>
      </c>
      <c r="P1551">
        <v>1</v>
      </c>
      <c r="Q1551" s="80" t="str">
        <f>REPLACE(INDEX(GroupVertices[Group],MATCH(Edges[[#This Row],[Vertex 1]],GroupVertices[Vertex],0)),1,1,"")</f>
        <v>2</v>
      </c>
      <c r="R1551" s="80" t="str">
        <f>REPLACE(INDEX(GroupVertices[Group],MATCH(Edges[[#This Row],[Vertex 2]],GroupVertices[Vertex],0)),1,1,"")</f>
        <v>1</v>
      </c>
      <c r="S1551" s="34"/>
      <c r="T1551" s="34"/>
      <c r="U1551" s="34"/>
      <c r="V1551" s="34"/>
      <c r="W1551" s="34"/>
      <c r="X1551" s="34"/>
      <c r="Y1551" s="34"/>
      <c r="Z1551" s="34"/>
      <c r="AA1551" s="34"/>
    </row>
    <row r="1552" spans="1:27" ht="15">
      <c r="A1552" s="66" t="s">
        <v>257</v>
      </c>
      <c r="B1552" s="66" t="s">
        <v>249</v>
      </c>
      <c r="C1552" s="67" t="s">
        <v>4454</v>
      </c>
      <c r="D1552" s="68">
        <v>5</v>
      </c>
      <c r="E1552" s="69"/>
      <c r="F1552" s="70">
        <v>20</v>
      </c>
      <c r="G1552" s="67"/>
      <c r="H1552" s="71"/>
      <c r="I1552" s="72"/>
      <c r="J1552" s="72"/>
      <c r="K1552" s="34" t="s">
        <v>66</v>
      </c>
      <c r="L1552" s="79">
        <v>1552</v>
      </c>
      <c r="M1552" s="79"/>
      <c r="N1552" s="74"/>
      <c r="O1552" s="81" t="s">
        <v>944</v>
      </c>
      <c r="P1552">
        <v>1</v>
      </c>
      <c r="Q1552" s="80" t="str">
        <f>REPLACE(INDEX(GroupVertices[Group],MATCH(Edges[[#This Row],[Vertex 1]],GroupVertices[Vertex],0)),1,1,"")</f>
        <v>2</v>
      </c>
      <c r="R1552" s="80" t="str">
        <f>REPLACE(INDEX(GroupVertices[Group],MATCH(Edges[[#This Row],[Vertex 2]],GroupVertices[Vertex],0)),1,1,"")</f>
        <v>2</v>
      </c>
      <c r="S1552" s="34"/>
      <c r="T1552" s="34"/>
      <c r="U1552" s="34"/>
      <c r="V1552" s="34"/>
      <c r="W1552" s="34"/>
      <c r="X1552" s="34"/>
      <c r="Y1552" s="34"/>
      <c r="Z1552" s="34"/>
      <c r="AA1552" s="34"/>
    </row>
    <row r="1553" spans="1:27" ht="15">
      <c r="A1553" s="66" t="s">
        <v>257</v>
      </c>
      <c r="B1553" s="66" t="s">
        <v>242</v>
      </c>
      <c r="C1553" s="67" t="s">
        <v>4454</v>
      </c>
      <c r="D1553" s="68">
        <v>5</v>
      </c>
      <c r="E1553" s="69"/>
      <c r="F1553" s="70">
        <v>20</v>
      </c>
      <c r="G1553" s="67"/>
      <c r="H1553" s="71"/>
      <c r="I1553" s="72"/>
      <c r="J1553" s="72"/>
      <c r="K1553" s="34" t="s">
        <v>65</v>
      </c>
      <c r="L1553" s="79">
        <v>1553</v>
      </c>
      <c r="M1553" s="79"/>
      <c r="N1553" s="74"/>
      <c r="O1553" s="81" t="s">
        <v>944</v>
      </c>
      <c r="P1553">
        <v>1</v>
      </c>
      <c r="Q1553" s="80" t="str">
        <f>REPLACE(INDEX(GroupVertices[Group],MATCH(Edges[[#This Row],[Vertex 1]],GroupVertices[Vertex],0)),1,1,"")</f>
        <v>2</v>
      </c>
      <c r="R1553" s="80" t="str">
        <f>REPLACE(INDEX(GroupVertices[Group],MATCH(Edges[[#This Row],[Vertex 2]],GroupVertices[Vertex],0)),1,1,"")</f>
        <v>1</v>
      </c>
      <c r="S1553" s="34"/>
      <c r="T1553" s="34"/>
      <c r="U1553" s="34"/>
      <c r="V1553" s="34"/>
      <c r="W1553" s="34"/>
      <c r="X1553" s="34"/>
      <c r="Y1553" s="34"/>
      <c r="Z1553" s="34"/>
      <c r="AA1553" s="34"/>
    </row>
    <row r="1554" spans="1:27" ht="15">
      <c r="A1554" s="66" t="s">
        <v>257</v>
      </c>
      <c r="B1554" s="66" t="s">
        <v>246</v>
      </c>
      <c r="C1554" s="67" t="s">
        <v>4454</v>
      </c>
      <c r="D1554" s="68">
        <v>5</v>
      </c>
      <c r="E1554" s="69"/>
      <c r="F1554" s="70">
        <v>20</v>
      </c>
      <c r="G1554" s="67"/>
      <c r="H1554" s="71"/>
      <c r="I1554" s="72"/>
      <c r="J1554" s="72"/>
      <c r="K1554" s="34" t="s">
        <v>66</v>
      </c>
      <c r="L1554" s="79">
        <v>1554</v>
      </c>
      <c r="M1554" s="79"/>
      <c r="N1554" s="74"/>
      <c r="O1554" s="81" t="s">
        <v>944</v>
      </c>
      <c r="P1554">
        <v>1</v>
      </c>
      <c r="Q1554" s="80" t="str">
        <f>REPLACE(INDEX(GroupVertices[Group],MATCH(Edges[[#This Row],[Vertex 1]],GroupVertices[Vertex],0)),1,1,"")</f>
        <v>2</v>
      </c>
      <c r="R1554" s="80" t="str">
        <f>REPLACE(INDEX(GroupVertices[Group],MATCH(Edges[[#This Row],[Vertex 2]],GroupVertices[Vertex],0)),1,1,"")</f>
        <v>2</v>
      </c>
      <c r="S1554" s="34"/>
      <c r="T1554" s="34"/>
      <c r="U1554" s="34"/>
      <c r="V1554" s="34"/>
      <c r="W1554" s="34"/>
      <c r="X1554" s="34"/>
      <c r="Y1554" s="34"/>
      <c r="Z1554" s="34"/>
      <c r="AA1554" s="34"/>
    </row>
    <row r="1555" spans="1:27" ht="15">
      <c r="A1555" s="66" t="s">
        <v>257</v>
      </c>
      <c r="B1555" s="66" t="s">
        <v>236</v>
      </c>
      <c r="C1555" s="67" t="s">
        <v>4454</v>
      </c>
      <c r="D1555" s="68">
        <v>5</v>
      </c>
      <c r="E1555" s="69"/>
      <c r="F1555" s="70">
        <v>20</v>
      </c>
      <c r="G1555" s="67"/>
      <c r="H1555" s="71"/>
      <c r="I1555" s="72"/>
      <c r="J1555" s="72"/>
      <c r="K1555" s="34" t="s">
        <v>65</v>
      </c>
      <c r="L1555" s="79">
        <v>1555</v>
      </c>
      <c r="M1555" s="79"/>
      <c r="N1555" s="74"/>
      <c r="O1555" s="81" t="s">
        <v>944</v>
      </c>
      <c r="P1555">
        <v>1</v>
      </c>
      <c r="Q1555" s="80" t="str">
        <f>REPLACE(INDEX(GroupVertices[Group],MATCH(Edges[[#This Row],[Vertex 1]],GroupVertices[Vertex],0)),1,1,"")</f>
        <v>2</v>
      </c>
      <c r="R1555" s="80" t="str">
        <f>REPLACE(INDEX(GroupVertices[Group],MATCH(Edges[[#This Row],[Vertex 2]],GroupVertices[Vertex],0)),1,1,"")</f>
        <v>1</v>
      </c>
      <c r="S1555" s="34"/>
      <c r="T1555" s="34"/>
      <c r="U1555" s="34"/>
      <c r="V1555" s="34"/>
      <c r="W1555" s="34"/>
      <c r="X1555" s="34"/>
      <c r="Y1555" s="34"/>
      <c r="Z1555" s="34"/>
      <c r="AA1555" s="34"/>
    </row>
    <row r="1556" spans="1:27" ht="15">
      <c r="A1556" s="66" t="s">
        <v>257</v>
      </c>
      <c r="B1556" s="66" t="s">
        <v>235</v>
      </c>
      <c r="C1556" s="67" t="s">
        <v>4454</v>
      </c>
      <c r="D1556" s="68">
        <v>5</v>
      </c>
      <c r="E1556" s="69"/>
      <c r="F1556" s="70">
        <v>20</v>
      </c>
      <c r="G1556" s="67"/>
      <c r="H1556" s="71"/>
      <c r="I1556" s="72"/>
      <c r="J1556" s="72"/>
      <c r="K1556" s="34" t="s">
        <v>66</v>
      </c>
      <c r="L1556" s="79">
        <v>1556</v>
      </c>
      <c r="M1556" s="79"/>
      <c r="N1556" s="74"/>
      <c r="O1556" s="81" t="s">
        <v>944</v>
      </c>
      <c r="P1556">
        <v>1</v>
      </c>
      <c r="Q1556" s="80" t="str">
        <f>REPLACE(INDEX(GroupVertices[Group],MATCH(Edges[[#This Row],[Vertex 1]],GroupVertices[Vertex],0)),1,1,"")</f>
        <v>2</v>
      </c>
      <c r="R1556" s="80" t="str">
        <f>REPLACE(INDEX(GroupVertices[Group],MATCH(Edges[[#This Row],[Vertex 2]],GroupVertices[Vertex],0)),1,1,"")</f>
        <v>2</v>
      </c>
      <c r="S1556" s="34"/>
      <c r="T1556" s="34"/>
      <c r="U1556" s="34"/>
      <c r="V1556" s="34"/>
      <c r="W1556" s="34"/>
      <c r="X1556" s="34"/>
      <c r="Y1556" s="34"/>
      <c r="Z1556" s="34"/>
      <c r="AA1556" s="34"/>
    </row>
    <row r="1557" spans="1:27" ht="15">
      <c r="A1557" s="66" t="s">
        <v>257</v>
      </c>
      <c r="B1557" s="66" t="s">
        <v>735</v>
      </c>
      <c r="C1557" s="67" t="s">
        <v>4454</v>
      </c>
      <c r="D1557" s="68">
        <v>5</v>
      </c>
      <c r="E1557" s="69"/>
      <c r="F1557" s="70">
        <v>20</v>
      </c>
      <c r="G1557" s="67"/>
      <c r="H1557" s="71"/>
      <c r="I1557" s="72"/>
      <c r="J1557" s="72"/>
      <c r="K1557" s="34" t="s">
        <v>65</v>
      </c>
      <c r="L1557" s="79">
        <v>1557</v>
      </c>
      <c r="M1557" s="79"/>
      <c r="N1557" s="74"/>
      <c r="O1557" s="81" t="s">
        <v>944</v>
      </c>
      <c r="P1557">
        <v>1</v>
      </c>
      <c r="Q1557" s="80" t="str">
        <f>REPLACE(INDEX(GroupVertices[Group],MATCH(Edges[[#This Row],[Vertex 1]],GroupVertices[Vertex],0)),1,1,"")</f>
        <v>2</v>
      </c>
      <c r="R1557" s="80" t="str">
        <f>REPLACE(INDEX(GroupVertices[Group],MATCH(Edges[[#This Row],[Vertex 2]],GroupVertices[Vertex],0)),1,1,"")</f>
        <v>2</v>
      </c>
      <c r="S1557" s="34"/>
      <c r="T1557" s="34"/>
      <c r="U1557" s="34"/>
      <c r="V1557" s="34"/>
      <c r="W1557" s="34"/>
      <c r="X1557" s="34"/>
      <c r="Y1557" s="34"/>
      <c r="Z1557" s="34"/>
      <c r="AA1557" s="34"/>
    </row>
    <row r="1558" spans="1:27" ht="15">
      <c r="A1558" s="66" t="s">
        <v>257</v>
      </c>
      <c r="B1558" s="66" t="s">
        <v>241</v>
      </c>
      <c r="C1558" s="67" t="s">
        <v>4454</v>
      </c>
      <c r="D1558" s="68">
        <v>5</v>
      </c>
      <c r="E1558" s="69"/>
      <c r="F1558" s="70">
        <v>20</v>
      </c>
      <c r="G1558" s="67"/>
      <c r="H1558" s="71"/>
      <c r="I1558" s="72"/>
      <c r="J1558" s="72"/>
      <c r="K1558" s="34" t="s">
        <v>66</v>
      </c>
      <c r="L1558" s="79">
        <v>1558</v>
      </c>
      <c r="M1558" s="79"/>
      <c r="N1558" s="74"/>
      <c r="O1558" s="81" t="s">
        <v>944</v>
      </c>
      <c r="P1558">
        <v>1</v>
      </c>
      <c r="Q1558" s="80" t="str">
        <f>REPLACE(INDEX(GroupVertices[Group],MATCH(Edges[[#This Row],[Vertex 1]],GroupVertices[Vertex],0)),1,1,"")</f>
        <v>2</v>
      </c>
      <c r="R1558" s="80" t="str">
        <f>REPLACE(INDEX(GroupVertices[Group],MATCH(Edges[[#This Row],[Vertex 2]],GroupVertices[Vertex],0)),1,1,"")</f>
        <v>2</v>
      </c>
      <c r="S1558" s="34"/>
      <c r="T1558" s="34"/>
      <c r="U1558" s="34"/>
      <c r="V1558" s="34"/>
      <c r="W1558" s="34"/>
      <c r="X1558" s="34"/>
      <c r="Y1558" s="34"/>
      <c r="Z1558" s="34"/>
      <c r="AA1558" s="34"/>
    </row>
    <row r="1559" spans="1:27" ht="15">
      <c r="A1559" s="66" t="s">
        <v>257</v>
      </c>
      <c r="B1559" s="66" t="s">
        <v>256</v>
      </c>
      <c r="C1559" s="67" t="s">
        <v>4454</v>
      </c>
      <c r="D1559" s="68">
        <v>5</v>
      </c>
      <c r="E1559" s="69"/>
      <c r="F1559" s="70">
        <v>20</v>
      </c>
      <c r="G1559" s="67"/>
      <c r="H1559" s="71"/>
      <c r="I1559" s="72"/>
      <c r="J1559" s="72"/>
      <c r="K1559" s="34" t="s">
        <v>66</v>
      </c>
      <c r="L1559" s="79">
        <v>1559</v>
      </c>
      <c r="M1559" s="79"/>
      <c r="N1559" s="74"/>
      <c r="O1559" s="81" t="s">
        <v>944</v>
      </c>
      <c r="P1559">
        <v>1</v>
      </c>
      <c r="Q1559" s="80" t="str">
        <f>REPLACE(INDEX(GroupVertices[Group],MATCH(Edges[[#This Row],[Vertex 1]],GroupVertices[Vertex],0)),1,1,"")</f>
        <v>2</v>
      </c>
      <c r="R1559" s="80" t="str">
        <f>REPLACE(INDEX(GroupVertices[Group],MATCH(Edges[[#This Row],[Vertex 2]],GroupVertices[Vertex],0)),1,1,"")</f>
        <v>1</v>
      </c>
      <c r="S1559" s="34"/>
      <c r="T1559" s="34"/>
      <c r="U1559" s="34"/>
      <c r="V1559" s="34"/>
      <c r="W1559" s="34"/>
      <c r="X1559" s="34"/>
      <c r="Y1559" s="34"/>
      <c r="Z1559" s="34"/>
      <c r="AA1559" s="34"/>
    </row>
    <row r="1560" spans="1:27" ht="15">
      <c r="A1560" s="66" t="s">
        <v>257</v>
      </c>
      <c r="B1560" s="66" t="s">
        <v>238</v>
      </c>
      <c r="C1560" s="67" t="s">
        <v>4454</v>
      </c>
      <c r="D1560" s="68">
        <v>5</v>
      </c>
      <c r="E1560" s="69"/>
      <c r="F1560" s="70">
        <v>20</v>
      </c>
      <c r="G1560" s="67"/>
      <c r="H1560" s="71"/>
      <c r="I1560" s="72"/>
      <c r="J1560" s="72"/>
      <c r="K1560" s="34" t="s">
        <v>66</v>
      </c>
      <c r="L1560" s="79">
        <v>1560</v>
      </c>
      <c r="M1560" s="79"/>
      <c r="N1560" s="74"/>
      <c r="O1560" s="81" t="s">
        <v>944</v>
      </c>
      <c r="P1560">
        <v>1</v>
      </c>
      <c r="Q1560" s="80" t="str">
        <f>REPLACE(INDEX(GroupVertices[Group],MATCH(Edges[[#This Row],[Vertex 1]],GroupVertices[Vertex],0)),1,1,"")</f>
        <v>2</v>
      </c>
      <c r="R1560" s="80" t="str">
        <f>REPLACE(INDEX(GroupVertices[Group],MATCH(Edges[[#This Row],[Vertex 2]],GroupVertices[Vertex],0)),1,1,"")</f>
        <v>2</v>
      </c>
      <c r="S1560" s="34"/>
      <c r="T1560" s="34"/>
      <c r="U1560" s="34"/>
      <c r="V1560" s="34"/>
      <c r="W1560" s="34"/>
      <c r="X1560" s="34"/>
      <c r="Y1560" s="34"/>
      <c r="Z1560" s="34"/>
      <c r="AA1560" s="34"/>
    </row>
    <row r="1561" spans="1:27" ht="15">
      <c r="A1561" s="66" t="s">
        <v>257</v>
      </c>
      <c r="B1561" s="66" t="s">
        <v>223</v>
      </c>
      <c r="C1561" s="67" t="s">
        <v>4454</v>
      </c>
      <c r="D1561" s="68">
        <v>5</v>
      </c>
      <c r="E1561" s="69"/>
      <c r="F1561" s="70">
        <v>20</v>
      </c>
      <c r="G1561" s="67"/>
      <c r="H1561" s="71"/>
      <c r="I1561" s="72"/>
      <c r="J1561" s="72"/>
      <c r="K1561" s="34" t="s">
        <v>66</v>
      </c>
      <c r="L1561" s="79">
        <v>1561</v>
      </c>
      <c r="M1561" s="79"/>
      <c r="N1561" s="74"/>
      <c r="O1561" s="81" t="s">
        <v>944</v>
      </c>
      <c r="P1561">
        <v>1</v>
      </c>
      <c r="Q1561" s="80" t="str">
        <f>REPLACE(INDEX(GroupVertices[Group],MATCH(Edges[[#This Row],[Vertex 1]],GroupVertices[Vertex],0)),1,1,"")</f>
        <v>2</v>
      </c>
      <c r="R1561" s="80" t="str">
        <f>REPLACE(INDEX(GroupVertices[Group],MATCH(Edges[[#This Row],[Vertex 2]],GroupVertices[Vertex],0)),1,1,"")</f>
        <v>3</v>
      </c>
      <c r="S1561" s="34"/>
      <c r="T1561" s="34"/>
      <c r="U1561" s="34"/>
      <c r="V1561" s="34"/>
      <c r="W1561" s="34"/>
      <c r="X1561" s="34"/>
      <c r="Y1561" s="34"/>
      <c r="Z1561" s="34"/>
      <c r="AA1561" s="34"/>
    </row>
    <row r="1562" spans="1:27" ht="15">
      <c r="A1562" s="66" t="s">
        <v>257</v>
      </c>
      <c r="B1562" s="66" t="s">
        <v>878</v>
      </c>
      <c r="C1562" s="67" t="s">
        <v>4454</v>
      </c>
      <c r="D1562" s="68">
        <v>5</v>
      </c>
      <c r="E1562" s="69"/>
      <c r="F1562" s="70">
        <v>20</v>
      </c>
      <c r="G1562" s="67"/>
      <c r="H1562" s="71"/>
      <c r="I1562" s="72"/>
      <c r="J1562" s="72"/>
      <c r="K1562" s="34" t="s">
        <v>65</v>
      </c>
      <c r="L1562" s="79">
        <v>1562</v>
      </c>
      <c r="M1562" s="79"/>
      <c r="N1562" s="74"/>
      <c r="O1562" s="81" t="s">
        <v>944</v>
      </c>
      <c r="P1562">
        <v>1</v>
      </c>
      <c r="Q1562" s="80" t="str">
        <f>REPLACE(INDEX(GroupVertices[Group],MATCH(Edges[[#This Row],[Vertex 1]],GroupVertices[Vertex],0)),1,1,"")</f>
        <v>2</v>
      </c>
      <c r="R1562" s="80" t="str">
        <f>REPLACE(INDEX(GroupVertices[Group],MATCH(Edges[[#This Row],[Vertex 2]],GroupVertices[Vertex],0)),1,1,"")</f>
        <v>2</v>
      </c>
      <c r="S1562" s="34"/>
      <c r="T1562" s="34"/>
      <c r="U1562" s="34"/>
      <c r="V1562" s="34"/>
      <c r="W1562" s="34"/>
      <c r="X1562" s="34"/>
      <c r="Y1562" s="34"/>
      <c r="Z1562" s="34"/>
      <c r="AA1562" s="34"/>
    </row>
    <row r="1563" spans="1:27" ht="15">
      <c r="A1563" s="66" t="s">
        <v>257</v>
      </c>
      <c r="B1563" s="66" t="s">
        <v>247</v>
      </c>
      <c r="C1563" s="67" t="s">
        <v>4454</v>
      </c>
      <c r="D1563" s="68">
        <v>5</v>
      </c>
      <c r="E1563" s="69"/>
      <c r="F1563" s="70">
        <v>20</v>
      </c>
      <c r="G1563" s="67"/>
      <c r="H1563" s="71"/>
      <c r="I1563" s="72"/>
      <c r="J1563" s="72"/>
      <c r="K1563" s="34" t="s">
        <v>66</v>
      </c>
      <c r="L1563" s="79">
        <v>1563</v>
      </c>
      <c r="M1563" s="79"/>
      <c r="N1563" s="74"/>
      <c r="O1563" s="81" t="s">
        <v>944</v>
      </c>
      <c r="P1563">
        <v>1</v>
      </c>
      <c r="Q1563" s="80" t="str">
        <f>REPLACE(INDEX(GroupVertices[Group],MATCH(Edges[[#This Row],[Vertex 1]],GroupVertices[Vertex],0)),1,1,"")</f>
        <v>2</v>
      </c>
      <c r="R1563" s="80" t="str">
        <f>REPLACE(INDEX(GroupVertices[Group],MATCH(Edges[[#This Row],[Vertex 2]],GroupVertices[Vertex],0)),1,1,"")</f>
        <v>2</v>
      </c>
      <c r="S1563" s="34"/>
      <c r="T1563" s="34"/>
      <c r="U1563" s="34"/>
      <c r="V1563" s="34"/>
      <c r="W1563" s="34"/>
      <c r="X1563" s="34"/>
      <c r="Y1563" s="34"/>
      <c r="Z1563" s="34"/>
      <c r="AA1563" s="34"/>
    </row>
    <row r="1564" spans="1:27" ht="15">
      <c r="A1564" s="66" t="s">
        <v>257</v>
      </c>
      <c r="B1564" s="66" t="s">
        <v>258</v>
      </c>
      <c r="C1564" s="67" t="s">
        <v>4454</v>
      </c>
      <c r="D1564" s="68">
        <v>5</v>
      </c>
      <c r="E1564" s="69"/>
      <c r="F1564" s="70">
        <v>20</v>
      </c>
      <c r="G1564" s="67"/>
      <c r="H1564" s="71"/>
      <c r="I1564" s="72"/>
      <c r="J1564" s="72"/>
      <c r="K1564" s="34" t="s">
        <v>66</v>
      </c>
      <c r="L1564" s="79">
        <v>1564</v>
      </c>
      <c r="M1564" s="79"/>
      <c r="N1564" s="74"/>
      <c r="O1564" s="81" t="s">
        <v>944</v>
      </c>
      <c r="P1564">
        <v>1</v>
      </c>
      <c r="Q1564" s="80" t="str">
        <f>REPLACE(INDEX(GroupVertices[Group],MATCH(Edges[[#This Row],[Vertex 1]],GroupVertices[Vertex],0)),1,1,"")</f>
        <v>2</v>
      </c>
      <c r="R1564" s="80" t="str">
        <f>REPLACE(INDEX(GroupVertices[Group],MATCH(Edges[[#This Row],[Vertex 2]],GroupVertices[Vertex],0)),1,1,"")</f>
        <v>1</v>
      </c>
      <c r="S1564" s="34"/>
      <c r="T1564" s="34"/>
      <c r="U1564" s="34"/>
      <c r="V1564" s="34"/>
      <c r="W1564" s="34"/>
      <c r="X1564" s="34"/>
      <c r="Y1564" s="34"/>
      <c r="Z1564" s="34"/>
      <c r="AA1564" s="34"/>
    </row>
    <row r="1565" spans="1:27" ht="15">
      <c r="A1565" s="66" t="s">
        <v>257</v>
      </c>
      <c r="B1565" s="66" t="s">
        <v>250</v>
      </c>
      <c r="C1565" s="67" t="s">
        <v>4454</v>
      </c>
      <c r="D1565" s="68">
        <v>5</v>
      </c>
      <c r="E1565" s="69"/>
      <c r="F1565" s="70">
        <v>20</v>
      </c>
      <c r="G1565" s="67"/>
      <c r="H1565" s="71"/>
      <c r="I1565" s="72"/>
      <c r="J1565" s="72"/>
      <c r="K1565" s="34" t="s">
        <v>66</v>
      </c>
      <c r="L1565" s="79">
        <v>1565</v>
      </c>
      <c r="M1565" s="79"/>
      <c r="N1565" s="74"/>
      <c r="O1565" s="81" t="s">
        <v>944</v>
      </c>
      <c r="P1565">
        <v>1</v>
      </c>
      <c r="Q1565" s="80" t="str">
        <f>REPLACE(INDEX(GroupVertices[Group],MATCH(Edges[[#This Row],[Vertex 1]],GroupVertices[Vertex],0)),1,1,"")</f>
        <v>2</v>
      </c>
      <c r="R1565" s="80" t="str">
        <f>REPLACE(INDEX(GroupVertices[Group],MATCH(Edges[[#This Row],[Vertex 2]],GroupVertices[Vertex],0)),1,1,"")</f>
        <v>2</v>
      </c>
      <c r="S1565" s="34"/>
      <c r="T1565" s="34"/>
      <c r="U1565" s="34"/>
      <c r="V1565" s="34"/>
      <c r="W1565" s="34"/>
      <c r="X1565" s="34"/>
      <c r="Y1565" s="34"/>
      <c r="Z1565" s="34"/>
      <c r="AA1565" s="34"/>
    </row>
    <row r="1566" spans="1:27" ht="15">
      <c r="A1566" s="66" t="s">
        <v>257</v>
      </c>
      <c r="B1566" s="66" t="s">
        <v>261</v>
      </c>
      <c r="C1566" s="67" t="s">
        <v>4454</v>
      </c>
      <c r="D1566" s="68">
        <v>5</v>
      </c>
      <c r="E1566" s="69"/>
      <c r="F1566" s="70">
        <v>20</v>
      </c>
      <c r="G1566" s="67"/>
      <c r="H1566" s="71"/>
      <c r="I1566" s="72"/>
      <c r="J1566" s="72"/>
      <c r="K1566" s="34" t="s">
        <v>65</v>
      </c>
      <c r="L1566" s="79">
        <v>1566</v>
      </c>
      <c r="M1566" s="79"/>
      <c r="N1566" s="74"/>
      <c r="O1566" s="81" t="s">
        <v>944</v>
      </c>
      <c r="P1566">
        <v>1</v>
      </c>
      <c r="Q1566" s="80" t="str">
        <f>REPLACE(INDEX(GroupVertices[Group],MATCH(Edges[[#This Row],[Vertex 1]],GroupVertices[Vertex],0)),1,1,"")</f>
        <v>2</v>
      </c>
      <c r="R1566" s="80" t="str">
        <f>REPLACE(INDEX(GroupVertices[Group],MATCH(Edges[[#This Row],[Vertex 2]],GroupVertices[Vertex],0)),1,1,"")</f>
        <v>1</v>
      </c>
      <c r="S1566" s="34"/>
      <c r="T1566" s="34"/>
      <c r="U1566" s="34"/>
      <c r="V1566" s="34"/>
      <c r="W1566" s="34"/>
      <c r="X1566" s="34"/>
      <c r="Y1566" s="34"/>
      <c r="Z1566" s="34"/>
      <c r="AA1566" s="34"/>
    </row>
    <row r="1567" spans="1:27" ht="15">
      <c r="A1567" s="66" t="s">
        <v>257</v>
      </c>
      <c r="B1567" s="66" t="s">
        <v>602</v>
      </c>
      <c r="C1567" s="67" t="s">
        <v>4454</v>
      </c>
      <c r="D1567" s="68">
        <v>5</v>
      </c>
      <c r="E1567" s="69"/>
      <c r="F1567" s="70">
        <v>20</v>
      </c>
      <c r="G1567" s="67"/>
      <c r="H1567" s="71"/>
      <c r="I1567" s="72"/>
      <c r="J1567" s="72"/>
      <c r="K1567" s="34" t="s">
        <v>65</v>
      </c>
      <c r="L1567" s="79">
        <v>1567</v>
      </c>
      <c r="M1567" s="79"/>
      <c r="N1567" s="74"/>
      <c r="O1567" s="81" t="s">
        <v>944</v>
      </c>
      <c r="P1567">
        <v>1</v>
      </c>
      <c r="Q1567" s="80" t="str">
        <f>REPLACE(INDEX(GroupVertices[Group],MATCH(Edges[[#This Row],[Vertex 1]],GroupVertices[Vertex],0)),1,1,"")</f>
        <v>2</v>
      </c>
      <c r="R1567" s="80" t="str">
        <f>REPLACE(INDEX(GroupVertices[Group],MATCH(Edges[[#This Row],[Vertex 2]],GroupVertices[Vertex],0)),1,1,"")</f>
        <v>2</v>
      </c>
      <c r="S1567" s="34"/>
      <c r="T1567" s="34"/>
      <c r="U1567" s="34"/>
      <c r="V1567" s="34"/>
      <c r="W1567" s="34"/>
      <c r="X1567" s="34"/>
      <c r="Y1567" s="34"/>
      <c r="Z1567" s="34"/>
      <c r="AA1567" s="34"/>
    </row>
    <row r="1568" spans="1:27" ht="15">
      <c r="A1568" s="66" t="s">
        <v>257</v>
      </c>
      <c r="B1568" s="66" t="s">
        <v>224</v>
      </c>
      <c r="C1568" s="67" t="s">
        <v>4454</v>
      </c>
      <c r="D1568" s="68">
        <v>5</v>
      </c>
      <c r="E1568" s="69"/>
      <c r="F1568" s="70">
        <v>20</v>
      </c>
      <c r="G1568" s="67"/>
      <c r="H1568" s="71"/>
      <c r="I1568" s="72"/>
      <c r="J1568" s="72"/>
      <c r="K1568" s="34" t="s">
        <v>66</v>
      </c>
      <c r="L1568" s="79">
        <v>1568</v>
      </c>
      <c r="M1568" s="79"/>
      <c r="N1568" s="74"/>
      <c r="O1568" s="81" t="s">
        <v>944</v>
      </c>
      <c r="P1568">
        <v>1</v>
      </c>
      <c r="Q1568" s="80" t="str">
        <f>REPLACE(INDEX(GroupVertices[Group],MATCH(Edges[[#This Row],[Vertex 1]],GroupVertices[Vertex],0)),1,1,"")</f>
        <v>2</v>
      </c>
      <c r="R1568" s="80" t="str">
        <f>REPLACE(INDEX(GroupVertices[Group],MATCH(Edges[[#This Row],[Vertex 2]],GroupVertices[Vertex],0)),1,1,"")</f>
        <v>2</v>
      </c>
      <c r="S1568" s="34"/>
      <c r="T1568" s="34"/>
      <c r="U1568" s="34"/>
      <c r="V1568" s="34"/>
      <c r="W1568" s="34"/>
      <c r="X1568" s="34"/>
      <c r="Y1568" s="34"/>
      <c r="Z1568" s="34"/>
      <c r="AA1568" s="34"/>
    </row>
    <row r="1569" spans="1:27" ht="15">
      <c r="A1569" s="66" t="s">
        <v>257</v>
      </c>
      <c r="B1569" s="66" t="s">
        <v>255</v>
      </c>
      <c r="C1569" s="67" t="s">
        <v>4454</v>
      </c>
      <c r="D1569" s="68">
        <v>5</v>
      </c>
      <c r="E1569" s="69"/>
      <c r="F1569" s="70">
        <v>20</v>
      </c>
      <c r="G1569" s="67"/>
      <c r="H1569" s="71"/>
      <c r="I1569" s="72"/>
      <c r="J1569" s="72"/>
      <c r="K1569" s="34" t="s">
        <v>66</v>
      </c>
      <c r="L1569" s="79">
        <v>1569</v>
      </c>
      <c r="M1569" s="79"/>
      <c r="N1569" s="74"/>
      <c r="O1569" s="81" t="s">
        <v>944</v>
      </c>
      <c r="P1569">
        <v>1</v>
      </c>
      <c r="Q1569" s="80" t="str">
        <f>REPLACE(INDEX(GroupVertices[Group],MATCH(Edges[[#This Row],[Vertex 1]],GroupVertices[Vertex],0)),1,1,"")</f>
        <v>2</v>
      </c>
      <c r="R1569" s="80" t="str">
        <f>REPLACE(INDEX(GroupVertices[Group],MATCH(Edges[[#This Row],[Vertex 2]],GroupVertices[Vertex],0)),1,1,"")</f>
        <v>4</v>
      </c>
      <c r="S1569" s="34"/>
      <c r="T1569" s="34"/>
      <c r="U1569" s="34"/>
      <c r="V1569" s="34"/>
      <c r="W1569" s="34"/>
      <c r="X1569" s="34"/>
      <c r="Y1569" s="34"/>
      <c r="Z1569" s="34"/>
      <c r="AA1569" s="34"/>
    </row>
    <row r="1570" spans="1:27" ht="15">
      <c r="A1570" s="66" t="s">
        <v>257</v>
      </c>
      <c r="B1570" s="66" t="s">
        <v>233</v>
      </c>
      <c r="C1570" s="67" t="s">
        <v>4454</v>
      </c>
      <c r="D1570" s="68">
        <v>5</v>
      </c>
      <c r="E1570" s="69"/>
      <c r="F1570" s="70">
        <v>20</v>
      </c>
      <c r="G1570" s="67"/>
      <c r="H1570" s="71"/>
      <c r="I1570" s="72"/>
      <c r="J1570" s="72"/>
      <c r="K1570" s="34" t="s">
        <v>66</v>
      </c>
      <c r="L1570" s="79">
        <v>1570</v>
      </c>
      <c r="M1570" s="79"/>
      <c r="N1570" s="74"/>
      <c r="O1570" s="81" t="s">
        <v>944</v>
      </c>
      <c r="P1570">
        <v>1</v>
      </c>
      <c r="Q1570" s="80" t="str">
        <f>REPLACE(INDEX(GroupVertices[Group],MATCH(Edges[[#This Row],[Vertex 1]],GroupVertices[Vertex],0)),1,1,"")</f>
        <v>2</v>
      </c>
      <c r="R1570" s="80" t="str">
        <f>REPLACE(INDEX(GroupVertices[Group],MATCH(Edges[[#This Row],[Vertex 2]],GroupVertices[Vertex],0)),1,1,"")</f>
        <v>2</v>
      </c>
      <c r="S1570" s="34"/>
      <c r="T1570" s="34"/>
      <c r="U1570" s="34"/>
      <c r="V1570" s="34"/>
      <c r="W1570" s="34"/>
      <c r="X1570" s="34"/>
      <c r="Y1570" s="34"/>
      <c r="Z1570" s="34"/>
      <c r="AA1570" s="34"/>
    </row>
    <row r="1571" spans="1:27" ht="15">
      <c r="A1571" s="66" t="s">
        <v>257</v>
      </c>
      <c r="B1571" s="66" t="s">
        <v>243</v>
      </c>
      <c r="C1571" s="67" t="s">
        <v>4454</v>
      </c>
      <c r="D1571" s="68">
        <v>5</v>
      </c>
      <c r="E1571" s="69"/>
      <c r="F1571" s="70">
        <v>20</v>
      </c>
      <c r="G1571" s="67"/>
      <c r="H1571" s="71"/>
      <c r="I1571" s="72"/>
      <c r="J1571" s="72"/>
      <c r="K1571" s="34" t="s">
        <v>66</v>
      </c>
      <c r="L1571" s="79">
        <v>1571</v>
      </c>
      <c r="M1571" s="79"/>
      <c r="N1571" s="74"/>
      <c r="O1571" s="81" t="s">
        <v>944</v>
      </c>
      <c r="P1571">
        <v>1</v>
      </c>
      <c r="Q1571" s="80" t="str">
        <f>REPLACE(INDEX(GroupVertices[Group],MATCH(Edges[[#This Row],[Vertex 1]],GroupVertices[Vertex],0)),1,1,"")</f>
        <v>2</v>
      </c>
      <c r="R1571" s="80" t="str">
        <f>REPLACE(INDEX(GroupVertices[Group],MATCH(Edges[[#This Row],[Vertex 2]],GroupVertices[Vertex],0)),1,1,"")</f>
        <v>2</v>
      </c>
      <c r="S1571" s="34"/>
      <c r="T1571" s="34"/>
      <c r="U1571" s="34"/>
      <c r="V1571" s="34"/>
      <c r="W1571" s="34"/>
      <c r="X1571" s="34"/>
      <c r="Y1571" s="34"/>
      <c r="Z1571" s="34"/>
      <c r="AA1571" s="34"/>
    </row>
    <row r="1572" spans="1:27" ht="15">
      <c r="A1572" s="66" t="s">
        <v>257</v>
      </c>
      <c r="B1572" s="66" t="s">
        <v>260</v>
      </c>
      <c r="C1572" s="67" t="s">
        <v>4454</v>
      </c>
      <c r="D1572" s="68">
        <v>5</v>
      </c>
      <c r="E1572" s="69"/>
      <c r="F1572" s="70">
        <v>20</v>
      </c>
      <c r="G1572" s="67"/>
      <c r="H1572" s="71"/>
      <c r="I1572" s="72"/>
      <c r="J1572" s="72"/>
      <c r="K1572" s="34" t="s">
        <v>65</v>
      </c>
      <c r="L1572" s="79">
        <v>1572</v>
      </c>
      <c r="M1572" s="79"/>
      <c r="N1572" s="74"/>
      <c r="O1572" s="81" t="s">
        <v>944</v>
      </c>
      <c r="P1572">
        <v>1</v>
      </c>
      <c r="Q1572" s="80" t="str">
        <f>REPLACE(INDEX(GroupVertices[Group],MATCH(Edges[[#This Row],[Vertex 1]],GroupVertices[Vertex],0)),1,1,"")</f>
        <v>2</v>
      </c>
      <c r="R1572" s="80" t="str">
        <f>REPLACE(INDEX(GroupVertices[Group],MATCH(Edges[[#This Row],[Vertex 2]],GroupVertices[Vertex],0)),1,1,"")</f>
        <v>2</v>
      </c>
      <c r="S1572" s="34"/>
      <c r="T1572" s="34"/>
      <c r="U1572" s="34"/>
      <c r="V1572" s="34"/>
      <c r="W1572" s="34"/>
      <c r="X1572" s="34"/>
      <c r="Y1572" s="34"/>
      <c r="Z1572" s="34"/>
      <c r="AA1572" s="34"/>
    </row>
    <row r="1573" spans="1:27" ht="15">
      <c r="A1573" s="66" t="s">
        <v>257</v>
      </c>
      <c r="B1573" s="66" t="s">
        <v>254</v>
      </c>
      <c r="C1573" s="67" t="s">
        <v>4454</v>
      </c>
      <c r="D1573" s="68">
        <v>5</v>
      </c>
      <c r="E1573" s="69"/>
      <c r="F1573" s="70">
        <v>20</v>
      </c>
      <c r="G1573" s="67"/>
      <c r="H1573" s="71"/>
      <c r="I1573" s="72"/>
      <c r="J1573" s="72"/>
      <c r="K1573" s="34" t="s">
        <v>65</v>
      </c>
      <c r="L1573" s="79">
        <v>1573</v>
      </c>
      <c r="M1573" s="79"/>
      <c r="N1573" s="74"/>
      <c r="O1573" s="81" t="s">
        <v>944</v>
      </c>
      <c r="P1573">
        <v>1</v>
      </c>
      <c r="Q1573" s="80" t="str">
        <f>REPLACE(INDEX(GroupVertices[Group],MATCH(Edges[[#This Row],[Vertex 1]],GroupVertices[Vertex],0)),1,1,"")</f>
        <v>2</v>
      </c>
      <c r="R1573" s="80" t="str">
        <f>REPLACE(INDEX(GroupVertices[Group],MATCH(Edges[[#This Row],[Vertex 2]],GroupVertices[Vertex],0)),1,1,"")</f>
        <v>3</v>
      </c>
      <c r="S1573" s="34"/>
      <c r="T1573" s="34"/>
      <c r="U1573" s="34"/>
      <c r="V1573" s="34"/>
      <c r="W1573" s="34"/>
      <c r="X1573" s="34"/>
      <c r="Y1573" s="34"/>
      <c r="Z1573" s="34"/>
      <c r="AA1573" s="34"/>
    </row>
    <row r="1574" spans="1:27" ht="15">
      <c r="A1574" s="66" t="s">
        <v>257</v>
      </c>
      <c r="B1574" s="66" t="s">
        <v>259</v>
      </c>
      <c r="C1574" s="67" t="s">
        <v>4454</v>
      </c>
      <c r="D1574" s="68">
        <v>5</v>
      </c>
      <c r="E1574" s="69"/>
      <c r="F1574" s="70">
        <v>20</v>
      </c>
      <c r="G1574" s="67"/>
      <c r="H1574" s="71"/>
      <c r="I1574" s="72"/>
      <c r="J1574" s="72"/>
      <c r="K1574" s="34" t="s">
        <v>65</v>
      </c>
      <c r="L1574" s="79">
        <v>1574</v>
      </c>
      <c r="M1574" s="79"/>
      <c r="N1574" s="74"/>
      <c r="O1574" s="81" t="s">
        <v>944</v>
      </c>
      <c r="P1574">
        <v>1</v>
      </c>
      <c r="Q1574" s="80" t="str">
        <f>REPLACE(INDEX(GroupVertices[Group],MATCH(Edges[[#This Row],[Vertex 1]],GroupVertices[Vertex],0)),1,1,"")</f>
        <v>2</v>
      </c>
      <c r="R1574" s="80" t="str">
        <f>REPLACE(INDEX(GroupVertices[Group],MATCH(Edges[[#This Row],[Vertex 2]],GroupVertices[Vertex],0)),1,1,"")</f>
        <v>2</v>
      </c>
      <c r="S1574" s="34"/>
      <c r="T1574" s="34"/>
      <c r="U1574" s="34"/>
      <c r="V1574" s="34"/>
      <c r="W1574" s="34"/>
      <c r="X1574" s="34"/>
      <c r="Y1574" s="34"/>
      <c r="Z1574" s="34"/>
      <c r="AA1574" s="34"/>
    </row>
    <row r="1575" spans="1:27" ht="15">
      <c r="A1575" s="66" t="s">
        <v>257</v>
      </c>
      <c r="B1575" s="66" t="s">
        <v>510</v>
      </c>
      <c r="C1575" s="67" t="s">
        <v>4454</v>
      </c>
      <c r="D1575" s="68">
        <v>5</v>
      </c>
      <c r="E1575" s="69"/>
      <c r="F1575" s="70">
        <v>20</v>
      </c>
      <c r="G1575" s="67"/>
      <c r="H1575" s="71"/>
      <c r="I1575" s="72"/>
      <c r="J1575" s="72"/>
      <c r="K1575" s="34" t="s">
        <v>65</v>
      </c>
      <c r="L1575" s="79">
        <v>1575</v>
      </c>
      <c r="M1575" s="79"/>
      <c r="N1575" s="74"/>
      <c r="O1575" s="81" t="s">
        <v>944</v>
      </c>
      <c r="P1575">
        <v>1</v>
      </c>
      <c r="Q1575" s="80" t="str">
        <f>REPLACE(INDEX(GroupVertices[Group],MATCH(Edges[[#This Row],[Vertex 1]],GroupVertices[Vertex],0)),1,1,"")</f>
        <v>2</v>
      </c>
      <c r="R1575" s="80" t="str">
        <f>REPLACE(INDEX(GroupVertices[Group],MATCH(Edges[[#This Row],[Vertex 2]],GroupVertices[Vertex],0)),1,1,"")</f>
        <v>2</v>
      </c>
      <c r="S1575" s="34"/>
      <c r="T1575" s="34"/>
      <c r="U1575" s="34"/>
      <c r="V1575" s="34"/>
      <c r="W1575" s="34"/>
      <c r="X1575" s="34"/>
      <c r="Y1575" s="34"/>
      <c r="Z1575" s="34"/>
      <c r="AA1575" s="34"/>
    </row>
    <row r="1576" spans="1:27" ht="15">
      <c r="A1576" s="66" t="s">
        <v>257</v>
      </c>
      <c r="B1576" s="66" t="s">
        <v>253</v>
      </c>
      <c r="C1576" s="67" t="s">
        <v>4454</v>
      </c>
      <c r="D1576" s="68">
        <v>5</v>
      </c>
      <c r="E1576" s="69"/>
      <c r="F1576" s="70">
        <v>20</v>
      </c>
      <c r="G1576" s="67"/>
      <c r="H1576" s="71"/>
      <c r="I1576" s="72"/>
      <c r="J1576" s="72"/>
      <c r="K1576" s="34" t="s">
        <v>65</v>
      </c>
      <c r="L1576" s="79">
        <v>1576</v>
      </c>
      <c r="M1576" s="79"/>
      <c r="N1576" s="74"/>
      <c r="O1576" s="81" t="s">
        <v>944</v>
      </c>
      <c r="P1576">
        <v>1</v>
      </c>
      <c r="Q1576" s="80" t="str">
        <f>REPLACE(INDEX(GroupVertices[Group],MATCH(Edges[[#This Row],[Vertex 1]],GroupVertices[Vertex],0)),1,1,"")</f>
        <v>2</v>
      </c>
      <c r="R1576" s="80" t="str">
        <f>REPLACE(INDEX(GroupVertices[Group],MATCH(Edges[[#This Row],[Vertex 2]],GroupVertices[Vertex],0)),1,1,"")</f>
        <v>1</v>
      </c>
      <c r="S1576" s="34"/>
      <c r="T1576" s="34"/>
      <c r="U1576" s="34"/>
      <c r="V1576" s="34"/>
      <c r="W1576" s="34"/>
      <c r="X1576" s="34"/>
      <c r="Y1576" s="34"/>
      <c r="Z1576" s="34"/>
      <c r="AA1576" s="34"/>
    </row>
    <row r="1577" spans="1:27" ht="15">
      <c r="A1577" s="66" t="s">
        <v>258</v>
      </c>
      <c r="B1577" s="66" t="s">
        <v>257</v>
      </c>
      <c r="C1577" s="67" t="s">
        <v>4454</v>
      </c>
      <c r="D1577" s="68">
        <v>5</v>
      </c>
      <c r="E1577" s="69"/>
      <c r="F1577" s="70">
        <v>20</v>
      </c>
      <c r="G1577" s="67"/>
      <c r="H1577" s="71"/>
      <c r="I1577" s="72"/>
      <c r="J1577" s="72"/>
      <c r="K1577" s="34" t="s">
        <v>66</v>
      </c>
      <c r="L1577" s="79">
        <v>1577</v>
      </c>
      <c r="M1577" s="79"/>
      <c r="N1577" s="74"/>
      <c r="O1577" s="81" t="s">
        <v>944</v>
      </c>
      <c r="P1577">
        <v>1</v>
      </c>
      <c r="Q1577" s="80" t="str">
        <f>REPLACE(INDEX(GroupVertices[Group],MATCH(Edges[[#This Row],[Vertex 1]],GroupVertices[Vertex],0)),1,1,"")</f>
        <v>1</v>
      </c>
      <c r="R1577" s="80" t="str">
        <f>REPLACE(INDEX(GroupVertices[Group],MATCH(Edges[[#This Row],[Vertex 2]],GroupVertices[Vertex],0)),1,1,"")</f>
        <v>2</v>
      </c>
      <c r="S1577" s="34"/>
      <c r="T1577" s="34"/>
      <c r="U1577" s="34"/>
      <c r="V1577" s="34"/>
      <c r="W1577" s="34"/>
      <c r="X1577" s="34"/>
      <c r="Y1577" s="34"/>
      <c r="Z1577" s="34"/>
      <c r="AA1577" s="34"/>
    </row>
    <row r="1578" spans="1:27" ht="15">
      <c r="A1578" s="66" t="s">
        <v>220</v>
      </c>
      <c r="B1578" s="66" t="s">
        <v>223</v>
      </c>
      <c r="C1578" s="67" t="s">
        <v>4454</v>
      </c>
      <c r="D1578" s="68">
        <v>5</v>
      </c>
      <c r="E1578" s="69"/>
      <c r="F1578" s="70">
        <v>20</v>
      </c>
      <c r="G1578" s="67"/>
      <c r="H1578" s="71"/>
      <c r="I1578" s="72"/>
      <c r="J1578" s="72"/>
      <c r="K1578" s="34" t="s">
        <v>66</v>
      </c>
      <c r="L1578" s="79">
        <v>1578</v>
      </c>
      <c r="M1578" s="79"/>
      <c r="N1578" s="74"/>
      <c r="O1578" s="81" t="s">
        <v>944</v>
      </c>
      <c r="P1578">
        <v>1</v>
      </c>
      <c r="Q1578" s="80" t="str">
        <f>REPLACE(INDEX(GroupVertices[Group],MATCH(Edges[[#This Row],[Vertex 1]],GroupVertices[Vertex],0)),1,1,"")</f>
        <v>2</v>
      </c>
      <c r="R1578" s="80" t="str">
        <f>REPLACE(INDEX(GroupVertices[Group],MATCH(Edges[[#This Row],[Vertex 2]],GroupVertices[Vertex],0)),1,1,"")</f>
        <v>3</v>
      </c>
      <c r="S1578" s="34"/>
      <c r="T1578" s="34"/>
      <c r="U1578" s="34"/>
      <c r="V1578" s="34"/>
      <c r="W1578" s="34"/>
      <c r="X1578" s="34"/>
      <c r="Y1578" s="34"/>
      <c r="Z1578" s="34"/>
      <c r="AA1578" s="34"/>
    </row>
    <row r="1579" spans="1:27" ht="15">
      <c r="A1579" s="66" t="s">
        <v>223</v>
      </c>
      <c r="B1579" s="66" t="s">
        <v>240</v>
      </c>
      <c r="C1579" s="67" t="s">
        <v>4454</v>
      </c>
      <c r="D1579" s="68">
        <v>5</v>
      </c>
      <c r="E1579" s="69"/>
      <c r="F1579" s="70">
        <v>20</v>
      </c>
      <c r="G1579" s="67"/>
      <c r="H1579" s="71"/>
      <c r="I1579" s="72"/>
      <c r="J1579" s="72"/>
      <c r="K1579" s="34" t="s">
        <v>66</v>
      </c>
      <c r="L1579" s="79">
        <v>1579</v>
      </c>
      <c r="M1579" s="79"/>
      <c r="N1579" s="74"/>
      <c r="O1579" s="81" t="s">
        <v>944</v>
      </c>
      <c r="P1579">
        <v>1</v>
      </c>
      <c r="Q1579" s="80" t="str">
        <f>REPLACE(INDEX(GroupVertices[Group],MATCH(Edges[[#This Row],[Vertex 1]],GroupVertices[Vertex],0)),1,1,"")</f>
        <v>3</v>
      </c>
      <c r="R1579" s="80" t="str">
        <f>REPLACE(INDEX(GroupVertices[Group],MATCH(Edges[[#This Row],[Vertex 2]],GroupVertices[Vertex],0)),1,1,"")</f>
        <v>2</v>
      </c>
      <c r="S1579" s="34"/>
      <c r="T1579" s="34"/>
      <c r="U1579" s="34"/>
      <c r="V1579" s="34"/>
      <c r="W1579" s="34"/>
      <c r="X1579" s="34"/>
      <c r="Y1579" s="34"/>
      <c r="Z1579" s="34"/>
      <c r="AA1579" s="34"/>
    </row>
    <row r="1580" spans="1:27" ht="15">
      <c r="A1580" s="66" t="s">
        <v>223</v>
      </c>
      <c r="B1580" s="66" t="s">
        <v>217</v>
      </c>
      <c r="C1580" s="67" t="s">
        <v>4454</v>
      </c>
      <c r="D1580" s="68">
        <v>5</v>
      </c>
      <c r="E1580" s="69"/>
      <c r="F1580" s="70">
        <v>20</v>
      </c>
      <c r="G1580" s="67"/>
      <c r="H1580" s="71"/>
      <c r="I1580" s="72"/>
      <c r="J1580" s="72"/>
      <c r="K1580" s="34" t="s">
        <v>65</v>
      </c>
      <c r="L1580" s="79">
        <v>1580</v>
      </c>
      <c r="M1580" s="79"/>
      <c r="N1580" s="74"/>
      <c r="O1580" s="81" t="s">
        <v>944</v>
      </c>
      <c r="P1580">
        <v>1</v>
      </c>
      <c r="Q1580" s="80" t="str">
        <f>REPLACE(INDEX(GroupVertices[Group],MATCH(Edges[[#This Row],[Vertex 1]],GroupVertices[Vertex],0)),1,1,"")</f>
        <v>3</v>
      </c>
      <c r="R1580" s="80" t="str">
        <f>REPLACE(INDEX(GroupVertices[Group],MATCH(Edges[[#This Row],[Vertex 2]],GroupVertices[Vertex],0)),1,1,"")</f>
        <v>4</v>
      </c>
      <c r="S1580" s="34"/>
      <c r="T1580" s="34"/>
      <c r="U1580" s="34"/>
      <c r="V1580" s="34"/>
      <c r="W1580" s="34"/>
      <c r="X1580" s="34"/>
      <c r="Y1580" s="34"/>
      <c r="Z1580" s="34"/>
      <c r="AA1580" s="34"/>
    </row>
    <row r="1581" spans="1:27" ht="15">
      <c r="A1581" s="66" t="s">
        <v>223</v>
      </c>
      <c r="B1581" s="66" t="s">
        <v>238</v>
      </c>
      <c r="C1581" s="67" t="s">
        <v>4454</v>
      </c>
      <c r="D1581" s="68">
        <v>5</v>
      </c>
      <c r="E1581" s="69"/>
      <c r="F1581" s="70">
        <v>20</v>
      </c>
      <c r="G1581" s="67"/>
      <c r="H1581" s="71"/>
      <c r="I1581" s="72"/>
      <c r="J1581" s="72"/>
      <c r="K1581" s="34" t="s">
        <v>66</v>
      </c>
      <c r="L1581" s="79">
        <v>1581</v>
      </c>
      <c r="M1581" s="79"/>
      <c r="N1581" s="74"/>
      <c r="O1581" s="81" t="s">
        <v>944</v>
      </c>
      <c r="P1581">
        <v>1</v>
      </c>
      <c r="Q1581" s="80" t="str">
        <f>REPLACE(INDEX(GroupVertices[Group],MATCH(Edges[[#This Row],[Vertex 1]],GroupVertices[Vertex],0)),1,1,"")</f>
        <v>3</v>
      </c>
      <c r="R1581" s="80" t="str">
        <f>REPLACE(INDEX(GroupVertices[Group],MATCH(Edges[[#This Row],[Vertex 2]],GroupVertices[Vertex],0)),1,1,"")</f>
        <v>2</v>
      </c>
      <c r="S1581" s="34"/>
      <c r="T1581" s="34"/>
      <c r="U1581" s="34"/>
      <c r="V1581" s="34"/>
      <c r="W1581" s="34"/>
      <c r="X1581" s="34"/>
      <c r="Y1581" s="34"/>
      <c r="Z1581" s="34"/>
      <c r="AA1581" s="34"/>
    </row>
    <row r="1582" spans="1:27" ht="15">
      <c r="A1582" s="66" t="s">
        <v>223</v>
      </c>
      <c r="B1582" s="66" t="s">
        <v>242</v>
      </c>
      <c r="C1582" s="67" t="s">
        <v>4454</v>
      </c>
      <c r="D1582" s="68">
        <v>5</v>
      </c>
      <c r="E1582" s="69"/>
      <c r="F1582" s="70">
        <v>20</v>
      </c>
      <c r="G1582" s="67"/>
      <c r="H1582" s="71"/>
      <c r="I1582" s="72"/>
      <c r="J1582" s="72"/>
      <c r="K1582" s="34" t="s">
        <v>65</v>
      </c>
      <c r="L1582" s="79">
        <v>1582</v>
      </c>
      <c r="M1582" s="79"/>
      <c r="N1582" s="74"/>
      <c r="O1582" s="81" t="s">
        <v>944</v>
      </c>
      <c r="P1582">
        <v>1</v>
      </c>
      <c r="Q1582" s="80" t="str">
        <f>REPLACE(INDEX(GroupVertices[Group],MATCH(Edges[[#This Row],[Vertex 1]],GroupVertices[Vertex],0)),1,1,"")</f>
        <v>3</v>
      </c>
      <c r="R1582" s="80" t="str">
        <f>REPLACE(INDEX(GroupVertices[Group],MATCH(Edges[[#This Row],[Vertex 2]],GroupVertices[Vertex],0)),1,1,"")</f>
        <v>1</v>
      </c>
      <c r="S1582" s="34"/>
      <c r="T1582" s="34"/>
      <c r="U1582" s="34"/>
      <c r="V1582" s="34"/>
      <c r="W1582" s="34"/>
      <c r="X1582" s="34"/>
      <c r="Y1582" s="34"/>
      <c r="Z1582" s="34"/>
      <c r="AA1582" s="34"/>
    </row>
    <row r="1583" spans="1:27" ht="15">
      <c r="A1583" s="66" t="s">
        <v>223</v>
      </c>
      <c r="B1583" s="66" t="s">
        <v>250</v>
      </c>
      <c r="C1583" s="67" t="s">
        <v>4454</v>
      </c>
      <c r="D1583" s="68">
        <v>5</v>
      </c>
      <c r="E1583" s="69"/>
      <c r="F1583" s="70">
        <v>20</v>
      </c>
      <c r="G1583" s="67"/>
      <c r="H1583" s="71"/>
      <c r="I1583" s="72"/>
      <c r="J1583" s="72"/>
      <c r="K1583" s="34" t="s">
        <v>66</v>
      </c>
      <c r="L1583" s="79">
        <v>1583</v>
      </c>
      <c r="M1583" s="79"/>
      <c r="N1583" s="74"/>
      <c r="O1583" s="81" t="s">
        <v>944</v>
      </c>
      <c r="P1583">
        <v>1</v>
      </c>
      <c r="Q1583" s="80" t="str">
        <f>REPLACE(INDEX(GroupVertices[Group],MATCH(Edges[[#This Row],[Vertex 1]],GroupVertices[Vertex],0)),1,1,"")</f>
        <v>3</v>
      </c>
      <c r="R1583" s="80" t="str">
        <f>REPLACE(INDEX(GroupVertices[Group],MATCH(Edges[[#This Row],[Vertex 2]],GroupVertices[Vertex],0)),1,1,"")</f>
        <v>2</v>
      </c>
      <c r="S1583" s="34"/>
      <c r="T1583" s="34"/>
      <c r="U1583" s="34"/>
      <c r="V1583" s="34"/>
      <c r="W1583" s="34"/>
      <c r="X1583" s="34"/>
      <c r="Y1583" s="34"/>
      <c r="Z1583" s="34"/>
      <c r="AA1583" s="34"/>
    </row>
    <row r="1584" spans="1:27" ht="15">
      <c r="A1584" s="66" t="s">
        <v>223</v>
      </c>
      <c r="B1584" s="66" t="s">
        <v>848</v>
      </c>
      <c r="C1584" s="67" t="s">
        <v>4454</v>
      </c>
      <c r="D1584" s="68">
        <v>5</v>
      </c>
      <c r="E1584" s="69"/>
      <c r="F1584" s="70">
        <v>20</v>
      </c>
      <c r="G1584" s="67"/>
      <c r="H1584" s="71"/>
      <c r="I1584" s="72"/>
      <c r="J1584" s="72"/>
      <c r="K1584" s="34" t="s">
        <v>65</v>
      </c>
      <c r="L1584" s="79">
        <v>1584</v>
      </c>
      <c r="M1584" s="79"/>
      <c r="N1584" s="74"/>
      <c r="O1584" s="81" t="s">
        <v>944</v>
      </c>
      <c r="P1584">
        <v>1</v>
      </c>
      <c r="Q1584" s="80" t="str">
        <f>REPLACE(INDEX(GroupVertices[Group],MATCH(Edges[[#This Row],[Vertex 1]],GroupVertices[Vertex],0)),1,1,"")</f>
        <v>3</v>
      </c>
      <c r="R1584" s="80" t="str">
        <f>REPLACE(INDEX(GroupVertices[Group],MATCH(Edges[[#This Row],[Vertex 2]],GroupVertices[Vertex],0)),1,1,"")</f>
        <v>3</v>
      </c>
      <c r="S1584" s="34"/>
      <c r="T1584" s="34"/>
      <c r="U1584" s="34"/>
      <c r="V1584" s="34"/>
      <c r="W1584" s="34"/>
      <c r="X1584" s="34"/>
      <c r="Y1584" s="34"/>
      <c r="Z1584" s="34"/>
      <c r="AA1584" s="34"/>
    </row>
    <row r="1585" spans="1:27" ht="15">
      <c r="A1585" s="66" t="s">
        <v>223</v>
      </c>
      <c r="B1585" s="66" t="s">
        <v>249</v>
      </c>
      <c r="C1585" s="67" t="s">
        <v>4454</v>
      </c>
      <c r="D1585" s="68">
        <v>5</v>
      </c>
      <c r="E1585" s="69"/>
      <c r="F1585" s="70">
        <v>20</v>
      </c>
      <c r="G1585" s="67"/>
      <c r="H1585" s="71"/>
      <c r="I1585" s="72"/>
      <c r="J1585" s="72"/>
      <c r="K1585" s="34" t="s">
        <v>66</v>
      </c>
      <c r="L1585" s="79">
        <v>1585</v>
      </c>
      <c r="M1585" s="79"/>
      <c r="N1585" s="74"/>
      <c r="O1585" s="81" t="s">
        <v>944</v>
      </c>
      <c r="P1585">
        <v>1</v>
      </c>
      <c r="Q1585" s="80" t="str">
        <f>REPLACE(INDEX(GroupVertices[Group],MATCH(Edges[[#This Row],[Vertex 1]],GroupVertices[Vertex],0)),1,1,"")</f>
        <v>3</v>
      </c>
      <c r="R1585" s="80" t="str">
        <f>REPLACE(INDEX(GroupVertices[Group],MATCH(Edges[[#This Row],[Vertex 2]],GroupVertices[Vertex],0)),1,1,"")</f>
        <v>2</v>
      </c>
      <c r="S1585" s="34"/>
      <c r="T1585" s="34"/>
      <c r="U1585" s="34"/>
      <c r="V1585" s="34"/>
      <c r="W1585" s="34"/>
      <c r="X1585" s="34"/>
      <c r="Y1585" s="34"/>
      <c r="Z1585" s="34"/>
      <c r="AA1585" s="34"/>
    </row>
    <row r="1586" spans="1:27" ht="15">
      <c r="A1586" s="66" t="s">
        <v>223</v>
      </c>
      <c r="B1586" s="66" t="s">
        <v>478</v>
      </c>
      <c r="C1586" s="67" t="s">
        <v>4454</v>
      </c>
      <c r="D1586" s="68">
        <v>5</v>
      </c>
      <c r="E1586" s="69"/>
      <c r="F1586" s="70">
        <v>20</v>
      </c>
      <c r="G1586" s="67"/>
      <c r="H1586" s="71"/>
      <c r="I1586" s="72"/>
      <c r="J1586" s="72"/>
      <c r="K1586" s="34" t="s">
        <v>65</v>
      </c>
      <c r="L1586" s="79">
        <v>1586</v>
      </c>
      <c r="M1586" s="79"/>
      <c r="N1586" s="74"/>
      <c r="O1586" s="81" t="s">
        <v>944</v>
      </c>
      <c r="P1586">
        <v>1</v>
      </c>
      <c r="Q1586" s="80" t="str">
        <f>REPLACE(INDEX(GroupVertices[Group],MATCH(Edges[[#This Row],[Vertex 1]],GroupVertices[Vertex],0)),1,1,"")</f>
        <v>3</v>
      </c>
      <c r="R1586" s="80" t="str">
        <f>REPLACE(INDEX(GroupVertices[Group],MATCH(Edges[[#This Row],[Vertex 2]],GroupVertices[Vertex],0)),1,1,"")</f>
        <v>3</v>
      </c>
      <c r="S1586" s="34"/>
      <c r="T1586" s="34"/>
      <c r="U1586" s="34"/>
      <c r="V1586" s="34"/>
      <c r="W1586" s="34"/>
      <c r="X1586" s="34"/>
      <c r="Y1586" s="34"/>
      <c r="Z1586" s="34"/>
      <c r="AA1586" s="34"/>
    </row>
    <row r="1587" spans="1:27" ht="15">
      <c r="A1587" s="66" t="s">
        <v>223</v>
      </c>
      <c r="B1587" s="66" t="s">
        <v>510</v>
      </c>
      <c r="C1587" s="67" t="s">
        <v>4454</v>
      </c>
      <c r="D1587" s="68">
        <v>5</v>
      </c>
      <c r="E1587" s="69"/>
      <c r="F1587" s="70">
        <v>20</v>
      </c>
      <c r="G1587" s="67"/>
      <c r="H1587" s="71"/>
      <c r="I1587" s="72"/>
      <c r="J1587" s="72"/>
      <c r="K1587" s="34" t="s">
        <v>65</v>
      </c>
      <c r="L1587" s="79">
        <v>1587</v>
      </c>
      <c r="M1587" s="79"/>
      <c r="N1587" s="74"/>
      <c r="O1587" s="81" t="s">
        <v>944</v>
      </c>
      <c r="P1587">
        <v>1</v>
      </c>
      <c r="Q1587" s="80" t="str">
        <f>REPLACE(INDEX(GroupVertices[Group],MATCH(Edges[[#This Row],[Vertex 1]],GroupVertices[Vertex],0)),1,1,"")</f>
        <v>3</v>
      </c>
      <c r="R1587" s="80" t="str">
        <f>REPLACE(INDEX(GroupVertices[Group],MATCH(Edges[[#This Row],[Vertex 2]],GroupVertices[Vertex],0)),1,1,"")</f>
        <v>2</v>
      </c>
      <c r="S1587" s="34"/>
      <c r="T1587" s="34"/>
      <c r="U1587" s="34"/>
      <c r="V1587" s="34"/>
      <c r="W1587" s="34"/>
      <c r="X1587" s="34"/>
      <c r="Y1587" s="34"/>
      <c r="Z1587" s="34"/>
      <c r="AA1587" s="34"/>
    </row>
    <row r="1588" spans="1:27" ht="15">
      <c r="A1588" s="66" t="s">
        <v>223</v>
      </c>
      <c r="B1588" s="66" t="s">
        <v>253</v>
      </c>
      <c r="C1588" s="67" t="s">
        <v>4454</v>
      </c>
      <c r="D1588" s="68">
        <v>5</v>
      </c>
      <c r="E1588" s="69"/>
      <c r="F1588" s="70">
        <v>20</v>
      </c>
      <c r="G1588" s="67"/>
      <c r="H1588" s="71"/>
      <c r="I1588" s="72"/>
      <c r="J1588" s="72"/>
      <c r="K1588" s="34" t="s">
        <v>65</v>
      </c>
      <c r="L1588" s="79">
        <v>1588</v>
      </c>
      <c r="M1588" s="79"/>
      <c r="N1588" s="74"/>
      <c r="O1588" s="81" t="s">
        <v>944</v>
      </c>
      <c r="P1588">
        <v>1</v>
      </c>
      <c r="Q1588" s="80" t="str">
        <f>REPLACE(INDEX(GroupVertices[Group],MATCH(Edges[[#This Row],[Vertex 1]],GroupVertices[Vertex],0)),1,1,"")</f>
        <v>3</v>
      </c>
      <c r="R1588" s="80" t="str">
        <f>REPLACE(INDEX(GroupVertices[Group],MATCH(Edges[[#This Row],[Vertex 2]],GroupVertices[Vertex],0)),1,1,"")</f>
        <v>1</v>
      </c>
      <c r="S1588" s="34"/>
      <c r="T1588" s="34"/>
      <c r="U1588" s="34"/>
      <c r="V1588" s="34"/>
      <c r="W1588" s="34"/>
      <c r="X1588" s="34"/>
      <c r="Y1588" s="34"/>
      <c r="Z1588" s="34"/>
      <c r="AA1588" s="34"/>
    </row>
    <row r="1589" spans="1:27" ht="15">
      <c r="A1589" s="66" t="s">
        <v>223</v>
      </c>
      <c r="B1589" s="66" t="s">
        <v>254</v>
      </c>
      <c r="C1589" s="67" t="s">
        <v>4454</v>
      </c>
      <c r="D1589" s="68">
        <v>5</v>
      </c>
      <c r="E1589" s="69"/>
      <c r="F1589" s="70">
        <v>20</v>
      </c>
      <c r="G1589" s="67"/>
      <c r="H1589" s="71"/>
      <c r="I1589" s="72"/>
      <c r="J1589" s="72"/>
      <c r="K1589" s="34" t="s">
        <v>65</v>
      </c>
      <c r="L1589" s="79">
        <v>1589</v>
      </c>
      <c r="M1589" s="79"/>
      <c r="N1589" s="74"/>
      <c r="O1589" s="81" t="s">
        <v>944</v>
      </c>
      <c r="P1589">
        <v>1</v>
      </c>
      <c r="Q1589" s="80" t="str">
        <f>REPLACE(INDEX(GroupVertices[Group],MATCH(Edges[[#This Row],[Vertex 1]],GroupVertices[Vertex],0)),1,1,"")</f>
        <v>3</v>
      </c>
      <c r="R1589" s="80" t="str">
        <f>REPLACE(INDEX(GroupVertices[Group],MATCH(Edges[[#This Row],[Vertex 2]],GroupVertices[Vertex],0)),1,1,"")</f>
        <v>3</v>
      </c>
      <c r="S1589" s="34"/>
      <c r="T1589" s="34"/>
      <c r="U1589" s="34"/>
      <c r="V1589" s="34"/>
      <c r="W1589" s="34"/>
      <c r="X1589" s="34"/>
      <c r="Y1589" s="34"/>
      <c r="Z1589" s="34"/>
      <c r="AA1589" s="34"/>
    </row>
    <row r="1590" spans="1:27" ht="15">
      <c r="A1590" s="66" t="s">
        <v>223</v>
      </c>
      <c r="B1590" s="66" t="s">
        <v>246</v>
      </c>
      <c r="C1590" s="67" t="s">
        <v>4454</v>
      </c>
      <c r="D1590" s="68">
        <v>5</v>
      </c>
      <c r="E1590" s="69"/>
      <c r="F1590" s="70">
        <v>20</v>
      </c>
      <c r="G1590" s="67"/>
      <c r="H1590" s="71"/>
      <c r="I1590" s="72"/>
      <c r="J1590" s="72"/>
      <c r="K1590" s="34" t="s">
        <v>66</v>
      </c>
      <c r="L1590" s="79">
        <v>1590</v>
      </c>
      <c r="M1590" s="79"/>
      <c r="N1590" s="74"/>
      <c r="O1590" s="81" t="s">
        <v>944</v>
      </c>
      <c r="P1590">
        <v>1</v>
      </c>
      <c r="Q1590" s="80" t="str">
        <f>REPLACE(INDEX(GroupVertices[Group],MATCH(Edges[[#This Row],[Vertex 1]],GroupVertices[Vertex],0)),1,1,"")</f>
        <v>3</v>
      </c>
      <c r="R1590" s="80" t="str">
        <f>REPLACE(INDEX(GroupVertices[Group],MATCH(Edges[[#This Row],[Vertex 2]],GroupVertices[Vertex],0)),1,1,"")</f>
        <v>2</v>
      </c>
      <c r="S1590" s="34"/>
      <c r="T1590" s="34"/>
      <c r="U1590" s="34"/>
      <c r="V1590" s="34"/>
      <c r="W1590" s="34"/>
      <c r="X1590" s="34"/>
      <c r="Y1590" s="34"/>
      <c r="Z1590" s="34"/>
      <c r="AA1590" s="34"/>
    </row>
    <row r="1591" spans="1:27" ht="15">
      <c r="A1591" s="66" t="s">
        <v>223</v>
      </c>
      <c r="B1591" s="66" t="s">
        <v>850</v>
      </c>
      <c r="C1591" s="67" t="s">
        <v>4454</v>
      </c>
      <c r="D1591" s="68">
        <v>5</v>
      </c>
      <c r="E1591" s="69"/>
      <c r="F1591" s="70">
        <v>20</v>
      </c>
      <c r="G1591" s="67"/>
      <c r="H1591" s="71"/>
      <c r="I1591" s="72"/>
      <c r="J1591" s="72"/>
      <c r="K1591" s="34" t="s">
        <v>65</v>
      </c>
      <c r="L1591" s="79">
        <v>1591</v>
      </c>
      <c r="M1591" s="79"/>
      <c r="N1591" s="74"/>
      <c r="O1591" s="81" t="s">
        <v>944</v>
      </c>
      <c r="P1591">
        <v>1</v>
      </c>
      <c r="Q1591" s="80" t="str">
        <f>REPLACE(INDEX(GroupVertices[Group],MATCH(Edges[[#This Row],[Vertex 1]],GroupVertices[Vertex],0)),1,1,"")</f>
        <v>3</v>
      </c>
      <c r="R1591" s="80" t="str">
        <f>REPLACE(INDEX(GroupVertices[Group],MATCH(Edges[[#This Row],[Vertex 2]],GroupVertices[Vertex],0)),1,1,"")</f>
        <v>3</v>
      </c>
      <c r="S1591" s="34"/>
      <c r="T1591" s="34"/>
      <c r="U1591" s="34"/>
      <c r="V1591" s="34"/>
      <c r="W1591" s="34"/>
      <c r="X1591" s="34"/>
      <c r="Y1591" s="34"/>
      <c r="Z1591" s="34"/>
      <c r="AA1591" s="34"/>
    </row>
    <row r="1592" spans="1:27" ht="15">
      <c r="A1592" s="66" t="s">
        <v>223</v>
      </c>
      <c r="B1592" s="66" t="s">
        <v>812</v>
      </c>
      <c r="C1592" s="67" t="s">
        <v>4454</v>
      </c>
      <c r="D1592" s="68">
        <v>5</v>
      </c>
      <c r="E1592" s="69"/>
      <c r="F1592" s="70">
        <v>20</v>
      </c>
      <c r="G1592" s="67"/>
      <c r="H1592" s="71"/>
      <c r="I1592" s="72"/>
      <c r="J1592" s="72"/>
      <c r="K1592" s="34" t="s">
        <v>65</v>
      </c>
      <c r="L1592" s="79">
        <v>1592</v>
      </c>
      <c r="M1592" s="79"/>
      <c r="N1592" s="74"/>
      <c r="O1592" s="81" t="s">
        <v>944</v>
      </c>
      <c r="P1592">
        <v>1</v>
      </c>
      <c r="Q1592" s="80" t="str">
        <f>REPLACE(INDEX(GroupVertices[Group],MATCH(Edges[[#This Row],[Vertex 1]],GroupVertices[Vertex],0)),1,1,"")</f>
        <v>3</v>
      </c>
      <c r="R1592" s="80" t="str">
        <f>REPLACE(INDEX(GroupVertices[Group],MATCH(Edges[[#This Row],[Vertex 2]],GroupVertices[Vertex],0)),1,1,"")</f>
        <v>3</v>
      </c>
      <c r="S1592" s="34"/>
      <c r="T1592" s="34"/>
      <c r="U1592" s="34"/>
      <c r="V1592" s="34"/>
      <c r="W1592" s="34"/>
      <c r="X1592" s="34"/>
      <c r="Y1592" s="34"/>
      <c r="Z1592" s="34"/>
      <c r="AA1592" s="34"/>
    </row>
    <row r="1593" spans="1:27" ht="15">
      <c r="A1593" s="66" t="s">
        <v>223</v>
      </c>
      <c r="B1593" s="66" t="s">
        <v>241</v>
      </c>
      <c r="C1593" s="67" t="s">
        <v>4454</v>
      </c>
      <c r="D1593" s="68">
        <v>5</v>
      </c>
      <c r="E1593" s="69"/>
      <c r="F1593" s="70">
        <v>20</v>
      </c>
      <c r="G1593" s="67"/>
      <c r="H1593" s="71"/>
      <c r="I1593" s="72"/>
      <c r="J1593" s="72"/>
      <c r="K1593" s="34" t="s">
        <v>65</v>
      </c>
      <c r="L1593" s="79">
        <v>1593</v>
      </c>
      <c r="M1593" s="79"/>
      <c r="N1593" s="74"/>
      <c r="O1593" s="81" t="s">
        <v>944</v>
      </c>
      <c r="P1593">
        <v>1</v>
      </c>
      <c r="Q1593" s="80" t="str">
        <f>REPLACE(INDEX(GroupVertices[Group],MATCH(Edges[[#This Row],[Vertex 1]],GroupVertices[Vertex],0)),1,1,"")</f>
        <v>3</v>
      </c>
      <c r="R1593" s="80" t="str">
        <f>REPLACE(INDEX(GroupVertices[Group],MATCH(Edges[[#This Row],[Vertex 2]],GroupVertices[Vertex],0)),1,1,"")</f>
        <v>2</v>
      </c>
      <c r="S1593" s="34"/>
      <c r="T1593" s="34"/>
      <c r="U1593" s="34"/>
      <c r="V1593" s="34"/>
      <c r="W1593" s="34"/>
      <c r="X1593" s="34"/>
      <c r="Y1593" s="34"/>
      <c r="Z1593" s="34"/>
      <c r="AA1593" s="34"/>
    </row>
    <row r="1594" spans="1:27" ht="15">
      <c r="A1594" s="66" t="s">
        <v>223</v>
      </c>
      <c r="B1594" s="66" t="s">
        <v>220</v>
      </c>
      <c r="C1594" s="67" t="s">
        <v>4454</v>
      </c>
      <c r="D1594" s="68">
        <v>5</v>
      </c>
      <c r="E1594" s="69"/>
      <c r="F1594" s="70">
        <v>20</v>
      </c>
      <c r="G1594" s="67"/>
      <c r="H1594" s="71"/>
      <c r="I1594" s="72"/>
      <c r="J1594" s="72"/>
      <c r="K1594" s="34" t="s">
        <v>66</v>
      </c>
      <c r="L1594" s="79">
        <v>1594</v>
      </c>
      <c r="M1594" s="79"/>
      <c r="N1594" s="74"/>
      <c r="O1594" s="81" t="s">
        <v>944</v>
      </c>
      <c r="P1594">
        <v>1</v>
      </c>
      <c r="Q1594" s="80" t="str">
        <f>REPLACE(INDEX(GroupVertices[Group],MATCH(Edges[[#This Row],[Vertex 1]],GroupVertices[Vertex],0)),1,1,"")</f>
        <v>3</v>
      </c>
      <c r="R1594" s="80" t="str">
        <f>REPLACE(INDEX(GroupVertices[Group],MATCH(Edges[[#This Row],[Vertex 2]],GroupVertices[Vertex],0)),1,1,"")</f>
        <v>2</v>
      </c>
      <c r="S1594" s="34"/>
      <c r="T1594" s="34"/>
      <c r="U1594" s="34"/>
      <c r="V1594" s="34"/>
      <c r="W1594" s="34"/>
      <c r="X1594" s="34"/>
      <c r="Y1594" s="34"/>
      <c r="Z1594" s="34"/>
      <c r="AA1594" s="34"/>
    </row>
    <row r="1595" spans="1:27" ht="15">
      <c r="A1595" s="66" t="s">
        <v>223</v>
      </c>
      <c r="B1595" s="66" t="s">
        <v>260</v>
      </c>
      <c r="C1595" s="67" t="s">
        <v>4454</v>
      </c>
      <c r="D1595" s="68">
        <v>5</v>
      </c>
      <c r="E1595" s="69"/>
      <c r="F1595" s="70">
        <v>20</v>
      </c>
      <c r="G1595" s="67"/>
      <c r="H1595" s="71"/>
      <c r="I1595" s="72"/>
      <c r="J1595" s="72"/>
      <c r="K1595" s="34" t="s">
        <v>65</v>
      </c>
      <c r="L1595" s="79">
        <v>1595</v>
      </c>
      <c r="M1595" s="79"/>
      <c r="N1595" s="74"/>
      <c r="O1595" s="81" t="s">
        <v>944</v>
      </c>
      <c r="P1595">
        <v>1</v>
      </c>
      <c r="Q1595" s="80" t="str">
        <f>REPLACE(INDEX(GroupVertices[Group],MATCH(Edges[[#This Row],[Vertex 1]],GroupVertices[Vertex],0)),1,1,"")</f>
        <v>3</v>
      </c>
      <c r="R1595" s="80" t="str">
        <f>REPLACE(INDEX(GroupVertices[Group],MATCH(Edges[[#This Row],[Vertex 2]],GroupVertices[Vertex],0)),1,1,"")</f>
        <v>2</v>
      </c>
      <c r="S1595" s="34"/>
      <c r="T1595" s="34"/>
      <c r="U1595" s="34"/>
      <c r="V1595" s="34"/>
      <c r="W1595" s="34"/>
      <c r="X1595" s="34"/>
      <c r="Y1595" s="34"/>
      <c r="Z1595" s="34"/>
      <c r="AA1595" s="34"/>
    </row>
    <row r="1596" spans="1:27" ht="15">
      <c r="A1596" s="66" t="s">
        <v>223</v>
      </c>
      <c r="B1596" s="66" t="s">
        <v>885</v>
      </c>
      <c r="C1596" s="67" t="s">
        <v>4454</v>
      </c>
      <c r="D1596" s="68">
        <v>5</v>
      </c>
      <c r="E1596" s="69"/>
      <c r="F1596" s="70">
        <v>20</v>
      </c>
      <c r="G1596" s="67"/>
      <c r="H1596" s="71"/>
      <c r="I1596" s="72"/>
      <c r="J1596" s="72"/>
      <c r="K1596" s="34" t="s">
        <v>65</v>
      </c>
      <c r="L1596" s="79">
        <v>1596</v>
      </c>
      <c r="M1596" s="79"/>
      <c r="N1596" s="74"/>
      <c r="O1596" s="81" t="s">
        <v>944</v>
      </c>
      <c r="P1596">
        <v>1</v>
      </c>
      <c r="Q1596" s="80" t="str">
        <f>REPLACE(INDEX(GroupVertices[Group],MATCH(Edges[[#This Row],[Vertex 1]],GroupVertices[Vertex],0)),1,1,"")</f>
        <v>3</v>
      </c>
      <c r="R1596" s="80" t="str">
        <f>REPLACE(INDEX(GroupVertices[Group],MATCH(Edges[[#This Row],[Vertex 2]],GroupVertices[Vertex],0)),1,1,"")</f>
        <v>2</v>
      </c>
      <c r="S1596" s="34"/>
      <c r="T1596" s="34"/>
      <c r="U1596" s="34"/>
      <c r="V1596" s="34"/>
      <c r="W1596" s="34"/>
      <c r="X1596" s="34"/>
      <c r="Y1596" s="34"/>
      <c r="Z1596" s="34"/>
      <c r="AA1596" s="34"/>
    </row>
    <row r="1597" spans="1:27" ht="15">
      <c r="A1597" s="66" t="s">
        <v>223</v>
      </c>
      <c r="B1597" s="66" t="s">
        <v>233</v>
      </c>
      <c r="C1597" s="67" t="s">
        <v>4454</v>
      </c>
      <c r="D1597" s="68">
        <v>5</v>
      </c>
      <c r="E1597" s="69"/>
      <c r="F1597" s="70">
        <v>20</v>
      </c>
      <c r="G1597" s="67"/>
      <c r="H1597" s="71"/>
      <c r="I1597" s="72"/>
      <c r="J1597" s="72"/>
      <c r="K1597" s="34" t="s">
        <v>66</v>
      </c>
      <c r="L1597" s="79">
        <v>1597</v>
      </c>
      <c r="M1597" s="79"/>
      <c r="N1597" s="74"/>
      <c r="O1597" s="81" t="s">
        <v>944</v>
      </c>
      <c r="P1597">
        <v>1</v>
      </c>
      <c r="Q1597" s="80" t="str">
        <f>REPLACE(INDEX(GroupVertices[Group],MATCH(Edges[[#This Row],[Vertex 1]],GroupVertices[Vertex],0)),1,1,"")</f>
        <v>3</v>
      </c>
      <c r="R1597" s="80" t="str">
        <f>REPLACE(INDEX(GroupVertices[Group],MATCH(Edges[[#This Row],[Vertex 2]],GroupVertices[Vertex],0)),1,1,"")</f>
        <v>2</v>
      </c>
      <c r="S1597" s="34"/>
      <c r="T1597" s="34"/>
      <c r="U1597" s="34"/>
      <c r="V1597" s="34"/>
      <c r="W1597" s="34"/>
      <c r="X1597" s="34"/>
      <c r="Y1597" s="34"/>
      <c r="Z1597" s="34"/>
      <c r="AA1597" s="34"/>
    </row>
    <row r="1598" spans="1:27" ht="15">
      <c r="A1598" s="66" t="s">
        <v>223</v>
      </c>
      <c r="B1598" s="66" t="s">
        <v>259</v>
      </c>
      <c r="C1598" s="67" t="s">
        <v>4454</v>
      </c>
      <c r="D1598" s="68">
        <v>5</v>
      </c>
      <c r="E1598" s="69"/>
      <c r="F1598" s="70">
        <v>20</v>
      </c>
      <c r="G1598" s="67"/>
      <c r="H1598" s="71"/>
      <c r="I1598" s="72"/>
      <c r="J1598" s="72"/>
      <c r="K1598" s="34" t="s">
        <v>65</v>
      </c>
      <c r="L1598" s="79">
        <v>1598</v>
      </c>
      <c r="M1598" s="79"/>
      <c r="N1598" s="74"/>
      <c r="O1598" s="81" t="s">
        <v>944</v>
      </c>
      <c r="P1598">
        <v>1</v>
      </c>
      <c r="Q1598" s="80" t="str">
        <f>REPLACE(INDEX(GroupVertices[Group],MATCH(Edges[[#This Row],[Vertex 1]],GroupVertices[Vertex],0)),1,1,"")</f>
        <v>3</v>
      </c>
      <c r="R1598" s="80" t="str">
        <f>REPLACE(INDEX(GroupVertices[Group],MATCH(Edges[[#This Row],[Vertex 2]],GroupVertices[Vertex],0)),1,1,"")</f>
        <v>2</v>
      </c>
      <c r="S1598" s="34"/>
      <c r="T1598" s="34"/>
      <c r="U1598" s="34"/>
      <c r="V1598" s="34"/>
      <c r="W1598" s="34"/>
      <c r="X1598" s="34"/>
      <c r="Y1598" s="34"/>
      <c r="Z1598" s="34"/>
      <c r="AA1598" s="34"/>
    </row>
    <row r="1599" spans="1:27" ht="15">
      <c r="A1599" s="66" t="s">
        <v>233</v>
      </c>
      <c r="B1599" s="66" t="s">
        <v>223</v>
      </c>
      <c r="C1599" s="67" t="s">
        <v>4454</v>
      </c>
      <c r="D1599" s="68">
        <v>5</v>
      </c>
      <c r="E1599" s="69"/>
      <c r="F1599" s="70">
        <v>20</v>
      </c>
      <c r="G1599" s="67"/>
      <c r="H1599" s="71"/>
      <c r="I1599" s="72"/>
      <c r="J1599" s="72"/>
      <c r="K1599" s="34" t="s">
        <v>66</v>
      </c>
      <c r="L1599" s="79">
        <v>1599</v>
      </c>
      <c r="M1599" s="79"/>
      <c r="N1599" s="74"/>
      <c r="O1599" s="81" t="s">
        <v>944</v>
      </c>
      <c r="P1599">
        <v>1</v>
      </c>
      <c r="Q1599" s="80" t="str">
        <f>REPLACE(INDEX(GroupVertices[Group],MATCH(Edges[[#This Row],[Vertex 1]],GroupVertices[Vertex],0)),1,1,"")</f>
        <v>2</v>
      </c>
      <c r="R1599" s="80" t="str">
        <f>REPLACE(INDEX(GroupVertices[Group],MATCH(Edges[[#This Row],[Vertex 2]],GroupVertices[Vertex],0)),1,1,"")</f>
        <v>3</v>
      </c>
      <c r="S1599" s="34"/>
      <c r="T1599" s="34"/>
      <c r="U1599" s="34"/>
      <c r="V1599" s="34"/>
      <c r="W1599" s="34"/>
      <c r="X1599" s="34"/>
      <c r="Y1599" s="34"/>
      <c r="Z1599" s="34"/>
      <c r="AA1599" s="34"/>
    </row>
    <row r="1600" spans="1:27" ht="15">
      <c r="A1600" s="66" t="s">
        <v>235</v>
      </c>
      <c r="B1600" s="66" t="s">
        <v>223</v>
      </c>
      <c r="C1600" s="67" t="s">
        <v>4454</v>
      </c>
      <c r="D1600" s="68">
        <v>5</v>
      </c>
      <c r="E1600" s="69"/>
      <c r="F1600" s="70">
        <v>20</v>
      </c>
      <c r="G1600" s="67"/>
      <c r="H1600" s="71"/>
      <c r="I1600" s="72"/>
      <c r="J1600" s="72"/>
      <c r="K1600" s="34" t="s">
        <v>65</v>
      </c>
      <c r="L1600" s="79">
        <v>1600</v>
      </c>
      <c r="M1600" s="79"/>
      <c r="N1600" s="74"/>
      <c r="O1600" s="81" t="s">
        <v>944</v>
      </c>
      <c r="P1600">
        <v>1</v>
      </c>
      <c r="Q1600" s="80" t="str">
        <f>REPLACE(INDEX(GroupVertices[Group],MATCH(Edges[[#This Row],[Vertex 1]],GroupVertices[Vertex],0)),1,1,"")</f>
        <v>2</v>
      </c>
      <c r="R1600" s="80" t="str">
        <f>REPLACE(INDEX(GroupVertices[Group],MATCH(Edges[[#This Row],[Vertex 2]],GroupVertices[Vertex],0)),1,1,"")</f>
        <v>3</v>
      </c>
      <c r="S1600" s="34"/>
      <c r="T1600" s="34"/>
      <c r="U1600" s="34"/>
      <c r="V1600" s="34"/>
      <c r="W1600" s="34"/>
      <c r="X1600" s="34"/>
      <c r="Y1600" s="34"/>
      <c r="Z1600" s="34"/>
      <c r="AA1600" s="34"/>
    </row>
    <row r="1601" spans="1:27" ht="15">
      <c r="A1601" s="66" t="s">
        <v>238</v>
      </c>
      <c r="B1601" s="66" t="s">
        <v>223</v>
      </c>
      <c r="C1601" s="67" t="s">
        <v>4454</v>
      </c>
      <c r="D1601" s="68">
        <v>5</v>
      </c>
      <c r="E1601" s="69"/>
      <c r="F1601" s="70">
        <v>20</v>
      </c>
      <c r="G1601" s="67"/>
      <c r="H1601" s="71"/>
      <c r="I1601" s="72"/>
      <c r="J1601" s="72"/>
      <c r="K1601" s="34" t="s">
        <v>66</v>
      </c>
      <c r="L1601" s="79">
        <v>1601</v>
      </c>
      <c r="M1601" s="79"/>
      <c r="N1601" s="74"/>
      <c r="O1601" s="81" t="s">
        <v>944</v>
      </c>
      <c r="P1601">
        <v>1</v>
      </c>
      <c r="Q1601" s="80" t="str">
        <f>REPLACE(INDEX(GroupVertices[Group],MATCH(Edges[[#This Row],[Vertex 1]],GroupVertices[Vertex],0)),1,1,"")</f>
        <v>2</v>
      </c>
      <c r="R1601" s="80" t="str">
        <f>REPLACE(INDEX(GroupVertices[Group],MATCH(Edges[[#This Row],[Vertex 2]],GroupVertices[Vertex],0)),1,1,"")</f>
        <v>3</v>
      </c>
      <c r="S1601" s="34"/>
      <c r="T1601" s="34"/>
      <c r="U1601" s="34"/>
      <c r="V1601" s="34"/>
      <c r="W1601" s="34"/>
      <c r="X1601" s="34"/>
      <c r="Y1601" s="34"/>
      <c r="Z1601" s="34"/>
      <c r="AA1601" s="34"/>
    </row>
    <row r="1602" spans="1:27" ht="15">
      <c r="A1602" s="66" t="s">
        <v>240</v>
      </c>
      <c r="B1602" s="66" t="s">
        <v>223</v>
      </c>
      <c r="C1602" s="67" t="s">
        <v>4454</v>
      </c>
      <c r="D1602" s="68">
        <v>5</v>
      </c>
      <c r="E1602" s="69"/>
      <c r="F1602" s="70">
        <v>20</v>
      </c>
      <c r="G1602" s="67"/>
      <c r="H1602" s="71"/>
      <c r="I1602" s="72"/>
      <c r="J1602" s="72"/>
      <c r="K1602" s="34" t="s">
        <v>66</v>
      </c>
      <c r="L1602" s="79">
        <v>1602</v>
      </c>
      <c r="M1602" s="79"/>
      <c r="N1602" s="74"/>
      <c r="O1602" s="81" t="s">
        <v>944</v>
      </c>
      <c r="P1602">
        <v>1</v>
      </c>
      <c r="Q1602" s="80" t="str">
        <f>REPLACE(INDEX(GroupVertices[Group],MATCH(Edges[[#This Row],[Vertex 1]],GroupVertices[Vertex],0)),1,1,"")</f>
        <v>2</v>
      </c>
      <c r="R1602" s="80" t="str">
        <f>REPLACE(INDEX(GroupVertices[Group],MATCH(Edges[[#This Row],[Vertex 2]],GroupVertices[Vertex],0)),1,1,"")</f>
        <v>3</v>
      </c>
      <c r="S1602" s="34"/>
      <c r="T1602" s="34"/>
      <c r="U1602" s="34"/>
      <c r="V1602" s="34"/>
      <c r="W1602" s="34"/>
      <c r="X1602" s="34"/>
      <c r="Y1602" s="34"/>
      <c r="Z1602" s="34"/>
      <c r="AA1602" s="34"/>
    </row>
    <row r="1603" spans="1:27" ht="15">
      <c r="A1603" s="66" t="s">
        <v>243</v>
      </c>
      <c r="B1603" s="66" t="s">
        <v>223</v>
      </c>
      <c r="C1603" s="67" t="s">
        <v>4454</v>
      </c>
      <c r="D1603" s="68">
        <v>5</v>
      </c>
      <c r="E1603" s="69"/>
      <c r="F1603" s="70">
        <v>20</v>
      </c>
      <c r="G1603" s="67"/>
      <c r="H1603" s="71"/>
      <c r="I1603" s="72"/>
      <c r="J1603" s="72"/>
      <c r="K1603" s="34" t="s">
        <v>65</v>
      </c>
      <c r="L1603" s="79">
        <v>1603</v>
      </c>
      <c r="M1603" s="79"/>
      <c r="N1603" s="74"/>
      <c r="O1603" s="81" t="s">
        <v>944</v>
      </c>
      <c r="P1603">
        <v>1</v>
      </c>
      <c r="Q1603" s="80" t="str">
        <f>REPLACE(INDEX(GroupVertices[Group],MATCH(Edges[[#This Row],[Vertex 1]],GroupVertices[Vertex],0)),1,1,"")</f>
        <v>2</v>
      </c>
      <c r="R1603" s="80" t="str">
        <f>REPLACE(INDEX(GroupVertices[Group],MATCH(Edges[[#This Row],[Vertex 2]],GroupVertices[Vertex],0)),1,1,"")</f>
        <v>3</v>
      </c>
      <c r="S1603" s="34"/>
      <c r="T1603" s="34"/>
      <c r="U1603" s="34"/>
      <c r="V1603" s="34"/>
      <c r="W1603" s="34"/>
      <c r="X1603" s="34"/>
      <c r="Y1603" s="34"/>
      <c r="Z1603" s="34"/>
      <c r="AA1603" s="34"/>
    </row>
    <row r="1604" spans="1:27" ht="15">
      <c r="A1604" s="66" t="s">
        <v>246</v>
      </c>
      <c r="B1604" s="66" t="s">
        <v>223</v>
      </c>
      <c r="C1604" s="67" t="s">
        <v>4454</v>
      </c>
      <c r="D1604" s="68">
        <v>5</v>
      </c>
      <c r="E1604" s="69"/>
      <c r="F1604" s="70">
        <v>20</v>
      </c>
      <c r="G1604" s="67"/>
      <c r="H1604" s="71"/>
      <c r="I1604" s="72"/>
      <c r="J1604" s="72"/>
      <c r="K1604" s="34" t="s">
        <v>66</v>
      </c>
      <c r="L1604" s="79">
        <v>1604</v>
      </c>
      <c r="M1604" s="79"/>
      <c r="N1604" s="74"/>
      <c r="O1604" s="81" t="s">
        <v>944</v>
      </c>
      <c r="P1604">
        <v>1</v>
      </c>
      <c r="Q1604" s="80" t="str">
        <f>REPLACE(INDEX(GroupVertices[Group],MATCH(Edges[[#This Row],[Vertex 1]],GroupVertices[Vertex],0)),1,1,"")</f>
        <v>2</v>
      </c>
      <c r="R1604" s="80" t="str">
        <f>REPLACE(INDEX(GroupVertices[Group],MATCH(Edges[[#This Row],[Vertex 2]],GroupVertices[Vertex],0)),1,1,"")</f>
        <v>3</v>
      </c>
      <c r="S1604" s="34"/>
      <c r="T1604" s="34"/>
      <c r="U1604" s="34"/>
      <c r="V1604" s="34"/>
      <c r="W1604" s="34"/>
      <c r="X1604" s="34"/>
      <c r="Y1604" s="34"/>
      <c r="Z1604" s="34"/>
      <c r="AA1604" s="34"/>
    </row>
    <row r="1605" spans="1:27" ht="15">
      <c r="A1605" s="66" t="s">
        <v>249</v>
      </c>
      <c r="B1605" s="66" t="s">
        <v>223</v>
      </c>
      <c r="C1605" s="67" t="s">
        <v>4454</v>
      </c>
      <c r="D1605" s="68">
        <v>5</v>
      </c>
      <c r="E1605" s="69"/>
      <c r="F1605" s="70">
        <v>20</v>
      </c>
      <c r="G1605" s="67"/>
      <c r="H1605" s="71"/>
      <c r="I1605" s="72"/>
      <c r="J1605" s="72"/>
      <c r="K1605" s="34" t="s">
        <v>66</v>
      </c>
      <c r="L1605" s="79">
        <v>1605</v>
      </c>
      <c r="M1605" s="79"/>
      <c r="N1605" s="74"/>
      <c r="O1605" s="81" t="s">
        <v>944</v>
      </c>
      <c r="P1605">
        <v>1</v>
      </c>
      <c r="Q1605" s="80" t="str">
        <f>REPLACE(INDEX(GroupVertices[Group],MATCH(Edges[[#This Row],[Vertex 1]],GroupVertices[Vertex],0)),1,1,"")</f>
        <v>2</v>
      </c>
      <c r="R1605" s="80" t="str">
        <f>REPLACE(INDEX(GroupVertices[Group],MATCH(Edges[[#This Row],[Vertex 2]],GroupVertices[Vertex],0)),1,1,"")</f>
        <v>3</v>
      </c>
      <c r="S1605" s="34"/>
      <c r="T1605" s="34"/>
      <c r="U1605" s="34"/>
      <c r="V1605" s="34"/>
      <c r="W1605" s="34"/>
      <c r="X1605" s="34"/>
      <c r="Y1605" s="34"/>
      <c r="Z1605" s="34"/>
      <c r="AA1605" s="34"/>
    </row>
    <row r="1606" spans="1:27" ht="15">
      <c r="A1606" s="66" t="s">
        <v>250</v>
      </c>
      <c r="B1606" s="66" t="s">
        <v>223</v>
      </c>
      <c r="C1606" s="67" t="s">
        <v>4454</v>
      </c>
      <c r="D1606" s="68">
        <v>5</v>
      </c>
      <c r="E1606" s="69"/>
      <c r="F1606" s="70">
        <v>20</v>
      </c>
      <c r="G1606" s="67"/>
      <c r="H1606" s="71"/>
      <c r="I1606" s="72"/>
      <c r="J1606" s="72"/>
      <c r="K1606" s="34" t="s">
        <v>66</v>
      </c>
      <c r="L1606" s="79">
        <v>1606</v>
      </c>
      <c r="M1606" s="79"/>
      <c r="N1606" s="74"/>
      <c r="O1606" s="81" t="s">
        <v>944</v>
      </c>
      <c r="P1606">
        <v>1</v>
      </c>
      <c r="Q1606" s="80" t="str">
        <f>REPLACE(INDEX(GroupVertices[Group],MATCH(Edges[[#This Row],[Vertex 1]],GroupVertices[Vertex],0)),1,1,"")</f>
        <v>2</v>
      </c>
      <c r="R1606" s="80" t="str">
        <f>REPLACE(INDEX(GroupVertices[Group],MATCH(Edges[[#This Row],[Vertex 2]],GroupVertices[Vertex],0)),1,1,"")</f>
        <v>3</v>
      </c>
      <c r="S1606" s="34"/>
      <c r="T1606" s="34"/>
      <c r="U1606" s="34"/>
      <c r="V1606" s="34"/>
      <c r="W1606" s="34"/>
      <c r="X1606" s="34"/>
      <c r="Y1606" s="34"/>
      <c r="Z1606" s="34"/>
      <c r="AA1606" s="34"/>
    </row>
    <row r="1607" spans="1:27" ht="15">
      <c r="A1607" s="66" t="s">
        <v>255</v>
      </c>
      <c r="B1607" s="66" t="s">
        <v>223</v>
      </c>
      <c r="C1607" s="67" t="s">
        <v>4454</v>
      </c>
      <c r="D1607" s="68">
        <v>5</v>
      </c>
      <c r="E1607" s="69"/>
      <c r="F1607" s="70">
        <v>20</v>
      </c>
      <c r="G1607" s="67"/>
      <c r="H1607" s="71"/>
      <c r="I1607" s="72"/>
      <c r="J1607" s="72"/>
      <c r="K1607" s="34" t="s">
        <v>65</v>
      </c>
      <c r="L1607" s="79">
        <v>1607</v>
      </c>
      <c r="M1607" s="79"/>
      <c r="N1607" s="74"/>
      <c r="O1607" s="81" t="s">
        <v>944</v>
      </c>
      <c r="P1607">
        <v>1</v>
      </c>
      <c r="Q1607" s="80" t="str">
        <f>REPLACE(INDEX(GroupVertices[Group],MATCH(Edges[[#This Row],[Vertex 1]],GroupVertices[Vertex],0)),1,1,"")</f>
        <v>4</v>
      </c>
      <c r="R1607" s="80" t="str">
        <f>REPLACE(INDEX(GroupVertices[Group],MATCH(Edges[[#This Row],[Vertex 2]],GroupVertices[Vertex],0)),1,1,"")</f>
        <v>3</v>
      </c>
      <c r="S1607" s="34"/>
      <c r="T1607" s="34"/>
      <c r="U1607" s="34"/>
      <c r="V1607" s="34"/>
      <c r="W1607" s="34"/>
      <c r="X1607" s="34"/>
      <c r="Y1607" s="34"/>
      <c r="Z1607" s="34"/>
      <c r="AA1607" s="34"/>
    </row>
    <row r="1608" spans="1:27" ht="15">
      <c r="A1608" s="66" t="s">
        <v>256</v>
      </c>
      <c r="B1608" s="66" t="s">
        <v>223</v>
      </c>
      <c r="C1608" s="67" t="s">
        <v>4454</v>
      </c>
      <c r="D1608" s="68">
        <v>5</v>
      </c>
      <c r="E1608" s="69"/>
      <c r="F1608" s="70">
        <v>20</v>
      </c>
      <c r="G1608" s="67"/>
      <c r="H1608" s="71"/>
      <c r="I1608" s="72"/>
      <c r="J1608" s="72"/>
      <c r="K1608" s="34" t="s">
        <v>65</v>
      </c>
      <c r="L1608" s="79">
        <v>1608</v>
      </c>
      <c r="M1608" s="79"/>
      <c r="N1608" s="74"/>
      <c r="O1608" s="81" t="s">
        <v>944</v>
      </c>
      <c r="P1608">
        <v>1</v>
      </c>
      <c r="Q1608" s="80" t="str">
        <f>REPLACE(INDEX(GroupVertices[Group],MATCH(Edges[[#This Row],[Vertex 1]],GroupVertices[Vertex],0)),1,1,"")</f>
        <v>1</v>
      </c>
      <c r="R1608" s="80" t="str">
        <f>REPLACE(INDEX(GroupVertices[Group],MATCH(Edges[[#This Row],[Vertex 2]],GroupVertices[Vertex],0)),1,1,"")</f>
        <v>3</v>
      </c>
      <c r="S1608" s="34"/>
      <c r="T1608" s="34"/>
      <c r="U1608" s="34"/>
      <c r="V1608" s="34"/>
      <c r="W1608" s="34"/>
      <c r="X1608" s="34"/>
      <c r="Y1608" s="34"/>
      <c r="Z1608" s="34"/>
      <c r="AA1608" s="34"/>
    </row>
    <row r="1609" spans="1:27" ht="15">
      <c r="A1609" s="66" t="s">
        <v>258</v>
      </c>
      <c r="B1609" s="66" t="s">
        <v>223</v>
      </c>
      <c r="C1609" s="67" t="s">
        <v>4454</v>
      </c>
      <c r="D1609" s="68">
        <v>5</v>
      </c>
      <c r="E1609" s="69"/>
      <c r="F1609" s="70">
        <v>20</v>
      </c>
      <c r="G1609" s="67"/>
      <c r="H1609" s="71"/>
      <c r="I1609" s="72"/>
      <c r="J1609" s="72"/>
      <c r="K1609" s="34" t="s">
        <v>65</v>
      </c>
      <c r="L1609" s="79">
        <v>1609</v>
      </c>
      <c r="M1609" s="79"/>
      <c r="N1609" s="74"/>
      <c r="O1609" s="81" t="s">
        <v>944</v>
      </c>
      <c r="P1609">
        <v>1</v>
      </c>
      <c r="Q1609" s="80" t="str">
        <f>REPLACE(INDEX(GroupVertices[Group],MATCH(Edges[[#This Row],[Vertex 1]],GroupVertices[Vertex],0)),1,1,"")</f>
        <v>1</v>
      </c>
      <c r="R1609" s="80" t="str">
        <f>REPLACE(INDEX(GroupVertices[Group],MATCH(Edges[[#This Row],[Vertex 2]],GroupVertices[Vertex],0)),1,1,"")</f>
        <v>3</v>
      </c>
      <c r="S1609" s="34"/>
      <c r="T1609" s="34"/>
      <c r="U1609" s="34"/>
      <c r="V1609" s="34"/>
      <c r="W1609" s="34"/>
      <c r="X1609" s="34"/>
      <c r="Y1609" s="34"/>
      <c r="Z1609" s="34"/>
      <c r="AA1609" s="34"/>
    </row>
    <row r="1610" spans="1:27" ht="15">
      <c r="A1610" s="66" t="s">
        <v>220</v>
      </c>
      <c r="B1610" s="66" t="s">
        <v>235</v>
      </c>
      <c r="C1610" s="67" t="s">
        <v>4454</v>
      </c>
      <c r="D1610" s="68">
        <v>5</v>
      </c>
      <c r="E1610" s="69"/>
      <c r="F1610" s="70">
        <v>20</v>
      </c>
      <c r="G1610" s="67"/>
      <c r="H1610" s="71"/>
      <c r="I1610" s="72"/>
      <c r="J1610" s="72"/>
      <c r="K1610" s="34" t="s">
        <v>66</v>
      </c>
      <c r="L1610" s="79">
        <v>1610</v>
      </c>
      <c r="M1610" s="79"/>
      <c r="N1610" s="74"/>
      <c r="O1610" s="81" t="s">
        <v>944</v>
      </c>
      <c r="P1610">
        <v>1</v>
      </c>
      <c r="Q1610" s="80" t="str">
        <f>REPLACE(INDEX(GroupVertices[Group],MATCH(Edges[[#This Row],[Vertex 1]],GroupVertices[Vertex],0)),1,1,"")</f>
        <v>2</v>
      </c>
      <c r="R1610" s="80" t="str">
        <f>REPLACE(INDEX(GroupVertices[Group],MATCH(Edges[[#This Row],[Vertex 2]],GroupVertices[Vertex],0)),1,1,"")</f>
        <v>2</v>
      </c>
      <c r="S1610" s="34"/>
      <c r="T1610" s="34"/>
      <c r="U1610" s="34"/>
      <c r="V1610" s="34"/>
      <c r="W1610" s="34"/>
      <c r="X1610" s="34"/>
      <c r="Y1610" s="34"/>
      <c r="Z1610" s="34"/>
      <c r="AA1610" s="34"/>
    </row>
    <row r="1611" spans="1:27" ht="15">
      <c r="A1611" s="66" t="s">
        <v>221</v>
      </c>
      <c r="B1611" s="66" t="s">
        <v>235</v>
      </c>
      <c r="C1611" s="67" t="s">
        <v>4454</v>
      </c>
      <c r="D1611" s="68">
        <v>5</v>
      </c>
      <c r="E1611" s="69"/>
      <c r="F1611" s="70">
        <v>20</v>
      </c>
      <c r="G1611" s="67"/>
      <c r="H1611" s="71"/>
      <c r="I1611" s="72"/>
      <c r="J1611" s="72"/>
      <c r="K1611" s="34" t="s">
        <v>66</v>
      </c>
      <c r="L1611" s="79">
        <v>1611</v>
      </c>
      <c r="M1611" s="79"/>
      <c r="N1611" s="74"/>
      <c r="O1611" s="81" t="s">
        <v>944</v>
      </c>
      <c r="P1611">
        <v>1</v>
      </c>
      <c r="Q1611" s="80" t="str">
        <f>REPLACE(INDEX(GroupVertices[Group],MATCH(Edges[[#This Row],[Vertex 1]],GroupVertices[Vertex],0)),1,1,"")</f>
        <v>2</v>
      </c>
      <c r="R1611" s="80" t="str">
        <f>REPLACE(INDEX(GroupVertices[Group],MATCH(Edges[[#This Row],[Vertex 2]],GroupVertices[Vertex],0)),1,1,"")</f>
        <v>2</v>
      </c>
      <c r="S1611" s="34"/>
      <c r="T1611" s="34"/>
      <c r="U1611" s="34"/>
      <c r="V1611" s="34"/>
      <c r="W1611" s="34"/>
      <c r="X1611" s="34"/>
      <c r="Y1611" s="34"/>
      <c r="Z1611" s="34"/>
      <c r="AA1611" s="34"/>
    </row>
    <row r="1612" spans="1:27" ht="15">
      <c r="A1612" s="66" t="s">
        <v>224</v>
      </c>
      <c r="B1612" s="66" t="s">
        <v>235</v>
      </c>
      <c r="C1612" s="67" t="s">
        <v>4454</v>
      </c>
      <c r="D1612" s="68">
        <v>5</v>
      </c>
      <c r="E1612" s="69"/>
      <c r="F1612" s="70">
        <v>20</v>
      </c>
      <c r="G1612" s="67"/>
      <c r="H1612" s="71"/>
      <c r="I1612" s="72"/>
      <c r="J1612" s="72"/>
      <c r="K1612" s="34" t="s">
        <v>66</v>
      </c>
      <c r="L1612" s="79">
        <v>1612</v>
      </c>
      <c r="M1612" s="79"/>
      <c r="N1612" s="74"/>
      <c r="O1612" s="81" t="s">
        <v>944</v>
      </c>
      <c r="P1612">
        <v>1</v>
      </c>
      <c r="Q1612" s="80" t="str">
        <f>REPLACE(INDEX(GroupVertices[Group],MATCH(Edges[[#This Row],[Vertex 1]],GroupVertices[Vertex],0)),1,1,"")</f>
        <v>2</v>
      </c>
      <c r="R1612" s="80" t="str">
        <f>REPLACE(INDEX(GroupVertices[Group],MATCH(Edges[[#This Row],[Vertex 2]],GroupVertices[Vertex],0)),1,1,"")</f>
        <v>2</v>
      </c>
      <c r="S1612" s="34"/>
      <c r="T1612" s="34"/>
      <c r="U1612" s="34"/>
      <c r="V1612" s="34"/>
      <c r="W1612" s="34"/>
      <c r="X1612" s="34"/>
      <c r="Y1612" s="34"/>
      <c r="Z1612" s="34"/>
      <c r="AA1612" s="34"/>
    </row>
    <row r="1613" spans="1:27" ht="15">
      <c r="A1613" s="66" t="s">
        <v>233</v>
      </c>
      <c r="B1613" s="66" t="s">
        <v>235</v>
      </c>
      <c r="C1613" s="67" t="s">
        <v>4454</v>
      </c>
      <c r="D1613" s="68">
        <v>5</v>
      </c>
      <c r="E1613" s="69"/>
      <c r="F1613" s="70">
        <v>20</v>
      </c>
      <c r="G1613" s="67"/>
      <c r="H1613" s="71"/>
      <c r="I1613" s="72"/>
      <c r="J1613" s="72"/>
      <c r="K1613" s="34" t="s">
        <v>66</v>
      </c>
      <c r="L1613" s="79">
        <v>1613</v>
      </c>
      <c r="M1613" s="79"/>
      <c r="N1613" s="74"/>
      <c r="O1613" s="81" t="s">
        <v>944</v>
      </c>
      <c r="P1613">
        <v>1</v>
      </c>
      <c r="Q1613" s="80" t="str">
        <f>REPLACE(INDEX(GroupVertices[Group],MATCH(Edges[[#This Row],[Vertex 1]],GroupVertices[Vertex],0)),1,1,"")</f>
        <v>2</v>
      </c>
      <c r="R1613" s="80" t="str">
        <f>REPLACE(INDEX(GroupVertices[Group],MATCH(Edges[[#This Row],[Vertex 2]],GroupVertices[Vertex],0)),1,1,"")</f>
        <v>2</v>
      </c>
      <c r="S1613" s="34"/>
      <c r="T1613" s="34"/>
      <c r="U1613" s="34"/>
      <c r="V1613" s="34"/>
      <c r="W1613" s="34"/>
      <c r="X1613" s="34"/>
      <c r="Y1613" s="34"/>
      <c r="Z1613" s="34"/>
      <c r="AA1613" s="34"/>
    </row>
    <row r="1614" spans="1:27" ht="15">
      <c r="A1614" s="66" t="s">
        <v>235</v>
      </c>
      <c r="B1614" s="66" t="s">
        <v>480</v>
      </c>
      <c r="C1614" s="67" t="s">
        <v>4454</v>
      </c>
      <c r="D1614" s="68">
        <v>5</v>
      </c>
      <c r="E1614" s="69"/>
      <c r="F1614" s="70">
        <v>20</v>
      </c>
      <c r="G1614" s="67"/>
      <c r="H1614" s="71"/>
      <c r="I1614" s="72"/>
      <c r="J1614" s="72"/>
      <c r="K1614" s="34" t="s">
        <v>65</v>
      </c>
      <c r="L1614" s="79">
        <v>1614</v>
      </c>
      <c r="M1614" s="79"/>
      <c r="N1614" s="74"/>
      <c r="O1614" s="81" t="s">
        <v>944</v>
      </c>
      <c r="P1614">
        <v>1</v>
      </c>
      <c r="Q1614" s="80" t="str">
        <f>REPLACE(INDEX(GroupVertices[Group],MATCH(Edges[[#This Row],[Vertex 1]],GroupVertices[Vertex],0)),1,1,"")</f>
        <v>2</v>
      </c>
      <c r="R1614" s="80" t="str">
        <f>REPLACE(INDEX(GroupVertices[Group],MATCH(Edges[[#This Row],[Vertex 2]],GroupVertices[Vertex],0)),1,1,"")</f>
        <v>1</v>
      </c>
      <c r="S1614" s="34"/>
      <c r="T1614" s="34"/>
      <c r="U1614" s="34"/>
      <c r="V1614" s="34"/>
      <c r="W1614" s="34"/>
      <c r="X1614" s="34"/>
      <c r="Y1614" s="34"/>
      <c r="Z1614" s="34"/>
      <c r="AA1614" s="34"/>
    </row>
    <row r="1615" spans="1:27" ht="15">
      <c r="A1615" s="66" t="s">
        <v>235</v>
      </c>
      <c r="B1615" s="66" t="s">
        <v>247</v>
      </c>
      <c r="C1615" s="67" t="s">
        <v>4454</v>
      </c>
      <c r="D1615" s="68">
        <v>5</v>
      </c>
      <c r="E1615" s="69"/>
      <c r="F1615" s="70">
        <v>20</v>
      </c>
      <c r="G1615" s="67"/>
      <c r="H1615" s="71"/>
      <c r="I1615" s="72"/>
      <c r="J1615" s="72"/>
      <c r="K1615" s="34" t="s">
        <v>65</v>
      </c>
      <c r="L1615" s="79">
        <v>1615</v>
      </c>
      <c r="M1615" s="79"/>
      <c r="N1615" s="74"/>
      <c r="O1615" s="81" t="s">
        <v>944</v>
      </c>
      <c r="P1615">
        <v>1</v>
      </c>
      <c r="Q1615" s="80" t="str">
        <f>REPLACE(INDEX(GroupVertices[Group],MATCH(Edges[[#This Row],[Vertex 1]],GroupVertices[Vertex],0)),1,1,"")</f>
        <v>2</v>
      </c>
      <c r="R1615" s="80" t="str">
        <f>REPLACE(INDEX(GroupVertices[Group],MATCH(Edges[[#This Row],[Vertex 2]],GroupVertices[Vertex],0)),1,1,"")</f>
        <v>2</v>
      </c>
      <c r="S1615" s="34"/>
      <c r="T1615" s="34"/>
      <c r="U1615" s="34"/>
      <c r="V1615" s="34"/>
      <c r="W1615" s="34"/>
      <c r="X1615" s="34"/>
      <c r="Y1615" s="34"/>
      <c r="Z1615" s="34"/>
      <c r="AA1615" s="34"/>
    </row>
    <row r="1616" spans="1:27" ht="15">
      <c r="A1616" s="66" t="s">
        <v>235</v>
      </c>
      <c r="B1616" s="66" t="s">
        <v>510</v>
      </c>
      <c r="C1616" s="67" t="s">
        <v>4454</v>
      </c>
      <c r="D1616" s="68">
        <v>5</v>
      </c>
      <c r="E1616" s="69"/>
      <c r="F1616" s="70">
        <v>20</v>
      </c>
      <c r="G1616" s="67"/>
      <c r="H1616" s="71"/>
      <c r="I1616" s="72"/>
      <c r="J1616" s="72"/>
      <c r="K1616" s="34" t="s">
        <v>65</v>
      </c>
      <c r="L1616" s="79">
        <v>1616</v>
      </c>
      <c r="M1616" s="79"/>
      <c r="N1616" s="74"/>
      <c r="O1616" s="81" t="s">
        <v>944</v>
      </c>
      <c r="P1616">
        <v>1</v>
      </c>
      <c r="Q1616" s="80" t="str">
        <f>REPLACE(INDEX(GroupVertices[Group],MATCH(Edges[[#This Row],[Vertex 1]],GroupVertices[Vertex],0)),1,1,"")</f>
        <v>2</v>
      </c>
      <c r="R1616" s="80" t="str">
        <f>REPLACE(INDEX(GroupVertices[Group],MATCH(Edges[[#This Row],[Vertex 2]],GroupVertices[Vertex],0)),1,1,"")</f>
        <v>2</v>
      </c>
      <c r="S1616" s="34"/>
      <c r="T1616" s="34"/>
      <c r="U1616" s="34"/>
      <c r="V1616" s="34"/>
      <c r="W1616" s="34"/>
      <c r="X1616" s="34"/>
      <c r="Y1616" s="34"/>
      <c r="Z1616" s="34"/>
      <c r="AA1616" s="34"/>
    </row>
    <row r="1617" spans="1:27" ht="15">
      <c r="A1617" s="66" t="s">
        <v>235</v>
      </c>
      <c r="B1617" s="66" t="s">
        <v>256</v>
      </c>
      <c r="C1617" s="67" t="s">
        <v>4454</v>
      </c>
      <c r="D1617" s="68">
        <v>5</v>
      </c>
      <c r="E1617" s="69"/>
      <c r="F1617" s="70">
        <v>20</v>
      </c>
      <c r="G1617" s="67"/>
      <c r="H1617" s="71"/>
      <c r="I1617" s="72"/>
      <c r="J1617" s="72"/>
      <c r="K1617" s="34" t="s">
        <v>66</v>
      </c>
      <c r="L1617" s="79">
        <v>1617</v>
      </c>
      <c r="M1617" s="79"/>
      <c r="N1617" s="74"/>
      <c r="O1617" s="81" t="s">
        <v>944</v>
      </c>
      <c r="P1617">
        <v>1</v>
      </c>
      <c r="Q1617" s="80" t="str">
        <f>REPLACE(INDEX(GroupVertices[Group],MATCH(Edges[[#This Row],[Vertex 1]],GroupVertices[Vertex],0)),1,1,"")</f>
        <v>2</v>
      </c>
      <c r="R1617" s="80" t="str">
        <f>REPLACE(INDEX(GroupVertices[Group],MATCH(Edges[[#This Row],[Vertex 2]],GroupVertices[Vertex],0)),1,1,"")</f>
        <v>1</v>
      </c>
      <c r="S1617" s="34"/>
      <c r="T1617" s="34"/>
      <c r="U1617" s="34"/>
      <c r="V1617" s="34"/>
      <c r="W1617" s="34"/>
      <c r="X1617" s="34"/>
      <c r="Y1617" s="34"/>
      <c r="Z1617" s="34"/>
      <c r="AA1617" s="34"/>
    </row>
    <row r="1618" spans="1:27" ht="15">
      <c r="A1618" s="66" t="s">
        <v>235</v>
      </c>
      <c r="B1618" s="66" t="s">
        <v>255</v>
      </c>
      <c r="C1618" s="67" t="s">
        <v>4454</v>
      </c>
      <c r="D1618" s="68">
        <v>5</v>
      </c>
      <c r="E1618" s="69"/>
      <c r="F1618" s="70">
        <v>20</v>
      </c>
      <c r="G1618" s="67"/>
      <c r="H1618" s="71"/>
      <c r="I1618" s="72"/>
      <c r="J1618" s="72"/>
      <c r="K1618" s="34" t="s">
        <v>65</v>
      </c>
      <c r="L1618" s="79">
        <v>1618</v>
      </c>
      <c r="M1618" s="79"/>
      <c r="N1618" s="74"/>
      <c r="O1618" s="81" t="s">
        <v>944</v>
      </c>
      <c r="P1618">
        <v>1</v>
      </c>
      <c r="Q1618" s="80" t="str">
        <f>REPLACE(INDEX(GroupVertices[Group],MATCH(Edges[[#This Row],[Vertex 1]],GroupVertices[Vertex],0)),1,1,"")</f>
        <v>2</v>
      </c>
      <c r="R1618" s="80" t="str">
        <f>REPLACE(INDEX(GroupVertices[Group],MATCH(Edges[[#This Row],[Vertex 2]],GroupVertices[Vertex],0)),1,1,"")</f>
        <v>4</v>
      </c>
      <c r="S1618" s="34"/>
      <c r="T1618" s="34"/>
      <c r="U1618" s="34"/>
      <c r="V1618" s="34"/>
      <c r="W1618" s="34"/>
      <c r="X1618" s="34"/>
      <c r="Y1618" s="34"/>
      <c r="Z1618" s="34"/>
      <c r="AA1618" s="34"/>
    </row>
    <row r="1619" spans="1:27" ht="15">
      <c r="A1619" s="66" t="s">
        <v>235</v>
      </c>
      <c r="B1619" s="66" t="s">
        <v>242</v>
      </c>
      <c r="C1619" s="67" t="s">
        <v>4454</v>
      </c>
      <c r="D1619" s="68">
        <v>5</v>
      </c>
      <c r="E1619" s="69"/>
      <c r="F1619" s="70">
        <v>20</v>
      </c>
      <c r="G1619" s="67"/>
      <c r="H1619" s="71"/>
      <c r="I1619" s="72"/>
      <c r="J1619" s="72"/>
      <c r="K1619" s="34" t="s">
        <v>65</v>
      </c>
      <c r="L1619" s="79">
        <v>1619</v>
      </c>
      <c r="M1619" s="79"/>
      <c r="N1619" s="74"/>
      <c r="O1619" s="81" t="s">
        <v>944</v>
      </c>
      <c r="P1619">
        <v>1</v>
      </c>
      <c r="Q1619" s="80" t="str">
        <f>REPLACE(INDEX(GroupVertices[Group],MATCH(Edges[[#This Row],[Vertex 1]],GroupVertices[Vertex],0)),1,1,"")</f>
        <v>2</v>
      </c>
      <c r="R1619" s="80" t="str">
        <f>REPLACE(INDEX(GroupVertices[Group],MATCH(Edges[[#This Row],[Vertex 2]],GroupVertices[Vertex],0)),1,1,"")</f>
        <v>1</v>
      </c>
      <c r="S1619" s="34"/>
      <c r="T1619" s="34"/>
      <c r="U1619" s="34"/>
      <c r="V1619" s="34"/>
      <c r="W1619" s="34"/>
      <c r="X1619" s="34"/>
      <c r="Y1619" s="34"/>
      <c r="Z1619" s="34"/>
      <c r="AA1619" s="34"/>
    </row>
    <row r="1620" spans="1:27" ht="15">
      <c r="A1620" s="66" t="s">
        <v>235</v>
      </c>
      <c r="B1620" s="66" t="s">
        <v>258</v>
      </c>
      <c r="C1620" s="67" t="s">
        <v>4454</v>
      </c>
      <c r="D1620" s="68">
        <v>5</v>
      </c>
      <c r="E1620" s="69"/>
      <c r="F1620" s="70">
        <v>20</v>
      </c>
      <c r="G1620" s="67"/>
      <c r="H1620" s="71"/>
      <c r="I1620" s="72"/>
      <c r="J1620" s="72"/>
      <c r="K1620" s="34" t="s">
        <v>66</v>
      </c>
      <c r="L1620" s="79">
        <v>1620</v>
      </c>
      <c r="M1620" s="79"/>
      <c r="N1620" s="74"/>
      <c r="O1620" s="81" t="s">
        <v>944</v>
      </c>
      <c r="P1620">
        <v>1</v>
      </c>
      <c r="Q1620" s="80" t="str">
        <f>REPLACE(INDEX(GroupVertices[Group],MATCH(Edges[[#This Row],[Vertex 1]],GroupVertices[Vertex],0)),1,1,"")</f>
        <v>2</v>
      </c>
      <c r="R1620" s="80" t="str">
        <f>REPLACE(INDEX(GroupVertices[Group],MATCH(Edges[[#This Row],[Vertex 2]],GroupVertices[Vertex],0)),1,1,"")</f>
        <v>1</v>
      </c>
      <c r="S1620" s="34"/>
      <c r="T1620" s="34"/>
      <c r="U1620" s="34"/>
      <c r="V1620" s="34"/>
      <c r="W1620" s="34"/>
      <c r="X1620" s="34"/>
      <c r="Y1620" s="34"/>
      <c r="Z1620" s="34"/>
      <c r="AA1620" s="34"/>
    </row>
    <row r="1621" spans="1:27" ht="15">
      <c r="A1621" s="66" t="s">
        <v>235</v>
      </c>
      <c r="B1621" s="66" t="s">
        <v>224</v>
      </c>
      <c r="C1621" s="67" t="s">
        <v>4454</v>
      </c>
      <c r="D1621" s="68">
        <v>5</v>
      </c>
      <c r="E1621" s="69"/>
      <c r="F1621" s="70">
        <v>20</v>
      </c>
      <c r="G1621" s="67"/>
      <c r="H1621" s="71"/>
      <c r="I1621" s="72"/>
      <c r="J1621" s="72"/>
      <c r="K1621" s="34" t="s">
        <v>66</v>
      </c>
      <c r="L1621" s="79">
        <v>1621</v>
      </c>
      <c r="M1621" s="79"/>
      <c r="N1621" s="74"/>
      <c r="O1621" s="81" t="s">
        <v>944</v>
      </c>
      <c r="P1621">
        <v>1</v>
      </c>
      <c r="Q1621" s="80" t="str">
        <f>REPLACE(INDEX(GroupVertices[Group],MATCH(Edges[[#This Row],[Vertex 1]],GroupVertices[Vertex],0)),1,1,"")</f>
        <v>2</v>
      </c>
      <c r="R1621" s="80" t="str">
        <f>REPLACE(INDEX(GroupVertices[Group],MATCH(Edges[[#This Row],[Vertex 2]],GroupVertices[Vertex],0)),1,1,"")</f>
        <v>2</v>
      </c>
      <c r="S1621" s="34"/>
      <c r="T1621" s="34"/>
      <c r="U1621" s="34"/>
      <c r="V1621" s="34"/>
      <c r="W1621" s="34"/>
      <c r="X1621" s="34"/>
      <c r="Y1621" s="34"/>
      <c r="Z1621" s="34"/>
      <c r="AA1621" s="34"/>
    </row>
    <row r="1622" spans="1:27" ht="15">
      <c r="A1622" s="66" t="s">
        <v>235</v>
      </c>
      <c r="B1622" s="66" t="s">
        <v>236</v>
      </c>
      <c r="C1622" s="67" t="s">
        <v>4454</v>
      </c>
      <c r="D1622" s="68">
        <v>5</v>
      </c>
      <c r="E1622" s="69"/>
      <c r="F1622" s="70">
        <v>20</v>
      </c>
      <c r="G1622" s="67"/>
      <c r="H1622" s="71"/>
      <c r="I1622" s="72"/>
      <c r="J1622" s="72"/>
      <c r="K1622" s="34" t="s">
        <v>65</v>
      </c>
      <c r="L1622" s="79">
        <v>1622</v>
      </c>
      <c r="M1622" s="79"/>
      <c r="N1622" s="74"/>
      <c r="O1622" s="81" t="s">
        <v>944</v>
      </c>
      <c r="P1622">
        <v>1</v>
      </c>
      <c r="Q1622" s="80" t="str">
        <f>REPLACE(INDEX(GroupVertices[Group],MATCH(Edges[[#This Row],[Vertex 1]],GroupVertices[Vertex],0)),1,1,"")</f>
        <v>2</v>
      </c>
      <c r="R1622" s="80" t="str">
        <f>REPLACE(INDEX(GroupVertices[Group],MATCH(Edges[[#This Row],[Vertex 2]],GroupVertices[Vertex],0)),1,1,"")</f>
        <v>1</v>
      </c>
      <c r="S1622" s="34"/>
      <c r="T1622" s="34"/>
      <c r="U1622" s="34"/>
      <c r="V1622" s="34"/>
      <c r="W1622" s="34"/>
      <c r="X1622" s="34"/>
      <c r="Y1622" s="34"/>
      <c r="Z1622" s="34"/>
      <c r="AA1622" s="34"/>
    </row>
    <row r="1623" spans="1:27" ht="15">
      <c r="A1623" s="66" t="s">
        <v>235</v>
      </c>
      <c r="B1623" s="66" t="s">
        <v>252</v>
      </c>
      <c r="C1623" s="67" t="s">
        <v>4454</v>
      </c>
      <c r="D1623" s="68">
        <v>5</v>
      </c>
      <c r="E1623" s="69"/>
      <c r="F1623" s="70">
        <v>20</v>
      </c>
      <c r="G1623" s="67"/>
      <c r="H1623" s="71"/>
      <c r="I1623" s="72"/>
      <c r="J1623" s="72"/>
      <c r="K1623" s="34" t="s">
        <v>65</v>
      </c>
      <c r="L1623" s="79">
        <v>1623</v>
      </c>
      <c r="M1623" s="79"/>
      <c r="N1623" s="74"/>
      <c r="O1623" s="81" t="s">
        <v>944</v>
      </c>
      <c r="P1623">
        <v>1</v>
      </c>
      <c r="Q1623" s="80" t="str">
        <f>REPLACE(INDEX(GroupVertices[Group],MATCH(Edges[[#This Row],[Vertex 1]],GroupVertices[Vertex],0)),1,1,"")</f>
        <v>2</v>
      </c>
      <c r="R1623" s="80" t="str">
        <f>REPLACE(INDEX(GroupVertices[Group],MATCH(Edges[[#This Row],[Vertex 2]],GroupVertices[Vertex],0)),1,1,"")</f>
        <v>1</v>
      </c>
      <c r="S1623" s="34"/>
      <c r="T1623" s="34"/>
      <c r="U1623" s="34"/>
      <c r="V1623" s="34"/>
      <c r="W1623" s="34"/>
      <c r="X1623" s="34"/>
      <c r="Y1623" s="34"/>
      <c r="Z1623" s="34"/>
      <c r="AA1623" s="34"/>
    </row>
    <row r="1624" spans="1:27" ht="15">
      <c r="A1624" s="66" t="s">
        <v>235</v>
      </c>
      <c r="B1624" s="66" t="s">
        <v>260</v>
      </c>
      <c r="C1624" s="67" t="s">
        <v>4454</v>
      </c>
      <c r="D1624" s="68">
        <v>5</v>
      </c>
      <c r="E1624" s="69"/>
      <c r="F1624" s="70">
        <v>20</v>
      </c>
      <c r="G1624" s="67"/>
      <c r="H1624" s="71"/>
      <c r="I1624" s="72"/>
      <c r="J1624" s="72"/>
      <c r="K1624" s="34" t="s">
        <v>65</v>
      </c>
      <c r="L1624" s="79">
        <v>1624</v>
      </c>
      <c r="M1624" s="79"/>
      <c r="N1624" s="74"/>
      <c r="O1624" s="81" t="s">
        <v>944</v>
      </c>
      <c r="P1624">
        <v>1</v>
      </c>
      <c r="Q1624" s="80" t="str">
        <f>REPLACE(INDEX(GroupVertices[Group],MATCH(Edges[[#This Row],[Vertex 1]],GroupVertices[Vertex],0)),1,1,"")</f>
        <v>2</v>
      </c>
      <c r="R1624" s="80" t="str">
        <f>REPLACE(INDEX(GroupVertices[Group],MATCH(Edges[[#This Row],[Vertex 2]],GroupVertices[Vertex],0)),1,1,"")</f>
        <v>2</v>
      </c>
      <c r="S1624" s="34"/>
      <c r="T1624" s="34"/>
      <c r="U1624" s="34"/>
      <c r="V1624" s="34"/>
      <c r="W1624" s="34"/>
      <c r="X1624" s="34"/>
      <c r="Y1624" s="34"/>
      <c r="Z1624" s="34"/>
      <c r="AA1624" s="34"/>
    </row>
    <row r="1625" spans="1:27" ht="15">
      <c r="A1625" s="66" t="s">
        <v>235</v>
      </c>
      <c r="B1625" s="66" t="s">
        <v>241</v>
      </c>
      <c r="C1625" s="67" t="s">
        <v>4454</v>
      </c>
      <c r="D1625" s="68">
        <v>5</v>
      </c>
      <c r="E1625" s="69"/>
      <c r="F1625" s="70">
        <v>20</v>
      </c>
      <c r="G1625" s="67"/>
      <c r="H1625" s="71"/>
      <c r="I1625" s="72"/>
      <c r="J1625" s="72"/>
      <c r="K1625" s="34" t="s">
        <v>66</v>
      </c>
      <c r="L1625" s="79">
        <v>1625</v>
      </c>
      <c r="M1625" s="79"/>
      <c r="N1625" s="74"/>
      <c r="O1625" s="81" t="s">
        <v>944</v>
      </c>
      <c r="P1625">
        <v>1</v>
      </c>
      <c r="Q1625" s="80" t="str">
        <f>REPLACE(INDEX(GroupVertices[Group],MATCH(Edges[[#This Row],[Vertex 1]],GroupVertices[Vertex],0)),1,1,"")</f>
        <v>2</v>
      </c>
      <c r="R1625" s="80" t="str">
        <f>REPLACE(INDEX(GroupVertices[Group],MATCH(Edges[[#This Row],[Vertex 2]],GroupVertices[Vertex],0)),1,1,"")</f>
        <v>2</v>
      </c>
      <c r="S1625" s="34"/>
      <c r="T1625" s="34"/>
      <c r="U1625" s="34"/>
      <c r="V1625" s="34"/>
      <c r="W1625" s="34"/>
      <c r="X1625" s="34"/>
      <c r="Y1625" s="34"/>
      <c r="Z1625" s="34"/>
      <c r="AA1625" s="34"/>
    </row>
    <row r="1626" spans="1:27" ht="15">
      <c r="A1626" s="66" t="s">
        <v>235</v>
      </c>
      <c r="B1626" s="66" t="s">
        <v>249</v>
      </c>
      <c r="C1626" s="67" t="s">
        <v>4454</v>
      </c>
      <c r="D1626" s="68">
        <v>5</v>
      </c>
      <c r="E1626" s="69"/>
      <c r="F1626" s="70">
        <v>20</v>
      </c>
      <c r="G1626" s="67"/>
      <c r="H1626" s="71"/>
      <c r="I1626" s="72"/>
      <c r="J1626" s="72"/>
      <c r="K1626" s="34" t="s">
        <v>66</v>
      </c>
      <c r="L1626" s="79">
        <v>1626</v>
      </c>
      <c r="M1626" s="79"/>
      <c r="N1626" s="74"/>
      <c r="O1626" s="81" t="s">
        <v>944</v>
      </c>
      <c r="P1626">
        <v>1</v>
      </c>
      <c r="Q1626" s="80" t="str">
        <f>REPLACE(INDEX(GroupVertices[Group],MATCH(Edges[[#This Row],[Vertex 1]],GroupVertices[Vertex],0)),1,1,"")</f>
        <v>2</v>
      </c>
      <c r="R1626" s="80" t="str">
        <f>REPLACE(INDEX(GroupVertices[Group],MATCH(Edges[[#This Row],[Vertex 2]],GroupVertices[Vertex],0)),1,1,"")</f>
        <v>2</v>
      </c>
      <c r="S1626" s="34"/>
      <c r="T1626" s="34"/>
      <c r="U1626" s="34"/>
      <c r="V1626" s="34"/>
      <c r="W1626" s="34"/>
      <c r="X1626" s="34"/>
      <c r="Y1626" s="34"/>
      <c r="Z1626" s="34"/>
      <c r="AA1626" s="34"/>
    </row>
    <row r="1627" spans="1:27" ht="15">
      <c r="A1627" s="66" t="s">
        <v>235</v>
      </c>
      <c r="B1627" s="66" t="s">
        <v>221</v>
      </c>
      <c r="C1627" s="67" t="s">
        <v>4454</v>
      </c>
      <c r="D1627" s="68">
        <v>5</v>
      </c>
      <c r="E1627" s="69"/>
      <c r="F1627" s="70">
        <v>20</v>
      </c>
      <c r="G1627" s="67"/>
      <c r="H1627" s="71"/>
      <c r="I1627" s="72"/>
      <c r="J1627" s="72"/>
      <c r="K1627" s="34" t="s">
        <v>66</v>
      </c>
      <c r="L1627" s="79">
        <v>1627</v>
      </c>
      <c r="M1627" s="79"/>
      <c r="N1627" s="74"/>
      <c r="O1627" s="81" t="s">
        <v>944</v>
      </c>
      <c r="P1627">
        <v>1</v>
      </c>
      <c r="Q1627" s="80" t="str">
        <f>REPLACE(INDEX(GroupVertices[Group],MATCH(Edges[[#This Row],[Vertex 1]],GroupVertices[Vertex],0)),1,1,"")</f>
        <v>2</v>
      </c>
      <c r="R1627" s="80" t="str">
        <f>REPLACE(INDEX(GroupVertices[Group],MATCH(Edges[[#This Row],[Vertex 2]],GroupVertices[Vertex],0)),1,1,"")</f>
        <v>2</v>
      </c>
      <c r="S1627" s="34"/>
      <c r="T1627" s="34"/>
      <c r="U1627" s="34"/>
      <c r="V1627" s="34"/>
      <c r="W1627" s="34"/>
      <c r="X1627" s="34"/>
      <c r="Y1627" s="34"/>
      <c r="Z1627" s="34"/>
      <c r="AA1627" s="34"/>
    </row>
    <row r="1628" spans="1:27" ht="15">
      <c r="A1628" s="66" t="s">
        <v>235</v>
      </c>
      <c r="B1628" s="66" t="s">
        <v>259</v>
      </c>
      <c r="C1628" s="67" t="s">
        <v>4454</v>
      </c>
      <c r="D1628" s="68">
        <v>5</v>
      </c>
      <c r="E1628" s="69"/>
      <c r="F1628" s="70">
        <v>20</v>
      </c>
      <c r="G1628" s="67"/>
      <c r="H1628" s="71"/>
      <c r="I1628" s="72"/>
      <c r="J1628" s="72"/>
      <c r="K1628" s="34" t="s">
        <v>65</v>
      </c>
      <c r="L1628" s="79">
        <v>1628</v>
      </c>
      <c r="M1628" s="79"/>
      <c r="N1628" s="74"/>
      <c r="O1628" s="81" t="s">
        <v>944</v>
      </c>
      <c r="P1628">
        <v>1</v>
      </c>
      <c r="Q1628" s="80" t="str">
        <f>REPLACE(INDEX(GroupVertices[Group],MATCH(Edges[[#This Row],[Vertex 1]],GroupVertices[Vertex],0)),1,1,"")</f>
        <v>2</v>
      </c>
      <c r="R1628" s="80" t="str">
        <f>REPLACE(INDEX(GroupVertices[Group],MATCH(Edges[[#This Row],[Vertex 2]],GroupVertices[Vertex],0)),1,1,"")</f>
        <v>2</v>
      </c>
      <c r="S1628" s="34"/>
      <c r="T1628" s="34"/>
      <c r="U1628" s="34"/>
      <c r="V1628" s="34"/>
      <c r="W1628" s="34"/>
      <c r="X1628" s="34"/>
      <c r="Y1628" s="34"/>
      <c r="Z1628" s="34"/>
      <c r="AA1628" s="34"/>
    </row>
    <row r="1629" spans="1:27" ht="15">
      <c r="A1629" s="66" t="s">
        <v>235</v>
      </c>
      <c r="B1629" s="66" t="s">
        <v>243</v>
      </c>
      <c r="C1629" s="67" t="s">
        <v>4454</v>
      </c>
      <c r="D1629" s="68">
        <v>5</v>
      </c>
      <c r="E1629" s="69"/>
      <c r="F1629" s="70">
        <v>20</v>
      </c>
      <c r="G1629" s="67"/>
      <c r="H1629" s="71"/>
      <c r="I1629" s="72"/>
      <c r="J1629" s="72"/>
      <c r="K1629" s="34" t="s">
        <v>66</v>
      </c>
      <c r="L1629" s="79">
        <v>1629</v>
      </c>
      <c r="M1629" s="79"/>
      <c r="N1629" s="74"/>
      <c r="O1629" s="81" t="s">
        <v>944</v>
      </c>
      <c r="P1629">
        <v>1</v>
      </c>
      <c r="Q1629" s="80" t="str">
        <f>REPLACE(INDEX(GroupVertices[Group],MATCH(Edges[[#This Row],[Vertex 1]],GroupVertices[Vertex],0)),1,1,"")</f>
        <v>2</v>
      </c>
      <c r="R1629" s="80" t="str">
        <f>REPLACE(INDEX(GroupVertices[Group],MATCH(Edges[[#This Row],[Vertex 2]],GroupVertices[Vertex],0)),1,1,"")</f>
        <v>2</v>
      </c>
      <c r="S1629" s="34"/>
      <c r="T1629" s="34"/>
      <c r="U1629" s="34"/>
      <c r="V1629" s="34"/>
      <c r="W1629" s="34"/>
      <c r="X1629" s="34"/>
      <c r="Y1629" s="34"/>
      <c r="Z1629" s="34"/>
      <c r="AA1629" s="34"/>
    </row>
    <row r="1630" spans="1:27" ht="15">
      <c r="A1630" s="66" t="s">
        <v>235</v>
      </c>
      <c r="B1630" s="66" t="s">
        <v>485</v>
      </c>
      <c r="C1630" s="67" t="s">
        <v>4454</v>
      </c>
      <c r="D1630" s="68">
        <v>5</v>
      </c>
      <c r="E1630" s="69"/>
      <c r="F1630" s="70">
        <v>20</v>
      </c>
      <c r="G1630" s="67"/>
      <c r="H1630" s="71"/>
      <c r="I1630" s="72"/>
      <c r="J1630" s="72"/>
      <c r="K1630" s="34" t="s">
        <v>65</v>
      </c>
      <c r="L1630" s="79">
        <v>1630</v>
      </c>
      <c r="M1630" s="79"/>
      <c r="N1630" s="74"/>
      <c r="O1630" s="81" t="s">
        <v>944</v>
      </c>
      <c r="P1630">
        <v>1</v>
      </c>
      <c r="Q1630" s="80" t="str">
        <f>REPLACE(INDEX(GroupVertices[Group],MATCH(Edges[[#This Row],[Vertex 1]],GroupVertices[Vertex],0)),1,1,"")</f>
        <v>2</v>
      </c>
      <c r="R1630" s="80" t="str">
        <f>REPLACE(INDEX(GroupVertices[Group],MATCH(Edges[[#This Row],[Vertex 2]],GroupVertices[Vertex],0)),1,1,"")</f>
        <v>1</v>
      </c>
      <c r="S1630" s="34"/>
      <c r="T1630" s="34"/>
      <c r="U1630" s="34"/>
      <c r="V1630" s="34"/>
      <c r="W1630" s="34"/>
      <c r="X1630" s="34"/>
      <c r="Y1630" s="34"/>
      <c r="Z1630" s="34"/>
      <c r="AA1630" s="34"/>
    </row>
    <row r="1631" spans="1:27" ht="15">
      <c r="A1631" s="66" t="s">
        <v>235</v>
      </c>
      <c r="B1631" s="66" t="s">
        <v>254</v>
      </c>
      <c r="C1631" s="67" t="s">
        <v>4454</v>
      </c>
      <c r="D1631" s="68">
        <v>5</v>
      </c>
      <c r="E1631" s="69"/>
      <c r="F1631" s="70">
        <v>20</v>
      </c>
      <c r="G1631" s="67"/>
      <c r="H1631" s="71"/>
      <c r="I1631" s="72"/>
      <c r="J1631" s="72"/>
      <c r="K1631" s="34" t="s">
        <v>65</v>
      </c>
      <c r="L1631" s="79">
        <v>1631</v>
      </c>
      <c r="M1631" s="79"/>
      <c r="N1631" s="74"/>
      <c r="O1631" s="81" t="s">
        <v>944</v>
      </c>
      <c r="P1631">
        <v>1</v>
      </c>
      <c r="Q1631" s="80" t="str">
        <f>REPLACE(INDEX(GroupVertices[Group],MATCH(Edges[[#This Row],[Vertex 1]],GroupVertices[Vertex],0)),1,1,"")</f>
        <v>2</v>
      </c>
      <c r="R1631" s="80" t="str">
        <f>REPLACE(INDEX(GroupVertices[Group],MATCH(Edges[[#This Row],[Vertex 2]],GroupVertices[Vertex],0)),1,1,"")</f>
        <v>3</v>
      </c>
      <c r="S1631" s="34"/>
      <c r="T1631" s="34"/>
      <c r="U1631" s="34"/>
      <c r="V1631" s="34"/>
      <c r="W1631" s="34"/>
      <c r="X1631" s="34"/>
      <c r="Y1631" s="34"/>
      <c r="Z1631" s="34"/>
      <c r="AA1631" s="34"/>
    </row>
    <row r="1632" spans="1:27" ht="15">
      <c r="A1632" s="66" t="s">
        <v>235</v>
      </c>
      <c r="B1632" s="66" t="s">
        <v>602</v>
      </c>
      <c r="C1632" s="67" t="s">
        <v>4454</v>
      </c>
      <c r="D1632" s="68">
        <v>5</v>
      </c>
      <c r="E1632" s="69"/>
      <c r="F1632" s="70">
        <v>20</v>
      </c>
      <c r="G1632" s="67"/>
      <c r="H1632" s="71"/>
      <c r="I1632" s="72"/>
      <c r="J1632" s="72"/>
      <c r="K1632" s="34" t="s">
        <v>65</v>
      </c>
      <c r="L1632" s="79">
        <v>1632</v>
      </c>
      <c r="M1632" s="79"/>
      <c r="N1632" s="74"/>
      <c r="O1632" s="81" t="s">
        <v>944</v>
      </c>
      <c r="P1632">
        <v>1</v>
      </c>
      <c r="Q1632" s="80" t="str">
        <f>REPLACE(INDEX(GroupVertices[Group],MATCH(Edges[[#This Row],[Vertex 1]],GroupVertices[Vertex],0)),1,1,"")</f>
        <v>2</v>
      </c>
      <c r="R1632" s="80" t="str">
        <f>REPLACE(INDEX(GroupVertices[Group],MATCH(Edges[[#This Row],[Vertex 2]],GroupVertices[Vertex],0)),1,1,"")</f>
        <v>2</v>
      </c>
      <c r="S1632" s="34"/>
      <c r="T1632" s="34"/>
      <c r="U1632" s="34"/>
      <c r="V1632" s="34"/>
      <c r="W1632" s="34"/>
      <c r="X1632" s="34"/>
      <c r="Y1632" s="34"/>
      <c r="Z1632" s="34"/>
      <c r="AA1632" s="34"/>
    </row>
    <row r="1633" spans="1:27" ht="15">
      <c r="A1633" s="66" t="s">
        <v>235</v>
      </c>
      <c r="B1633" s="66" t="s">
        <v>233</v>
      </c>
      <c r="C1633" s="67" t="s">
        <v>4454</v>
      </c>
      <c r="D1633" s="68">
        <v>5</v>
      </c>
      <c r="E1633" s="69"/>
      <c r="F1633" s="70">
        <v>20</v>
      </c>
      <c r="G1633" s="67"/>
      <c r="H1633" s="71"/>
      <c r="I1633" s="72"/>
      <c r="J1633" s="72"/>
      <c r="K1633" s="34" t="s">
        <v>66</v>
      </c>
      <c r="L1633" s="79">
        <v>1633</v>
      </c>
      <c r="M1633" s="79"/>
      <c r="N1633" s="74"/>
      <c r="O1633" s="81" t="s">
        <v>944</v>
      </c>
      <c r="P1633">
        <v>1</v>
      </c>
      <c r="Q1633" s="80" t="str">
        <f>REPLACE(INDEX(GroupVertices[Group],MATCH(Edges[[#This Row],[Vertex 1]],GroupVertices[Vertex],0)),1,1,"")</f>
        <v>2</v>
      </c>
      <c r="R1633" s="80" t="str">
        <f>REPLACE(INDEX(GroupVertices[Group],MATCH(Edges[[#This Row],[Vertex 2]],GroupVertices[Vertex],0)),1,1,"")</f>
        <v>2</v>
      </c>
      <c r="S1633" s="34"/>
      <c r="T1633" s="34"/>
      <c r="U1633" s="34"/>
      <c r="V1633" s="34"/>
      <c r="W1633" s="34"/>
      <c r="X1633" s="34"/>
      <c r="Y1633" s="34"/>
      <c r="Z1633" s="34"/>
      <c r="AA1633" s="34"/>
    </row>
    <row r="1634" spans="1:27" ht="15">
      <c r="A1634" s="66" t="s">
        <v>235</v>
      </c>
      <c r="B1634" s="66" t="s">
        <v>220</v>
      </c>
      <c r="C1634" s="67" t="s">
        <v>4454</v>
      </c>
      <c r="D1634" s="68">
        <v>5</v>
      </c>
      <c r="E1634" s="69"/>
      <c r="F1634" s="70">
        <v>20</v>
      </c>
      <c r="G1634" s="67"/>
      <c r="H1634" s="71"/>
      <c r="I1634" s="72"/>
      <c r="J1634" s="72"/>
      <c r="K1634" s="34" t="s">
        <v>66</v>
      </c>
      <c r="L1634" s="79">
        <v>1634</v>
      </c>
      <c r="M1634" s="79"/>
      <c r="N1634" s="74"/>
      <c r="O1634" s="81" t="s">
        <v>944</v>
      </c>
      <c r="P1634">
        <v>1</v>
      </c>
      <c r="Q1634" s="80" t="str">
        <f>REPLACE(INDEX(GroupVertices[Group],MATCH(Edges[[#This Row],[Vertex 1]],GroupVertices[Vertex],0)),1,1,"")</f>
        <v>2</v>
      </c>
      <c r="R1634" s="80" t="str">
        <f>REPLACE(INDEX(GroupVertices[Group],MATCH(Edges[[#This Row],[Vertex 2]],GroupVertices[Vertex],0)),1,1,"")</f>
        <v>2</v>
      </c>
      <c r="S1634" s="34"/>
      <c r="T1634" s="34"/>
      <c r="U1634" s="34"/>
      <c r="V1634" s="34"/>
      <c r="W1634" s="34"/>
      <c r="X1634" s="34"/>
      <c r="Y1634" s="34"/>
      <c r="Z1634" s="34"/>
      <c r="AA1634" s="34"/>
    </row>
    <row r="1635" spans="1:27" ht="15">
      <c r="A1635" s="66" t="s">
        <v>235</v>
      </c>
      <c r="B1635" s="66" t="s">
        <v>261</v>
      </c>
      <c r="C1635" s="67" t="s">
        <v>4454</v>
      </c>
      <c r="D1635" s="68">
        <v>5</v>
      </c>
      <c r="E1635" s="69"/>
      <c r="F1635" s="70">
        <v>20</v>
      </c>
      <c r="G1635" s="67"/>
      <c r="H1635" s="71"/>
      <c r="I1635" s="72"/>
      <c r="J1635" s="72"/>
      <c r="K1635" s="34" t="s">
        <v>65</v>
      </c>
      <c r="L1635" s="79">
        <v>1635</v>
      </c>
      <c r="M1635" s="79"/>
      <c r="N1635" s="74"/>
      <c r="O1635" s="81" t="s">
        <v>944</v>
      </c>
      <c r="P1635">
        <v>1</v>
      </c>
      <c r="Q1635" s="80" t="str">
        <f>REPLACE(INDEX(GroupVertices[Group],MATCH(Edges[[#This Row],[Vertex 1]],GroupVertices[Vertex],0)),1,1,"")</f>
        <v>2</v>
      </c>
      <c r="R1635" s="80" t="str">
        <f>REPLACE(INDEX(GroupVertices[Group],MATCH(Edges[[#This Row],[Vertex 2]],GroupVertices[Vertex],0)),1,1,"")</f>
        <v>1</v>
      </c>
      <c r="S1635" s="34"/>
      <c r="T1635" s="34"/>
      <c r="U1635" s="34"/>
      <c r="V1635" s="34"/>
      <c r="W1635" s="34"/>
      <c r="X1635" s="34"/>
      <c r="Y1635" s="34"/>
      <c r="Z1635" s="34"/>
      <c r="AA1635" s="34"/>
    </row>
    <row r="1636" spans="1:27" ht="15">
      <c r="A1636" s="66" t="s">
        <v>235</v>
      </c>
      <c r="B1636" s="66" t="s">
        <v>250</v>
      </c>
      <c r="C1636" s="67" t="s">
        <v>4454</v>
      </c>
      <c r="D1636" s="68">
        <v>5</v>
      </c>
      <c r="E1636" s="69"/>
      <c r="F1636" s="70">
        <v>20</v>
      </c>
      <c r="G1636" s="67"/>
      <c r="H1636" s="71"/>
      <c r="I1636" s="72"/>
      <c r="J1636" s="72"/>
      <c r="K1636" s="34" t="s">
        <v>66</v>
      </c>
      <c r="L1636" s="79">
        <v>1636</v>
      </c>
      <c r="M1636" s="79"/>
      <c r="N1636" s="74"/>
      <c r="O1636" s="81" t="s">
        <v>944</v>
      </c>
      <c r="P1636">
        <v>1</v>
      </c>
      <c r="Q1636" s="80" t="str">
        <f>REPLACE(INDEX(GroupVertices[Group],MATCH(Edges[[#This Row],[Vertex 1]],GroupVertices[Vertex],0)),1,1,"")</f>
        <v>2</v>
      </c>
      <c r="R1636" s="80" t="str">
        <f>REPLACE(INDEX(GroupVertices[Group],MATCH(Edges[[#This Row],[Vertex 2]],GroupVertices[Vertex],0)),1,1,"")</f>
        <v>2</v>
      </c>
      <c r="S1636" s="34"/>
      <c r="T1636" s="34"/>
      <c r="U1636" s="34"/>
      <c r="V1636" s="34"/>
      <c r="W1636" s="34"/>
      <c r="X1636" s="34"/>
      <c r="Y1636" s="34"/>
      <c r="Z1636" s="34"/>
      <c r="AA1636" s="34"/>
    </row>
    <row r="1637" spans="1:27" ht="15">
      <c r="A1637" s="66" t="s">
        <v>235</v>
      </c>
      <c r="B1637" s="66" t="s">
        <v>253</v>
      </c>
      <c r="C1637" s="67" t="s">
        <v>4454</v>
      </c>
      <c r="D1637" s="68">
        <v>5</v>
      </c>
      <c r="E1637" s="69"/>
      <c r="F1637" s="70">
        <v>20</v>
      </c>
      <c r="G1637" s="67"/>
      <c r="H1637" s="71"/>
      <c r="I1637" s="72"/>
      <c r="J1637" s="72"/>
      <c r="K1637" s="34" t="s">
        <v>65</v>
      </c>
      <c r="L1637" s="79">
        <v>1637</v>
      </c>
      <c r="M1637" s="79"/>
      <c r="N1637" s="74"/>
      <c r="O1637" s="81" t="s">
        <v>944</v>
      </c>
      <c r="P1637">
        <v>1</v>
      </c>
      <c r="Q1637" s="80" t="str">
        <f>REPLACE(INDEX(GroupVertices[Group],MATCH(Edges[[#This Row],[Vertex 1]],GroupVertices[Vertex],0)),1,1,"")</f>
        <v>2</v>
      </c>
      <c r="R1637" s="80" t="str">
        <f>REPLACE(INDEX(GroupVertices[Group],MATCH(Edges[[#This Row],[Vertex 2]],GroupVertices[Vertex],0)),1,1,"")</f>
        <v>1</v>
      </c>
      <c r="S1637" s="34"/>
      <c r="T1637" s="34"/>
      <c r="U1637" s="34"/>
      <c r="V1637" s="34"/>
      <c r="W1637" s="34"/>
      <c r="X1637" s="34"/>
      <c r="Y1637" s="34"/>
      <c r="Z1637" s="34"/>
      <c r="AA1637" s="34"/>
    </row>
    <row r="1638" spans="1:27" ht="15">
      <c r="A1638" s="66" t="s">
        <v>235</v>
      </c>
      <c r="B1638" s="66" t="s">
        <v>240</v>
      </c>
      <c r="C1638" s="67" t="s">
        <v>4454</v>
      </c>
      <c r="D1638" s="68">
        <v>5</v>
      </c>
      <c r="E1638" s="69"/>
      <c r="F1638" s="70">
        <v>20</v>
      </c>
      <c r="G1638" s="67"/>
      <c r="H1638" s="71"/>
      <c r="I1638" s="72"/>
      <c r="J1638" s="72"/>
      <c r="K1638" s="34" t="s">
        <v>66</v>
      </c>
      <c r="L1638" s="79">
        <v>1638</v>
      </c>
      <c r="M1638" s="79"/>
      <c r="N1638" s="74"/>
      <c r="O1638" s="81" t="s">
        <v>944</v>
      </c>
      <c r="P1638">
        <v>1</v>
      </c>
      <c r="Q1638" s="80" t="str">
        <f>REPLACE(INDEX(GroupVertices[Group],MATCH(Edges[[#This Row],[Vertex 1]],GroupVertices[Vertex],0)),1,1,"")</f>
        <v>2</v>
      </c>
      <c r="R1638" s="80" t="str">
        <f>REPLACE(INDEX(GroupVertices[Group],MATCH(Edges[[#This Row],[Vertex 2]],GroupVertices[Vertex],0)),1,1,"")</f>
        <v>2</v>
      </c>
      <c r="S1638" s="34"/>
      <c r="T1638" s="34"/>
      <c r="U1638" s="34"/>
      <c r="V1638" s="34"/>
      <c r="W1638" s="34"/>
      <c r="X1638" s="34"/>
      <c r="Y1638" s="34"/>
      <c r="Z1638" s="34"/>
      <c r="AA1638" s="34"/>
    </row>
    <row r="1639" spans="1:27" ht="15">
      <c r="A1639" s="66" t="s">
        <v>235</v>
      </c>
      <c r="B1639" s="66" t="s">
        <v>238</v>
      </c>
      <c r="C1639" s="67" t="s">
        <v>4454</v>
      </c>
      <c r="D1639" s="68">
        <v>5</v>
      </c>
      <c r="E1639" s="69"/>
      <c r="F1639" s="70">
        <v>20</v>
      </c>
      <c r="G1639" s="67"/>
      <c r="H1639" s="71"/>
      <c r="I1639" s="72"/>
      <c r="J1639" s="72"/>
      <c r="K1639" s="34" t="s">
        <v>66</v>
      </c>
      <c r="L1639" s="79">
        <v>1639</v>
      </c>
      <c r="M1639" s="79"/>
      <c r="N1639" s="74"/>
      <c r="O1639" s="81" t="s">
        <v>944</v>
      </c>
      <c r="P1639">
        <v>1</v>
      </c>
      <c r="Q1639" s="80" t="str">
        <f>REPLACE(INDEX(GroupVertices[Group],MATCH(Edges[[#This Row],[Vertex 1]],GroupVertices[Vertex],0)),1,1,"")</f>
        <v>2</v>
      </c>
      <c r="R1639" s="80" t="str">
        <f>REPLACE(INDEX(GroupVertices[Group],MATCH(Edges[[#This Row],[Vertex 2]],GroupVertices[Vertex],0)),1,1,"")</f>
        <v>2</v>
      </c>
      <c r="S1639" s="34"/>
      <c r="T1639" s="34"/>
      <c r="U1639" s="34"/>
      <c r="V1639" s="34"/>
      <c r="W1639" s="34"/>
      <c r="X1639" s="34"/>
      <c r="Y1639" s="34"/>
      <c r="Z1639" s="34"/>
      <c r="AA1639" s="34"/>
    </row>
    <row r="1640" spans="1:27" ht="15">
      <c r="A1640" s="66" t="s">
        <v>238</v>
      </c>
      <c r="B1640" s="66" t="s">
        <v>235</v>
      </c>
      <c r="C1640" s="67" t="s">
        <v>4454</v>
      </c>
      <c r="D1640" s="68">
        <v>5</v>
      </c>
      <c r="E1640" s="69"/>
      <c r="F1640" s="70">
        <v>20</v>
      </c>
      <c r="G1640" s="67"/>
      <c r="H1640" s="71"/>
      <c r="I1640" s="72"/>
      <c r="J1640" s="72"/>
      <c r="K1640" s="34" t="s">
        <v>66</v>
      </c>
      <c r="L1640" s="79">
        <v>1640</v>
      </c>
      <c r="M1640" s="79"/>
      <c r="N1640" s="74"/>
      <c r="O1640" s="81" t="s">
        <v>944</v>
      </c>
      <c r="P1640">
        <v>1</v>
      </c>
      <c r="Q1640" s="80" t="str">
        <f>REPLACE(INDEX(GroupVertices[Group],MATCH(Edges[[#This Row],[Vertex 1]],GroupVertices[Vertex],0)),1,1,"")</f>
        <v>2</v>
      </c>
      <c r="R1640" s="80" t="str">
        <f>REPLACE(INDEX(GroupVertices[Group],MATCH(Edges[[#This Row],[Vertex 2]],GroupVertices[Vertex],0)),1,1,"")</f>
        <v>2</v>
      </c>
      <c r="S1640" s="34"/>
      <c r="T1640" s="34"/>
      <c r="U1640" s="34"/>
      <c r="V1640" s="34"/>
      <c r="W1640" s="34"/>
      <c r="X1640" s="34"/>
      <c r="Y1640" s="34"/>
      <c r="Z1640" s="34"/>
      <c r="AA1640" s="34"/>
    </row>
    <row r="1641" spans="1:27" ht="15">
      <c r="A1641" s="66" t="s">
        <v>240</v>
      </c>
      <c r="B1641" s="66" t="s">
        <v>235</v>
      </c>
      <c r="C1641" s="67" t="s">
        <v>4454</v>
      </c>
      <c r="D1641" s="68">
        <v>5</v>
      </c>
      <c r="E1641" s="69"/>
      <c r="F1641" s="70">
        <v>20</v>
      </c>
      <c r="G1641" s="67"/>
      <c r="H1641" s="71"/>
      <c r="I1641" s="72"/>
      <c r="J1641" s="72"/>
      <c r="K1641" s="34" t="s">
        <v>66</v>
      </c>
      <c r="L1641" s="79">
        <v>1641</v>
      </c>
      <c r="M1641" s="79"/>
      <c r="N1641" s="74"/>
      <c r="O1641" s="81" t="s">
        <v>944</v>
      </c>
      <c r="P1641">
        <v>1</v>
      </c>
      <c r="Q1641" s="80" t="str">
        <f>REPLACE(INDEX(GroupVertices[Group],MATCH(Edges[[#This Row],[Vertex 1]],GroupVertices[Vertex],0)),1,1,"")</f>
        <v>2</v>
      </c>
      <c r="R1641" s="80" t="str">
        <f>REPLACE(INDEX(GroupVertices[Group],MATCH(Edges[[#This Row],[Vertex 2]],GroupVertices[Vertex],0)),1,1,"")</f>
        <v>2</v>
      </c>
      <c r="S1641" s="34"/>
      <c r="T1641" s="34"/>
      <c r="U1641" s="34"/>
      <c r="V1641" s="34"/>
      <c r="W1641" s="34"/>
      <c r="X1641" s="34"/>
      <c r="Y1641" s="34"/>
      <c r="Z1641" s="34"/>
      <c r="AA1641" s="34"/>
    </row>
    <row r="1642" spans="1:27" ht="15">
      <c r="A1642" s="66" t="s">
        <v>241</v>
      </c>
      <c r="B1642" s="66" t="s">
        <v>235</v>
      </c>
      <c r="C1642" s="67" t="s">
        <v>4454</v>
      </c>
      <c r="D1642" s="68">
        <v>5</v>
      </c>
      <c r="E1642" s="69"/>
      <c r="F1642" s="70">
        <v>20</v>
      </c>
      <c r="G1642" s="67"/>
      <c r="H1642" s="71"/>
      <c r="I1642" s="72"/>
      <c r="J1642" s="72"/>
      <c r="K1642" s="34" t="s">
        <v>66</v>
      </c>
      <c r="L1642" s="79">
        <v>1642</v>
      </c>
      <c r="M1642" s="79"/>
      <c r="N1642" s="74"/>
      <c r="O1642" s="81" t="s">
        <v>944</v>
      </c>
      <c r="P1642">
        <v>1</v>
      </c>
      <c r="Q1642" s="80" t="str">
        <f>REPLACE(INDEX(GroupVertices[Group],MATCH(Edges[[#This Row],[Vertex 1]],GroupVertices[Vertex],0)),1,1,"")</f>
        <v>2</v>
      </c>
      <c r="R1642" s="80" t="str">
        <f>REPLACE(INDEX(GroupVertices[Group],MATCH(Edges[[#This Row],[Vertex 2]],GroupVertices[Vertex],0)),1,1,"")</f>
        <v>2</v>
      </c>
      <c r="S1642" s="34"/>
      <c r="T1642" s="34"/>
      <c r="U1642" s="34"/>
      <c r="V1642" s="34"/>
      <c r="W1642" s="34"/>
      <c r="X1642" s="34"/>
      <c r="Y1642" s="34"/>
      <c r="Z1642" s="34"/>
      <c r="AA1642" s="34"/>
    </row>
    <row r="1643" spans="1:27" ht="15">
      <c r="A1643" s="66" t="s">
        <v>243</v>
      </c>
      <c r="B1643" s="66" t="s">
        <v>235</v>
      </c>
      <c r="C1643" s="67" t="s">
        <v>4454</v>
      </c>
      <c r="D1643" s="68">
        <v>5</v>
      </c>
      <c r="E1643" s="69"/>
      <c r="F1643" s="70">
        <v>20</v>
      </c>
      <c r="G1643" s="67"/>
      <c r="H1643" s="71"/>
      <c r="I1643" s="72"/>
      <c r="J1643" s="72"/>
      <c r="K1643" s="34" t="s">
        <v>66</v>
      </c>
      <c r="L1643" s="79">
        <v>1643</v>
      </c>
      <c r="M1643" s="79"/>
      <c r="N1643" s="74"/>
      <c r="O1643" s="81" t="s">
        <v>944</v>
      </c>
      <c r="P1643">
        <v>1</v>
      </c>
      <c r="Q1643" s="80" t="str">
        <f>REPLACE(INDEX(GroupVertices[Group],MATCH(Edges[[#This Row],[Vertex 1]],GroupVertices[Vertex],0)),1,1,"")</f>
        <v>2</v>
      </c>
      <c r="R1643" s="80" t="str">
        <f>REPLACE(INDEX(GroupVertices[Group],MATCH(Edges[[#This Row],[Vertex 2]],GroupVertices[Vertex],0)),1,1,"")</f>
        <v>2</v>
      </c>
      <c r="S1643" s="34"/>
      <c r="T1643" s="34"/>
      <c r="U1643" s="34"/>
      <c r="V1643" s="34"/>
      <c r="W1643" s="34"/>
      <c r="X1643" s="34"/>
      <c r="Y1643" s="34"/>
      <c r="Z1643" s="34"/>
      <c r="AA1643" s="34"/>
    </row>
    <row r="1644" spans="1:27" ht="15">
      <c r="A1644" s="66" t="s">
        <v>249</v>
      </c>
      <c r="B1644" s="66" t="s">
        <v>235</v>
      </c>
      <c r="C1644" s="67" t="s">
        <v>4454</v>
      </c>
      <c r="D1644" s="68">
        <v>5</v>
      </c>
      <c r="E1644" s="69"/>
      <c r="F1644" s="70">
        <v>20</v>
      </c>
      <c r="G1644" s="67"/>
      <c r="H1644" s="71"/>
      <c r="I1644" s="72"/>
      <c r="J1644" s="72"/>
      <c r="K1644" s="34" t="s">
        <v>66</v>
      </c>
      <c r="L1644" s="79">
        <v>1644</v>
      </c>
      <c r="M1644" s="79"/>
      <c r="N1644" s="74"/>
      <c r="O1644" s="81" t="s">
        <v>944</v>
      </c>
      <c r="P1644">
        <v>1</v>
      </c>
      <c r="Q1644" s="80" t="str">
        <f>REPLACE(INDEX(GroupVertices[Group],MATCH(Edges[[#This Row],[Vertex 1]],GroupVertices[Vertex],0)),1,1,"")</f>
        <v>2</v>
      </c>
      <c r="R1644" s="80" t="str">
        <f>REPLACE(INDEX(GroupVertices[Group],MATCH(Edges[[#This Row],[Vertex 2]],GroupVertices[Vertex],0)),1,1,"")</f>
        <v>2</v>
      </c>
      <c r="S1644" s="34"/>
      <c r="T1644" s="34"/>
      <c r="U1644" s="34"/>
      <c r="V1644" s="34"/>
      <c r="W1644" s="34"/>
      <c r="X1644" s="34"/>
      <c r="Y1644" s="34"/>
      <c r="Z1644" s="34"/>
      <c r="AA1644" s="34"/>
    </row>
    <row r="1645" spans="1:27" ht="15">
      <c r="A1645" s="66" t="s">
        <v>250</v>
      </c>
      <c r="B1645" s="66" t="s">
        <v>235</v>
      </c>
      <c r="C1645" s="67" t="s">
        <v>4454</v>
      </c>
      <c r="D1645" s="68">
        <v>5</v>
      </c>
      <c r="E1645" s="69"/>
      <c r="F1645" s="70">
        <v>20</v>
      </c>
      <c r="G1645" s="67"/>
      <c r="H1645" s="71"/>
      <c r="I1645" s="72"/>
      <c r="J1645" s="72"/>
      <c r="K1645" s="34" t="s">
        <v>66</v>
      </c>
      <c r="L1645" s="79">
        <v>1645</v>
      </c>
      <c r="M1645" s="79"/>
      <c r="N1645" s="74"/>
      <c r="O1645" s="81" t="s">
        <v>944</v>
      </c>
      <c r="P1645">
        <v>1</v>
      </c>
      <c r="Q1645" s="80" t="str">
        <f>REPLACE(INDEX(GroupVertices[Group],MATCH(Edges[[#This Row],[Vertex 1]],GroupVertices[Vertex],0)),1,1,"")</f>
        <v>2</v>
      </c>
      <c r="R1645" s="80" t="str">
        <f>REPLACE(INDEX(GroupVertices[Group],MATCH(Edges[[#This Row],[Vertex 2]],GroupVertices[Vertex],0)),1,1,"")</f>
        <v>2</v>
      </c>
      <c r="S1645" s="34"/>
      <c r="T1645" s="34"/>
      <c r="U1645" s="34"/>
      <c r="V1645" s="34"/>
      <c r="W1645" s="34"/>
      <c r="X1645" s="34"/>
      <c r="Y1645" s="34"/>
      <c r="Z1645" s="34"/>
      <c r="AA1645" s="34"/>
    </row>
    <row r="1646" spans="1:27" ht="15">
      <c r="A1646" s="66" t="s">
        <v>256</v>
      </c>
      <c r="B1646" s="66" t="s">
        <v>235</v>
      </c>
      <c r="C1646" s="67" t="s">
        <v>4454</v>
      </c>
      <c r="D1646" s="68">
        <v>5</v>
      </c>
      <c r="E1646" s="69"/>
      <c r="F1646" s="70">
        <v>20</v>
      </c>
      <c r="G1646" s="67"/>
      <c r="H1646" s="71"/>
      <c r="I1646" s="72"/>
      <c r="J1646" s="72"/>
      <c r="K1646" s="34" t="s">
        <v>66</v>
      </c>
      <c r="L1646" s="79">
        <v>1646</v>
      </c>
      <c r="M1646" s="79"/>
      <c r="N1646" s="74"/>
      <c r="O1646" s="81" t="s">
        <v>944</v>
      </c>
      <c r="P1646">
        <v>1</v>
      </c>
      <c r="Q1646" s="80" t="str">
        <f>REPLACE(INDEX(GroupVertices[Group],MATCH(Edges[[#This Row],[Vertex 1]],GroupVertices[Vertex],0)),1,1,"")</f>
        <v>1</v>
      </c>
      <c r="R1646" s="80" t="str">
        <f>REPLACE(INDEX(GroupVertices[Group],MATCH(Edges[[#This Row],[Vertex 2]],GroupVertices[Vertex],0)),1,1,"")</f>
        <v>2</v>
      </c>
      <c r="S1646" s="34"/>
      <c r="T1646" s="34"/>
      <c r="U1646" s="34"/>
      <c r="V1646" s="34"/>
      <c r="W1646" s="34"/>
      <c r="X1646" s="34"/>
      <c r="Y1646" s="34"/>
      <c r="Z1646" s="34"/>
      <c r="AA1646" s="34"/>
    </row>
    <row r="1647" spans="1:27" ht="15">
      <c r="A1647" s="66" t="s">
        <v>258</v>
      </c>
      <c r="B1647" s="66" t="s">
        <v>235</v>
      </c>
      <c r="C1647" s="67" t="s">
        <v>4454</v>
      </c>
      <c r="D1647" s="68">
        <v>5</v>
      </c>
      <c r="E1647" s="69"/>
      <c r="F1647" s="70">
        <v>20</v>
      </c>
      <c r="G1647" s="67"/>
      <c r="H1647" s="71"/>
      <c r="I1647" s="72"/>
      <c r="J1647" s="72"/>
      <c r="K1647" s="34" t="s">
        <v>66</v>
      </c>
      <c r="L1647" s="79">
        <v>1647</v>
      </c>
      <c r="M1647" s="79"/>
      <c r="N1647" s="74"/>
      <c r="O1647" s="81" t="s">
        <v>944</v>
      </c>
      <c r="P1647">
        <v>1</v>
      </c>
      <c r="Q1647" s="80" t="str">
        <f>REPLACE(INDEX(GroupVertices[Group],MATCH(Edges[[#This Row],[Vertex 1]],GroupVertices[Vertex],0)),1,1,"")</f>
        <v>1</v>
      </c>
      <c r="R1647" s="80" t="str">
        <f>REPLACE(INDEX(GroupVertices[Group],MATCH(Edges[[#This Row],[Vertex 2]],GroupVertices[Vertex],0)),1,1,"")</f>
        <v>2</v>
      </c>
      <c r="S1647" s="34"/>
      <c r="T1647" s="34"/>
      <c r="U1647" s="34"/>
      <c r="V1647" s="34"/>
      <c r="W1647" s="34"/>
      <c r="X1647" s="34"/>
      <c r="Y1647" s="34"/>
      <c r="Z1647" s="34"/>
      <c r="AA1647" s="34"/>
    </row>
    <row r="1648" spans="1:27" ht="15">
      <c r="A1648" s="66" t="s">
        <v>258</v>
      </c>
      <c r="B1648" s="66" t="s">
        <v>848</v>
      </c>
      <c r="C1648" s="67" t="s">
        <v>4454</v>
      </c>
      <c r="D1648" s="68">
        <v>5</v>
      </c>
      <c r="E1648" s="69"/>
      <c r="F1648" s="70">
        <v>20</v>
      </c>
      <c r="G1648" s="67"/>
      <c r="H1648" s="71"/>
      <c r="I1648" s="72"/>
      <c r="J1648" s="72"/>
      <c r="K1648" s="34" t="s">
        <v>65</v>
      </c>
      <c r="L1648" s="79">
        <v>1648</v>
      </c>
      <c r="M1648" s="79"/>
      <c r="N1648" s="74"/>
      <c r="O1648" s="81" t="s">
        <v>944</v>
      </c>
      <c r="P1648">
        <v>1</v>
      </c>
      <c r="Q1648" s="80" t="str">
        <f>REPLACE(INDEX(GroupVertices[Group],MATCH(Edges[[#This Row],[Vertex 1]],GroupVertices[Vertex],0)),1,1,"")</f>
        <v>1</v>
      </c>
      <c r="R1648" s="80" t="str">
        <f>REPLACE(INDEX(GroupVertices[Group],MATCH(Edges[[#This Row],[Vertex 2]],GroupVertices[Vertex],0)),1,1,"")</f>
        <v>3</v>
      </c>
      <c r="S1648" s="34"/>
      <c r="T1648" s="34"/>
      <c r="U1648" s="34"/>
      <c r="V1648" s="34"/>
      <c r="W1648" s="34"/>
      <c r="X1648" s="34"/>
      <c r="Y1648" s="34"/>
      <c r="Z1648" s="34"/>
      <c r="AA1648" s="34"/>
    </row>
    <row r="1649" spans="1:27" ht="15">
      <c r="A1649" s="66" t="s">
        <v>220</v>
      </c>
      <c r="B1649" s="66" t="s">
        <v>240</v>
      </c>
      <c r="C1649" s="67" t="s">
        <v>4454</v>
      </c>
      <c r="D1649" s="68">
        <v>5</v>
      </c>
      <c r="E1649" s="69"/>
      <c r="F1649" s="70">
        <v>20</v>
      </c>
      <c r="G1649" s="67"/>
      <c r="H1649" s="71"/>
      <c r="I1649" s="72"/>
      <c r="J1649" s="72"/>
      <c r="K1649" s="34" t="s">
        <v>66</v>
      </c>
      <c r="L1649" s="79">
        <v>1649</v>
      </c>
      <c r="M1649" s="79"/>
      <c r="N1649" s="74"/>
      <c r="O1649" s="81" t="s">
        <v>944</v>
      </c>
      <c r="P1649">
        <v>1</v>
      </c>
      <c r="Q1649" s="80" t="str">
        <f>REPLACE(INDEX(GroupVertices[Group],MATCH(Edges[[#This Row],[Vertex 1]],GroupVertices[Vertex],0)),1,1,"")</f>
        <v>2</v>
      </c>
      <c r="R1649" s="80" t="str">
        <f>REPLACE(INDEX(GroupVertices[Group],MATCH(Edges[[#This Row],[Vertex 2]],GroupVertices[Vertex],0)),1,1,"")</f>
        <v>2</v>
      </c>
      <c r="S1649" s="34"/>
      <c r="T1649" s="34"/>
      <c r="U1649" s="34"/>
      <c r="V1649" s="34"/>
      <c r="W1649" s="34"/>
      <c r="X1649" s="34"/>
      <c r="Y1649" s="34"/>
      <c r="Z1649" s="34"/>
      <c r="AA1649" s="34"/>
    </row>
    <row r="1650" spans="1:27" ht="15">
      <c r="A1650" s="66" t="s">
        <v>221</v>
      </c>
      <c r="B1650" s="66" t="s">
        <v>240</v>
      </c>
      <c r="C1650" s="67" t="s">
        <v>4454</v>
      </c>
      <c r="D1650" s="68">
        <v>5</v>
      </c>
      <c r="E1650" s="69"/>
      <c r="F1650" s="70">
        <v>20</v>
      </c>
      <c r="G1650" s="67"/>
      <c r="H1650" s="71"/>
      <c r="I1650" s="72"/>
      <c r="J1650" s="72"/>
      <c r="K1650" s="34" t="s">
        <v>66</v>
      </c>
      <c r="L1650" s="79">
        <v>1650</v>
      </c>
      <c r="M1650" s="79"/>
      <c r="N1650" s="74"/>
      <c r="O1650" s="81" t="s">
        <v>944</v>
      </c>
      <c r="P1650">
        <v>1</v>
      </c>
      <c r="Q1650" s="80" t="str">
        <f>REPLACE(INDEX(GroupVertices[Group],MATCH(Edges[[#This Row],[Vertex 1]],GroupVertices[Vertex],0)),1,1,"")</f>
        <v>2</v>
      </c>
      <c r="R1650" s="80" t="str">
        <f>REPLACE(INDEX(GroupVertices[Group],MATCH(Edges[[#This Row],[Vertex 2]],GroupVertices[Vertex],0)),1,1,"")</f>
        <v>2</v>
      </c>
      <c r="S1650" s="34"/>
      <c r="T1650" s="34"/>
      <c r="U1650" s="34"/>
      <c r="V1650" s="34"/>
      <c r="W1650" s="34"/>
      <c r="X1650" s="34"/>
      <c r="Y1650" s="34"/>
      <c r="Z1650" s="34"/>
      <c r="AA1650" s="34"/>
    </row>
    <row r="1651" spans="1:27" ht="15">
      <c r="A1651" s="66" t="s">
        <v>224</v>
      </c>
      <c r="B1651" s="66" t="s">
        <v>240</v>
      </c>
      <c r="C1651" s="67" t="s">
        <v>4454</v>
      </c>
      <c r="D1651" s="68">
        <v>5</v>
      </c>
      <c r="E1651" s="69"/>
      <c r="F1651" s="70">
        <v>20</v>
      </c>
      <c r="G1651" s="67"/>
      <c r="H1651" s="71"/>
      <c r="I1651" s="72"/>
      <c r="J1651" s="72"/>
      <c r="K1651" s="34" t="s">
        <v>66</v>
      </c>
      <c r="L1651" s="79">
        <v>1651</v>
      </c>
      <c r="M1651" s="79"/>
      <c r="N1651" s="74"/>
      <c r="O1651" s="81" t="s">
        <v>944</v>
      </c>
      <c r="P1651">
        <v>1</v>
      </c>
      <c r="Q1651" s="80" t="str">
        <f>REPLACE(INDEX(GroupVertices[Group],MATCH(Edges[[#This Row],[Vertex 1]],GroupVertices[Vertex],0)),1,1,"")</f>
        <v>2</v>
      </c>
      <c r="R1651" s="80" t="str">
        <f>REPLACE(INDEX(GroupVertices[Group],MATCH(Edges[[#This Row],[Vertex 2]],GroupVertices[Vertex],0)),1,1,"")</f>
        <v>2</v>
      </c>
      <c r="S1651" s="34"/>
      <c r="T1651" s="34"/>
      <c r="U1651" s="34"/>
      <c r="V1651" s="34"/>
      <c r="W1651" s="34"/>
      <c r="X1651" s="34"/>
      <c r="Y1651" s="34"/>
      <c r="Z1651" s="34"/>
      <c r="AA1651" s="34"/>
    </row>
    <row r="1652" spans="1:27" ht="15">
      <c r="A1652" s="66" t="s">
        <v>233</v>
      </c>
      <c r="B1652" s="66" t="s">
        <v>240</v>
      </c>
      <c r="C1652" s="67" t="s">
        <v>4454</v>
      </c>
      <c r="D1652" s="68">
        <v>5</v>
      </c>
      <c r="E1652" s="69"/>
      <c r="F1652" s="70">
        <v>20</v>
      </c>
      <c r="G1652" s="67"/>
      <c r="H1652" s="71"/>
      <c r="I1652" s="72"/>
      <c r="J1652" s="72"/>
      <c r="K1652" s="34" t="s">
        <v>66</v>
      </c>
      <c r="L1652" s="79">
        <v>1652</v>
      </c>
      <c r="M1652" s="79"/>
      <c r="N1652" s="74"/>
      <c r="O1652" s="81" t="s">
        <v>944</v>
      </c>
      <c r="P1652">
        <v>1</v>
      </c>
      <c r="Q1652" s="80" t="str">
        <f>REPLACE(INDEX(GroupVertices[Group],MATCH(Edges[[#This Row],[Vertex 1]],GroupVertices[Vertex],0)),1,1,"")</f>
        <v>2</v>
      </c>
      <c r="R1652" s="80" t="str">
        <f>REPLACE(INDEX(GroupVertices[Group],MATCH(Edges[[#This Row],[Vertex 2]],GroupVertices[Vertex],0)),1,1,"")</f>
        <v>2</v>
      </c>
      <c r="S1652" s="34"/>
      <c r="T1652" s="34"/>
      <c r="U1652" s="34"/>
      <c r="V1652" s="34"/>
      <c r="W1652" s="34"/>
      <c r="X1652" s="34"/>
      <c r="Y1652" s="34"/>
      <c r="Z1652" s="34"/>
      <c r="AA1652" s="34"/>
    </row>
    <row r="1653" spans="1:27" ht="15">
      <c r="A1653" s="66" t="s">
        <v>238</v>
      </c>
      <c r="B1653" s="66" t="s">
        <v>240</v>
      </c>
      <c r="C1653" s="67" t="s">
        <v>4454</v>
      </c>
      <c r="D1653" s="68">
        <v>5</v>
      </c>
      <c r="E1653" s="69"/>
      <c r="F1653" s="70">
        <v>20</v>
      </c>
      <c r="G1653" s="67"/>
      <c r="H1653" s="71"/>
      <c r="I1653" s="72"/>
      <c r="J1653" s="72"/>
      <c r="K1653" s="34" t="s">
        <v>66</v>
      </c>
      <c r="L1653" s="79">
        <v>1653</v>
      </c>
      <c r="M1653" s="79"/>
      <c r="N1653" s="74"/>
      <c r="O1653" s="81" t="s">
        <v>944</v>
      </c>
      <c r="P1653">
        <v>1</v>
      </c>
      <c r="Q1653" s="80" t="str">
        <f>REPLACE(INDEX(GroupVertices[Group],MATCH(Edges[[#This Row],[Vertex 1]],GroupVertices[Vertex],0)),1,1,"")</f>
        <v>2</v>
      </c>
      <c r="R1653" s="80" t="str">
        <f>REPLACE(INDEX(GroupVertices[Group],MATCH(Edges[[#This Row],[Vertex 2]],GroupVertices[Vertex],0)),1,1,"")</f>
        <v>2</v>
      </c>
      <c r="S1653" s="34"/>
      <c r="T1653" s="34"/>
      <c r="U1653" s="34"/>
      <c r="V1653" s="34"/>
      <c r="W1653" s="34"/>
      <c r="X1653" s="34"/>
      <c r="Y1653" s="34"/>
      <c r="Z1653" s="34"/>
      <c r="AA1653" s="34"/>
    </row>
    <row r="1654" spans="1:27" ht="15">
      <c r="A1654" s="66" t="s">
        <v>240</v>
      </c>
      <c r="B1654" s="66" t="s">
        <v>616</v>
      </c>
      <c r="C1654" s="67" t="s">
        <v>4454</v>
      </c>
      <c r="D1654" s="68">
        <v>5</v>
      </c>
      <c r="E1654" s="69"/>
      <c r="F1654" s="70">
        <v>20</v>
      </c>
      <c r="G1654" s="67"/>
      <c r="H1654" s="71"/>
      <c r="I1654" s="72"/>
      <c r="J1654" s="72"/>
      <c r="K1654" s="34" t="s">
        <v>65</v>
      </c>
      <c r="L1654" s="79">
        <v>1654</v>
      </c>
      <c r="M1654" s="79"/>
      <c r="N1654" s="74"/>
      <c r="O1654" s="81" t="s">
        <v>944</v>
      </c>
      <c r="P1654">
        <v>1</v>
      </c>
      <c r="Q1654" s="80" t="str">
        <f>REPLACE(INDEX(GroupVertices[Group],MATCH(Edges[[#This Row],[Vertex 1]],GroupVertices[Vertex],0)),1,1,"")</f>
        <v>2</v>
      </c>
      <c r="R1654" s="80" t="str">
        <f>REPLACE(INDEX(GroupVertices[Group],MATCH(Edges[[#This Row],[Vertex 2]],GroupVertices[Vertex],0)),1,1,"")</f>
        <v>1</v>
      </c>
      <c r="S1654" s="34"/>
      <c r="T1654" s="34"/>
      <c r="U1654" s="34"/>
      <c r="V1654" s="34"/>
      <c r="W1654" s="34"/>
      <c r="X1654" s="34"/>
      <c r="Y1654" s="34"/>
      <c r="Z1654" s="34"/>
      <c r="AA1654" s="34"/>
    </row>
    <row r="1655" spans="1:27" ht="15">
      <c r="A1655" s="66" t="s">
        <v>240</v>
      </c>
      <c r="B1655" s="66" t="s">
        <v>231</v>
      </c>
      <c r="C1655" s="67" t="s">
        <v>4454</v>
      </c>
      <c r="D1655" s="68">
        <v>5</v>
      </c>
      <c r="E1655" s="69"/>
      <c r="F1655" s="70">
        <v>20</v>
      </c>
      <c r="G1655" s="67"/>
      <c r="H1655" s="71"/>
      <c r="I1655" s="72"/>
      <c r="J1655" s="72"/>
      <c r="K1655" s="34" t="s">
        <v>65</v>
      </c>
      <c r="L1655" s="79">
        <v>1655</v>
      </c>
      <c r="M1655" s="79"/>
      <c r="N1655" s="74"/>
      <c r="O1655" s="81" t="s">
        <v>944</v>
      </c>
      <c r="P1655">
        <v>1</v>
      </c>
      <c r="Q1655" s="80" t="str">
        <f>REPLACE(INDEX(GroupVertices[Group],MATCH(Edges[[#This Row],[Vertex 1]],GroupVertices[Vertex],0)),1,1,"")</f>
        <v>2</v>
      </c>
      <c r="R1655" s="80" t="str">
        <f>REPLACE(INDEX(GroupVertices[Group],MATCH(Edges[[#This Row],[Vertex 2]],GroupVertices[Vertex],0)),1,1,"")</f>
        <v>1</v>
      </c>
      <c r="S1655" s="34"/>
      <c r="T1655" s="34"/>
      <c r="U1655" s="34"/>
      <c r="V1655" s="34"/>
      <c r="W1655" s="34"/>
      <c r="X1655" s="34"/>
      <c r="Y1655" s="34"/>
      <c r="Z1655" s="34"/>
      <c r="AA1655" s="34"/>
    </row>
    <row r="1656" spans="1:27" ht="15">
      <c r="A1656" s="66" t="s">
        <v>240</v>
      </c>
      <c r="B1656" s="66" t="s">
        <v>242</v>
      </c>
      <c r="C1656" s="67" t="s">
        <v>4454</v>
      </c>
      <c r="D1656" s="68">
        <v>5</v>
      </c>
      <c r="E1656" s="69"/>
      <c r="F1656" s="70">
        <v>20</v>
      </c>
      <c r="G1656" s="67"/>
      <c r="H1656" s="71"/>
      <c r="I1656" s="72"/>
      <c r="J1656" s="72"/>
      <c r="K1656" s="34" t="s">
        <v>66</v>
      </c>
      <c r="L1656" s="79">
        <v>1656</v>
      </c>
      <c r="M1656" s="79"/>
      <c r="N1656" s="74"/>
      <c r="O1656" s="81" t="s">
        <v>944</v>
      </c>
      <c r="P1656">
        <v>1</v>
      </c>
      <c r="Q1656" s="80" t="str">
        <f>REPLACE(INDEX(GroupVertices[Group],MATCH(Edges[[#This Row],[Vertex 1]],GroupVertices[Vertex],0)),1,1,"")</f>
        <v>2</v>
      </c>
      <c r="R1656" s="80" t="str">
        <f>REPLACE(INDEX(GroupVertices[Group],MATCH(Edges[[#This Row],[Vertex 2]],GroupVertices[Vertex],0)),1,1,"")</f>
        <v>1</v>
      </c>
      <c r="S1656" s="34"/>
      <c r="T1656" s="34"/>
      <c r="U1656" s="34"/>
      <c r="V1656" s="34"/>
      <c r="W1656" s="34"/>
      <c r="X1656" s="34"/>
      <c r="Y1656" s="34"/>
      <c r="Z1656" s="34"/>
      <c r="AA1656" s="34"/>
    </row>
    <row r="1657" spans="1:27" ht="15">
      <c r="A1657" s="66" t="s">
        <v>240</v>
      </c>
      <c r="B1657" s="66" t="s">
        <v>247</v>
      </c>
      <c r="C1657" s="67" t="s">
        <v>4454</v>
      </c>
      <c r="D1657" s="68">
        <v>5</v>
      </c>
      <c r="E1657" s="69"/>
      <c r="F1657" s="70">
        <v>20</v>
      </c>
      <c r="G1657" s="67"/>
      <c r="H1657" s="71"/>
      <c r="I1657" s="72"/>
      <c r="J1657" s="72"/>
      <c r="K1657" s="34" t="s">
        <v>65</v>
      </c>
      <c r="L1657" s="79">
        <v>1657</v>
      </c>
      <c r="M1657" s="79"/>
      <c r="N1657" s="74"/>
      <c r="O1657" s="81" t="s">
        <v>944</v>
      </c>
      <c r="P1657">
        <v>1</v>
      </c>
      <c r="Q1657" s="80" t="str">
        <f>REPLACE(INDEX(GroupVertices[Group],MATCH(Edges[[#This Row],[Vertex 1]],GroupVertices[Vertex],0)),1,1,"")</f>
        <v>2</v>
      </c>
      <c r="R1657" s="80" t="str">
        <f>REPLACE(INDEX(GroupVertices[Group],MATCH(Edges[[#This Row],[Vertex 2]],GroupVertices[Vertex],0)),1,1,"")</f>
        <v>2</v>
      </c>
      <c r="S1657" s="34"/>
      <c r="T1657" s="34"/>
      <c r="U1657" s="34"/>
      <c r="V1657" s="34"/>
      <c r="W1657" s="34"/>
      <c r="X1657" s="34"/>
      <c r="Y1657" s="34"/>
      <c r="Z1657" s="34"/>
      <c r="AA1657" s="34"/>
    </row>
    <row r="1658" spans="1:27" ht="15">
      <c r="A1658" s="66" t="s">
        <v>240</v>
      </c>
      <c r="B1658" s="66" t="s">
        <v>255</v>
      </c>
      <c r="C1658" s="67" t="s">
        <v>4454</v>
      </c>
      <c r="D1658" s="68">
        <v>5</v>
      </c>
      <c r="E1658" s="69"/>
      <c r="F1658" s="70">
        <v>20</v>
      </c>
      <c r="G1658" s="67"/>
      <c r="H1658" s="71"/>
      <c r="I1658" s="72"/>
      <c r="J1658" s="72"/>
      <c r="K1658" s="34" t="s">
        <v>66</v>
      </c>
      <c r="L1658" s="79">
        <v>1658</v>
      </c>
      <c r="M1658" s="79"/>
      <c r="N1658" s="74"/>
      <c r="O1658" s="81" t="s">
        <v>944</v>
      </c>
      <c r="P1658">
        <v>1</v>
      </c>
      <c r="Q1658" s="80" t="str">
        <f>REPLACE(INDEX(GroupVertices[Group],MATCH(Edges[[#This Row],[Vertex 1]],GroupVertices[Vertex],0)),1,1,"")</f>
        <v>2</v>
      </c>
      <c r="R1658" s="80" t="str">
        <f>REPLACE(INDEX(GroupVertices[Group],MATCH(Edges[[#This Row],[Vertex 2]],GroupVertices[Vertex],0)),1,1,"")</f>
        <v>4</v>
      </c>
      <c r="S1658" s="34"/>
      <c r="T1658" s="34"/>
      <c r="U1658" s="34"/>
      <c r="V1658" s="34"/>
      <c r="W1658" s="34"/>
      <c r="X1658" s="34"/>
      <c r="Y1658" s="34"/>
      <c r="Z1658" s="34"/>
      <c r="AA1658" s="34"/>
    </row>
    <row r="1659" spans="1:27" ht="15">
      <c r="A1659" s="66" t="s">
        <v>240</v>
      </c>
      <c r="B1659" s="66" t="s">
        <v>246</v>
      </c>
      <c r="C1659" s="67" t="s">
        <v>4454</v>
      </c>
      <c r="D1659" s="68">
        <v>5</v>
      </c>
      <c r="E1659" s="69"/>
      <c r="F1659" s="70">
        <v>20</v>
      </c>
      <c r="G1659" s="67"/>
      <c r="H1659" s="71"/>
      <c r="I1659" s="72"/>
      <c r="J1659" s="72"/>
      <c r="K1659" s="34" t="s">
        <v>66</v>
      </c>
      <c r="L1659" s="79">
        <v>1659</v>
      </c>
      <c r="M1659" s="79"/>
      <c r="N1659" s="74"/>
      <c r="O1659" s="81" t="s">
        <v>944</v>
      </c>
      <c r="P1659">
        <v>1</v>
      </c>
      <c r="Q1659" s="80" t="str">
        <f>REPLACE(INDEX(GroupVertices[Group],MATCH(Edges[[#This Row],[Vertex 1]],GroupVertices[Vertex],0)),1,1,"")</f>
        <v>2</v>
      </c>
      <c r="R1659" s="80" t="str">
        <f>REPLACE(INDEX(GroupVertices[Group],MATCH(Edges[[#This Row],[Vertex 2]],GroupVertices[Vertex],0)),1,1,"")</f>
        <v>2</v>
      </c>
      <c r="S1659" s="34"/>
      <c r="T1659" s="34"/>
      <c r="U1659" s="34"/>
      <c r="V1659" s="34"/>
      <c r="W1659" s="34"/>
      <c r="X1659" s="34"/>
      <c r="Y1659" s="34"/>
      <c r="Z1659" s="34"/>
      <c r="AA1659" s="34"/>
    </row>
    <row r="1660" spans="1:27" ht="15">
      <c r="A1660" s="66" t="s">
        <v>240</v>
      </c>
      <c r="B1660" s="66" t="s">
        <v>256</v>
      </c>
      <c r="C1660" s="67" t="s">
        <v>4454</v>
      </c>
      <c r="D1660" s="68">
        <v>5</v>
      </c>
      <c r="E1660" s="69"/>
      <c r="F1660" s="70">
        <v>20</v>
      </c>
      <c r="G1660" s="67"/>
      <c r="H1660" s="71"/>
      <c r="I1660" s="72"/>
      <c r="J1660" s="72"/>
      <c r="K1660" s="34" t="s">
        <v>66</v>
      </c>
      <c r="L1660" s="79">
        <v>1660</v>
      </c>
      <c r="M1660" s="79"/>
      <c r="N1660" s="74"/>
      <c r="O1660" s="81" t="s">
        <v>944</v>
      </c>
      <c r="P1660">
        <v>1</v>
      </c>
      <c r="Q1660" s="80" t="str">
        <f>REPLACE(INDEX(GroupVertices[Group],MATCH(Edges[[#This Row],[Vertex 1]],GroupVertices[Vertex],0)),1,1,"")</f>
        <v>2</v>
      </c>
      <c r="R1660" s="80" t="str">
        <f>REPLACE(INDEX(GroupVertices[Group],MATCH(Edges[[#This Row],[Vertex 2]],GroupVertices[Vertex],0)),1,1,"")</f>
        <v>1</v>
      </c>
      <c r="S1660" s="34"/>
      <c r="T1660" s="34"/>
      <c r="U1660" s="34"/>
      <c r="V1660" s="34"/>
      <c r="W1660" s="34"/>
      <c r="X1660" s="34"/>
      <c r="Y1660" s="34"/>
      <c r="Z1660" s="34"/>
      <c r="AA1660" s="34"/>
    </row>
    <row r="1661" spans="1:27" ht="15">
      <c r="A1661" s="66" t="s">
        <v>240</v>
      </c>
      <c r="B1661" s="66" t="s">
        <v>510</v>
      </c>
      <c r="C1661" s="67" t="s">
        <v>4454</v>
      </c>
      <c r="D1661" s="68">
        <v>5</v>
      </c>
      <c r="E1661" s="69"/>
      <c r="F1661" s="70">
        <v>20</v>
      </c>
      <c r="G1661" s="67"/>
      <c r="H1661" s="71"/>
      <c r="I1661" s="72"/>
      <c r="J1661" s="72"/>
      <c r="K1661" s="34" t="s">
        <v>65</v>
      </c>
      <c r="L1661" s="79">
        <v>1661</v>
      </c>
      <c r="M1661" s="79"/>
      <c r="N1661" s="74"/>
      <c r="O1661" s="81" t="s">
        <v>944</v>
      </c>
      <c r="P1661">
        <v>1</v>
      </c>
      <c r="Q1661" s="80" t="str">
        <f>REPLACE(INDEX(GroupVertices[Group],MATCH(Edges[[#This Row],[Vertex 1]],GroupVertices[Vertex],0)),1,1,"")</f>
        <v>2</v>
      </c>
      <c r="R1661" s="80" t="str">
        <f>REPLACE(INDEX(GroupVertices[Group],MATCH(Edges[[#This Row],[Vertex 2]],GroupVertices[Vertex],0)),1,1,"")</f>
        <v>2</v>
      </c>
      <c r="S1661" s="34"/>
      <c r="T1661" s="34"/>
      <c r="U1661" s="34"/>
      <c r="V1661" s="34"/>
      <c r="W1661" s="34"/>
      <c r="X1661" s="34"/>
      <c r="Y1661" s="34"/>
      <c r="Z1661" s="34"/>
      <c r="AA1661" s="34"/>
    </row>
    <row r="1662" spans="1:27" ht="15">
      <c r="A1662" s="66" t="s">
        <v>240</v>
      </c>
      <c r="B1662" s="66" t="s">
        <v>886</v>
      </c>
      <c r="C1662" s="67" t="s">
        <v>4454</v>
      </c>
      <c r="D1662" s="68">
        <v>5</v>
      </c>
      <c r="E1662" s="69"/>
      <c r="F1662" s="70">
        <v>20</v>
      </c>
      <c r="G1662" s="67"/>
      <c r="H1662" s="71"/>
      <c r="I1662" s="72"/>
      <c r="J1662" s="72"/>
      <c r="K1662" s="34" t="s">
        <v>65</v>
      </c>
      <c r="L1662" s="79">
        <v>1662</v>
      </c>
      <c r="M1662" s="79"/>
      <c r="N1662" s="74"/>
      <c r="O1662" s="81" t="s">
        <v>944</v>
      </c>
      <c r="P1662">
        <v>1</v>
      </c>
      <c r="Q1662" s="80" t="str">
        <f>REPLACE(INDEX(GroupVertices[Group],MATCH(Edges[[#This Row],[Vertex 1]],GroupVertices[Vertex],0)),1,1,"")</f>
        <v>2</v>
      </c>
      <c r="R1662" s="80" t="str">
        <f>REPLACE(INDEX(GroupVertices[Group],MATCH(Edges[[#This Row],[Vertex 2]],GroupVertices[Vertex],0)),1,1,"")</f>
        <v>4</v>
      </c>
      <c r="S1662" s="34"/>
      <c r="T1662" s="34"/>
      <c r="U1662" s="34"/>
      <c r="V1662" s="34"/>
      <c r="W1662" s="34"/>
      <c r="X1662" s="34"/>
      <c r="Y1662" s="34"/>
      <c r="Z1662" s="34"/>
      <c r="AA1662" s="34"/>
    </row>
    <row r="1663" spans="1:27" ht="15">
      <c r="A1663" s="66" t="s">
        <v>240</v>
      </c>
      <c r="B1663" s="66" t="s">
        <v>236</v>
      </c>
      <c r="C1663" s="67" t="s">
        <v>4454</v>
      </c>
      <c r="D1663" s="68">
        <v>5</v>
      </c>
      <c r="E1663" s="69"/>
      <c r="F1663" s="70">
        <v>20</v>
      </c>
      <c r="G1663" s="67"/>
      <c r="H1663" s="71"/>
      <c r="I1663" s="72"/>
      <c r="J1663" s="72"/>
      <c r="K1663" s="34" t="s">
        <v>65</v>
      </c>
      <c r="L1663" s="79">
        <v>1663</v>
      </c>
      <c r="M1663" s="79"/>
      <c r="N1663" s="74"/>
      <c r="O1663" s="81" t="s">
        <v>944</v>
      </c>
      <c r="P1663">
        <v>1</v>
      </c>
      <c r="Q1663" s="80" t="str">
        <f>REPLACE(INDEX(GroupVertices[Group],MATCH(Edges[[#This Row],[Vertex 1]],GroupVertices[Vertex],0)),1,1,"")</f>
        <v>2</v>
      </c>
      <c r="R1663" s="80" t="str">
        <f>REPLACE(INDEX(GroupVertices[Group],MATCH(Edges[[#This Row],[Vertex 2]],GroupVertices[Vertex],0)),1,1,"")</f>
        <v>1</v>
      </c>
      <c r="S1663" s="34"/>
      <c r="T1663" s="34"/>
      <c r="U1663" s="34"/>
      <c r="V1663" s="34"/>
      <c r="W1663" s="34"/>
      <c r="X1663" s="34"/>
      <c r="Y1663" s="34"/>
      <c r="Z1663" s="34"/>
      <c r="AA1663" s="34"/>
    </row>
    <row r="1664" spans="1:27" ht="15">
      <c r="A1664" s="66" t="s">
        <v>240</v>
      </c>
      <c r="B1664" s="66" t="s">
        <v>252</v>
      </c>
      <c r="C1664" s="67" t="s">
        <v>4454</v>
      </c>
      <c r="D1664" s="68">
        <v>5</v>
      </c>
      <c r="E1664" s="69"/>
      <c r="F1664" s="70">
        <v>20</v>
      </c>
      <c r="G1664" s="67"/>
      <c r="H1664" s="71"/>
      <c r="I1664" s="72"/>
      <c r="J1664" s="72"/>
      <c r="K1664" s="34" t="s">
        <v>65</v>
      </c>
      <c r="L1664" s="79">
        <v>1664</v>
      </c>
      <c r="M1664" s="79"/>
      <c r="N1664" s="74"/>
      <c r="O1664" s="81" t="s">
        <v>944</v>
      </c>
      <c r="P1664">
        <v>1</v>
      </c>
      <c r="Q1664" s="80" t="str">
        <f>REPLACE(INDEX(GroupVertices[Group],MATCH(Edges[[#This Row],[Vertex 1]],GroupVertices[Vertex],0)),1,1,"")</f>
        <v>2</v>
      </c>
      <c r="R1664" s="80" t="str">
        <f>REPLACE(INDEX(GroupVertices[Group],MATCH(Edges[[#This Row],[Vertex 2]],GroupVertices[Vertex],0)),1,1,"")</f>
        <v>1</v>
      </c>
      <c r="S1664" s="34"/>
      <c r="T1664" s="34"/>
      <c r="U1664" s="34"/>
      <c r="V1664" s="34"/>
      <c r="W1664" s="34"/>
      <c r="X1664" s="34"/>
      <c r="Y1664" s="34"/>
      <c r="Z1664" s="34"/>
      <c r="AA1664" s="34"/>
    </row>
    <row r="1665" spans="1:27" ht="15">
      <c r="A1665" s="66" t="s">
        <v>240</v>
      </c>
      <c r="B1665" s="66" t="s">
        <v>243</v>
      </c>
      <c r="C1665" s="67" t="s">
        <v>4454</v>
      </c>
      <c r="D1665" s="68">
        <v>5</v>
      </c>
      <c r="E1665" s="69"/>
      <c r="F1665" s="70">
        <v>20</v>
      </c>
      <c r="G1665" s="67"/>
      <c r="H1665" s="71"/>
      <c r="I1665" s="72"/>
      <c r="J1665" s="72"/>
      <c r="K1665" s="34" t="s">
        <v>66</v>
      </c>
      <c r="L1665" s="79">
        <v>1665</v>
      </c>
      <c r="M1665" s="79"/>
      <c r="N1665" s="74"/>
      <c r="O1665" s="81" t="s">
        <v>944</v>
      </c>
      <c r="P1665">
        <v>1</v>
      </c>
      <c r="Q1665" s="80" t="str">
        <f>REPLACE(INDEX(GroupVertices[Group],MATCH(Edges[[#This Row],[Vertex 1]],GroupVertices[Vertex],0)),1,1,"")</f>
        <v>2</v>
      </c>
      <c r="R1665" s="80" t="str">
        <f>REPLACE(INDEX(GroupVertices[Group],MATCH(Edges[[#This Row],[Vertex 2]],GroupVertices[Vertex],0)),1,1,"")</f>
        <v>2</v>
      </c>
      <c r="S1665" s="34"/>
      <c r="T1665" s="34"/>
      <c r="U1665" s="34"/>
      <c r="V1665" s="34"/>
      <c r="W1665" s="34"/>
      <c r="X1665" s="34"/>
      <c r="Y1665" s="34"/>
      <c r="Z1665" s="34"/>
      <c r="AA1665" s="34"/>
    </row>
    <row r="1666" spans="1:27" ht="15">
      <c r="A1666" s="66" t="s">
        <v>240</v>
      </c>
      <c r="B1666" s="66" t="s">
        <v>249</v>
      </c>
      <c r="C1666" s="67" t="s">
        <v>4454</v>
      </c>
      <c r="D1666" s="68">
        <v>5</v>
      </c>
      <c r="E1666" s="69"/>
      <c r="F1666" s="70">
        <v>20</v>
      </c>
      <c r="G1666" s="67"/>
      <c r="H1666" s="71"/>
      <c r="I1666" s="72"/>
      <c r="J1666" s="72"/>
      <c r="K1666" s="34" t="s">
        <v>66</v>
      </c>
      <c r="L1666" s="79">
        <v>1666</v>
      </c>
      <c r="M1666" s="79"/>
      <c r="N1666" s="74"/>
      <c r="O1666" s="81" t="s">
        <v>944</v>
      </c>
      <c r="P1666">
        <v>1</v>
      </c>
      <c r="Q1666" s="80" t="str">
        <f>REPLACE(INDEX(GroupVertices[Group],MATCH(Edges[[#This Row],[Vertex 1]],GroupVertices[Vertex],0)),1,1,"")</f>
        <v>2</v>
      </c>
      <c r="R1666" s="80" t="str">
        <f>REPLACE(INDEX(GroupVertices[Group],MATCH(Edges[[#This Row],[Vertex 2]],GroupVertices[Vertex],0)),1,1,"")</f>
        <v>2</v>
      </c>
      <c r="S1666" s="34"/>
      <c r="T1666" s="34"/>
      <c r="U1666" s="34"/>
      <c r="V1666" s="34"/>
      <c r="W1666" s="34"/>
      <c r="X1666" s="34"/>
      <c r="Y1666" s="34"/>
      <c r="Z1666" s="34"/>
      <c r="AA1666" s="34"/>
    </row>
    <row r="1667" spans="1:27" ht="15">
      <c r="A1667" s="66" t="s">
        <v>240</v>
      </c>
      <c r="B1667" s="66" t="s">
        <v>233</v>
      </c>
      <c r="C1667" s="67" t="s">
        <v>4454</v>
      </c>
      <c r="D1667" s="68">
        <v>5</v>
      </c>
      <c r="E1667" s="69"/>
      <c r="F1667" s="70">
        <v>20</v>
      </c>
      <c r="G1667" s="67"/>
      <c r="H1667" s="71"/>
      <c r="I1667" s="72"/>
      <c r="J1667" s="72"/>
      <c r="K1667" s="34" t="s">
        <v>66</v>
      </c>
      <c r="L1667" s="79">
        <v>1667</v>
      </c>
      <c r="M1667" s="79"/>
      <c r="N1667" s="74"/>
      <c r="O1667" s="81" t="s">
        <v>944</v>
      </c>
      <c r="P1667">
        <v>1</v>
      </c>
      <c r="Q1667" s="80" t="str">
        <f>REPLACE(INDEX(GroupVertices[Group],MATCH(Edges[[#This Row],[Vertex 1]],GroupVertices[Vertex],0)),1,1,"")</f>
        <v>2</v>
      </c>
      <c r="R1667" s="80" t="str">
        <f>REPLACE(INDEX(GroupVertices[Group],MATCH(Edges[[#This Row],[Vertex 2]],GroupVertices[Vertex],0)),1,1,"")</f>
        <v>2</v>
      </c>
      <c r="S1667" s="34"/>
      <c r="T1667" s="34"/>
      <c r="U1667" s="34"/>
      <c r="V1667" s="34"/>
      <c r="W1667" s="34"/>
      <c r="X1667" s="34"/>
      <c r="Y1667" s="34"/>
      <c r="Z1667" s="34"/>
      <c r="AA1667" s="34"/>
    </row>
    <row r="1668" spans="1:27" ht="15">
      <c r="A1668" s="66" t="s">
        <v>240</v>
      </c>
      <c r="B1668" s="66" t="s">
        <v>663</v>
      </c>
      <c r="C1668" s="67" t="s">
        <v>4454</v>
      </c>
      <c r="D1668" s="68">
        <v>5</v>
      </c>
      <c r="E1668" s="69"/>
      <c r="F1668" s="70">
        <v>20</v>
      </c>
      <c r="G1668" s="67"/>
      <c r="H1668" s="71"/>
      <c r="I1668" s="72"/>
      <c r="J1668" s="72"/>
      <c r="K1668" s="34" t="s">
        <v>65</v>
      </c>
      <c r="L1668" s="79">
        <v>1668</v>
      </c>
      <c r="M1668" s="79"/>
      <c r="N1668" s="74"/>
      <c r="O1668" s="81" t="s">
        <v>944</v>
      </c>
      <c r="P1668">
        <v>1</v>
      </c>
      <c r="Q1668" s="80" t="str">
        <f>REPLACE(INDEX(GroupVertices[Group],MATCH(Edges[[#This Row],[Vertex 1]],GroupVertices[Vertex],0)),1,1,"")</f>
        <v>2</v>
      </c>
      <c r="R1668" s="80" t="str">
        <f>REPLACE(INDEX(GroupVertices[Group],MATCH(Edges[[#This Row],[Vertex 2]],GroupVertices[Vertex],0)),1,1,"")</f>
        <v>1</v>
      </c>
      <c r="S1668" s="34"/>
      <c r="T1668" s="34"/>
      <c r="U1668" s="34"/>
      <c r="V1668" s="34"/>
      <c r="W1668" s="34"/>
      <c r="X1668" s="34"/>
      <c r="Y1668" s="34"/>
      <c r="Z1668" s="34"/>
      <c r="AA1668" s="34"/>
    </row>
    <row r="1669" spans="1:27" ht="15">
      <c r="A1669" s="66" t="s">
        <v>240</v>
      </c>
      <c r="B1669" s="66" t="s">
        <v>260</v>
      </c>
      <c r="C1669" s="67" t="s">
        <v>4454</v>
      </c>
      <c r="D1669" s="68">
        <v>5</v>
      </c>
      <c r="E1669" s="69"/>
      <c r="F1669" s="70">
        <v>20</v>
      </c>
      <c r="G1669" s="67"/>
      <c r="H1669" s="71"/>
      <c r="I1669" s="72"/>
      <c r="J1669" s="72"/>
      <c r="K1669" s="34" t="s">
        <v>65</v>
      </c>
      <c r="L1669" s="79">
        <v>1669</v>
      </c>
      <c r="M1669" s="79"/>
      <c r="N1669" s="74"/>
      <c r="O1669" s="81" t="s">
        <v>944</v>
      </c>
      <c r="P1669">
        <v>1</v>
      </c>
      <c r="Q1669" s="80" t="str">
        <f>REPLACE(INDEX(GroupVertices[Group],MATCH(Edges[[#This Row],[Vertex 1]],GroupVertices[Vertex],0)),1,1,"")</f>
        <v>2</v>
      </c>
      <c r="R1669" s="80" t="str">
        <f>REPLACE(INDEX(GroupVertices[Group],MATCH(Edges[[#This Row],[Vertex 2]],GroupVertices[Vertex],0)),1,1,"")</f>
        <v>2</v>
      </c>
      <c r="S1669" s="34"/>
      <c r="T1669" s="34"/>
      <c r="U1669" s="34"/>
      <c r="V1669" s="34"/>
      <c r="W1669" s="34"/>
      <c r="X1669" s="34"/>
      <c r="Y1669" s="34"/>
      <c r="Z1669" s="34"/>
      <c r="AA1669" s="34"/>
    </row>
    <row r="1670" spans="1:27" ht="15">
      <c r="A1670" s="66" t="s">
        <v>240</v>
      </c>
      <c r="B1670" s="66" t="s">
        <v>241</v>
      </c>
      <c r="C1670" s="67" t="s">
        <v>4454</v>
      </c>
      <c r="D1670" s="68">
        <v>5</v>
      </c>
      <c r="E1670" s="69"/>
      <c r="F1670" s="70">
        <v>20</v>
      </c>
      <c r="G1670" s="67"/>
      <c r="H1670" s="71"/>
      <c r="I1670" s="72"/>
      <c r="J1670" s="72"/>
      <c r="K1670" s="34" t="s">
        <v>66</v>
      </c>
      <c r="L1670" s="79">
        <v>1670</v>
      </c>
      <c r="M1670" s="79"/>
      <c r="N1670" s="74"/>
      <c r="O1670" s="81" t="s">
        <v>944</v>
      </c>
      <c r="P1670">
        <v>1</v>
      </c>
      <c r="Q1670" s="80" t="str">
        <f>REPLACE(INDEX(GroupVertices[Group],MATCH(Edges[[#This Row],[Vertex 1]],GroupVertices[Vertex],0)),1,1,"")</f>
        <v>2</v>
      </c>
      <c r="R1670" s="80" t="str">
        <f>REPLACE(INDEX(GroupVertices[Group],MATCH(Edges[[#This Row],[Vertex 2]],GroupVertices[Vertex],0)),1,1,"")</f>
        <v>2</v>
      </c>
      <c r="S1670" s="34"/>
      <c r="T1670" s="34"/>
      <c r="U1670" s="34"/>
      <c r="V1670" s="34"/>
      <c r="W1670" s="34"/>
      <c r="X1670" s="34"/>
      <c r="Y1670" s="34"/>
      <c r="Z1670" s="34"/>
      <c r="AA1670" s="34"/>
    </row>
    <row r="1671" spans="1:27" ht="15">
      <c r="A1671" s="66" t="s">
        <v>240</v>
      </c>
      <c r="B1671" s="66" t="s">
        <v>602</v>
      </c>
      <c r="C1671" s="67" t="s">
        <v>4454</v>
      </c>
      <c r="D1671" s="68">
        <v>5</v>
      </c>
      <c r="E1671" s="69"/>
      <c r="F1671" s="70">
        <v>20</v>
      </c>
      <c r="G1671" s="67"/>
      <c r="H1671" s="71"/>
      <c r="I1671" s="72"/>
      <c r="J1671" s="72"/>
      <c r="K1671" s="34" t="s">
        <v>65</v>
      </c>
      <c r="L1671" s="79">
        <v>1671</v>
      </c>
      <c r="M1671" s="79"/>
      <c r="N1671" s="74"/>
      <c r="O1671" s="81" t="s">
        <v>944</v>
      </c>
      <c r="P1671">
        <v>1</v>
      </c>
      <c r="Q1671" s="80" t="str">
        <f>REPLACE(INDEX(GroupVertices[Group],MATCH(Edges[[#This Row],[Vertex 1]],GroupVertices[Vertex],0)),1,1,"")</f>
        <v>2</v>
      </c>
      <c r="R1671" s="80" t="str">
        <f>REPLACE(INDEX(GroupVertices[Group],MATCH(Edges[[#This Row],[Vertex 2]],GroupVertices[Vertex],0)),1,1,"")</f>
        <v>2</v>
      </c>
      <c r="S1671" s="34"/>
      <c r="T1671" s="34"/>
      <c r="U1671" s="34"/>
      <c r="V1671" s="34"/>
      <c r="W1671" s="34"/>
      <c r="X1671" s="34"/>
      <c r="Y1671" s="34"/>
      <c r="Z1671" s="34"/>
      <c r="AA1671" s="34"/>
    </row>
    <row r="1672" spans="1:27" ht="15">
      <c r="A1672" s="66" t="s">
        <v>240</v>
      </c>
      <c r="B1672" s="66" t="s">
        <v>224</v>
      </c>
      <c r="C1672" s="67" t="s">
        <v>4454</v>
      </c>
      <c r="D1672" s="68">
        <v>5</v>
      </c>
      <c r="E1672" s="69"/>
      <c r="F1672" s="70">
        <v>20</v>
      </c>
      <c r="G1672" s="67"/>
      <c r="H1672" s="71"/>
      <c r="I1672" s="72"/>
      <c r="J1672" s="72"/>
      <c r="K1672" s="34" t="s">
        <v>66</v>
      </c>
      <c r="L1672" s="79">
        <v>1672</v>
      </c>
      <c r="M1672" s="79"/>
      <c r="N1672" s="74"/>
      <c r="O1672" s="81" t="s">
        <v>944</v>
      </c>
      <c r="P1672">
        <v>1</v>
      </c>
      <c r="Q1672" s="80" t="str">
        <f>REPLACE(INDEX(GroupVertices[Group],MATCH(Edges[[#This Row],[Vertex 1]],GroupVertices[Vertex],0)),1,1,"")</f>
        <v>2</v>
      </c>
      <c r="R1672" s="80" t="str">
        <f>REPLACE(INDEX(GroupVertices[Group],MATCH(Edges[[#This Row],[Vertex 2]],GroupVertices[Vertex],0)),1,1,"")</f>
        <v>2</v>
      </c>
      <c r="S1672" s="34"/>
      <c r="T1672" s="34"/>
      <c r="U1672" s="34"/>
      <c r="V1672" s="34"/>
      <c r="W1672" s="34"/>
      <c r="X1672" s="34"/>
      <c r="Y1672" s="34"/>
      <c r="Z1672" s="34"/>
      <c r="AA1672" s="34"/>
    </row>
    <row r="1673" spans="1:27" ht="15">
      <c r="A1673" s="66" t="s">
        <v>240</v>
      </c>
      <c r="B1673" s="66" t="s">
        <v>217</v>
      </c>
      <c r="C1673" s="67" t="s">
        <v>4454</v>
      </c>
      <c r="D1673" s="68">
        <v>5</v>
      </c>
      <c r="E1673" s="69"/>
      <c r="F1673" s="70">
        <v>20</v>
      </c>
      <c r="G1673" s="67"/>
      <c r="H1673" s="71"/>
      <c r="I1673" s="72"/>
      <c r="J1673" s="72"/>
      <c r="K1673" s="34" t="s">
        <v>65</v>
      </c>
      <c r="L1673" s="79">
        <v>1673</v>
      </c>
      <c r="M1673" s="79"/>
      <c r="N1673" s="74"/>
      <c r="O1673" s="81" t="s">
        <v>944</v>
      </c>
      <c r="P1673">
        <v>1</v>
      </c>
      <c r="Q1673" s="80" t="str">
        <f>REPLACE(INDEX(GroupVertices[Group],MATCH(Edges[[#This Row],[Vertex 1]],GroupVertices[Vertex],0)),1,1,"")</f>
        <v>2</v>
      </c>
      <c r="R1673" s="80" t="str">
        <f>REPLACE(INDEX(GroupVertices[Group],MATCH(Edges[[#This Row],[Vertex 2]],GroupVertices[Vertex],0)),1,1,"")</f>
        <v>4</v>
      </c>
      <c r="S1673" s="34"/>
      <c r="T1673" s="34"/>
      <c r="U1673" s="34"/>
      <c r="V1673" s="34"/>
      <c r="W1673" s="34"/>
      <c r="X1673" s="34"/>
      <c r="Y1673" s="34"/>
      <c r="Z1673" s="34"/>
      <c r="AA1673" s="34"/>
    </row>
    <row r="1674" spans="1:27" ht="15">
      <c r="A1674" s="66" t="s">
        <v>240</v>
      </c>
      <c r="B1674" s="66" t="s">
        <v>849</v>
      </c>
      <c r="C1674" s="67" t="s">
        <v>4454</v>
      </c>
      <c r="D1674" s="68">
        <v>5</v>
      </c>
      <c r="E1674" s="69"/>
      <c r="F1674" s="70">
        <v>20</v>
      </c>
      <c r="G1674" s="67"/>
      <c r="H1674" s="71"/>
      <c r="I1674" s="72"/>
      <c r="J1674" s="72"/>
      <c r="K1674" s="34" t="s">
        <v>65</v>
      </c>
      <c r="L1674" s="79">
        <v>1674</v>
      </c>
      <c r="M1674" s="79"/>
      <c r="N1674" s="74"/>
      <c r="O1674" s="81" t="s">
        <v>944</v>
      </c>
      <c r="P1674">
        <v>1</v>
      </c>
      <c r="Q1674" s="80" t="str">
        <f>REPLACE(INDEX(GroupVertices[Group],MATCH(Edges[[#This Row],[Vertex 1]],GroupVertices[Vertex],0)),1,1,"")</f>
        <v>2</v>
      </c>
      <c r="R1674" s="80" t="str">
        <f>REPLACE(INDEX(GroupVertices[Group],MATCH(Edges[[#This Row],[Vertex 2]],GroupVertices[Vertex],0)),1,1,"")</f>
        <v>1</v>
      </c>
      <c r="S1674" s="34"/>
      <c r="T1674" s="34"/>
      <c r="U1674" s="34"/>
      <c r="V1674" s="34"/>
      <c r="W1674" s="34"/>
      <c r="X1674" s="34"/>
      <c r="Y1674" s="34"/>
      <c r="Z1674" s="34"/>
      <c r="AA1674" s="34"/>
    </row>
    <row r="1675" spans="1:27" ht="15">
      <c r="A1675" s="66" t="s">
        <v>240</v>
      </c>
      <c r="B1675" s="66" t="s">
        <v>259</v>
      </c>
      <c r="C1675" s="67" t="s">
        <v>4454</v>
      </c>
      <c r="D1675" s="68">
        <v>5</v>
      </c>
      <c r="E1675" s="69"/>
      <c r="F1675" s="70">
        <v>20</v>
      </c>
      <c r="G1675" s="67"/>
      <c r="H1675" s="71"/>
      <c r="I1675" s="72"/>
      <c r="J1675" s="72"/>
      <c r="K1675" s="34" t="s">
        <v>65</v>
      </c>
      <c r="L1675" s="79">
        <v>1675</v>
      </c>
      <c r="M1675" s="79"/>
      <c r="N1675" s="74"/>
      <c r="O1675" s="81" t="s">
        <v>944</v>
      </c>
      <c r="P1675">
        <v>1</v>
      </c>
      <c r="Q1675" s="80" t="str">
        <f>REPLACE(INDEX(GroupVertices[Group],MATCH(Edges[[#This Row],[Vertex 1]],GroupVertices[Vertex],0)),1,1,"")</f>
        <v>2</v>
      </c>
      <c r="R1675" s="80" t="str">
        <f>REPLACE(INDEX(GroupVertices[Group],MATCH(Edges[[#This Row],[Vertex 2]],GroupVertices[Vertex],0)),1,1,"")</f>
        <v>2</v>
      </c>
      <c r="S1675" s="34"/>
      <c r="T1675" s="34"/>
      <c r="U1675" s="34"/>
      <c r="V1675" s="34"/>
      <c r="W1675" s="34"/>
      <c r="X1675" s="34"/>
      <c r="Y1675" s="34"/>
      <c r="Z1675" s="34"/>
      <c r="AA1675" s="34"/>
    </row>
    <row r="1676" spans="1:27" ht="15">
      <c r="A1676" s="66" t="s">
        <v>240</v>
      </c>
      <c r="B1676" s="66" t="s">
        <v>253</v>
      </c>
      <c r="C1676" s="67" t="s">
        <v>4454</v>
      </c>
      <c r="D1676" s="68">
        <v>5</v>
      </c>
      <c r="E1676" s="69"/>
      <c r="F1676" s="70">
        <v>20</v>
      </c>
      <c r="G1676" s="67"/>
      <c r="H1676" s="71"/>
      <c r="I1676" s="72"/>
      <c r="J1676" s="72"/>
      <c r="K1676" s="34" t="s">
        <v>65</v>
      </c>
      <c r="L1676" s="79">
        <v>1676</v>
      </c>
      <c r="M1676" s="79"/>
      <c r="N1676" s="74"/>
      <c r="O1676" s="81" t="s">
        <v>944</v>
      </c>
      <c r="P1676">
        <v>1</v>
      </c>
      <c r="Q1676" s="80" t="str">
        <f>REPLACE(INDEX(GroupVertices[Group],MATCH(Edges[[#This Row],[Vertex 1]],GroupVertices[Vertex],0)),1,1,"")</f>
        <v>2</v>
      </c>
      <c r="R1676" s="80" t="str">
        <f>REPLACE(INDEX(GroupVertices[Group],MATCH(Edges[[#This Row],[Vertex 2]],GroupVertices[Vertex],0)),1,1,"")</f>
        <v>1</v>
      </c>
      <c r="S1676" s="34"/>
      <c r="T1676" s="34"/>
      <c r="U1676" s="34"/>
      <c r="V1676" s="34"/>
      <c r="W1676" s="34"/>
      <c r="X1676" s="34"/>
      <c r="Y1676" s="34"/>
      <c r="Z1676" s="34"/>
      <c r="AA1676" s="34"/>
    </row>
    <row r="1677" spans="1:27" ht="15">
      <c r="A1677" s="66" t="s">
        <v>240</v>
      </c>
      <c r="B1677" s="66" t="s">
        <v>512</v>
      </c>
      <c r="C1677" s="67" t="s">
        <v>4454</v>
      </c>
      <c r="D1677" s="68">
        <v>5</v>
      </c>
      <c r="E1677" s="69"/>
      <c r="F1677" s="70">
        <v>20</v>
      </c>
      <c r="G1677" s="67"/>
      <c r="H1677" s="71"/>
      <c r="I1677" s="72"/>
      <c r="J1677" s="72"/>
      <c r="K1677" s="34" t="s">
        <v>65</v>
      </c>
      <c r="L1677" s="79">
        <v>1677</v>
      </c>
      <c r="M1677" s="79"/>
      <c r="N1677" s="74"/>
      <c r="O1677" s="81" t="s">
        <v>944</v>
      </c>
      <c r="P1677">
        <v>1</v>
      </c>
      <c r="Q1677" s="80" t="str">
        <f>REPLACE(INDEX(GroupVertices[Group],MATCH(Edges[[#This Row],[Vertex 1]],GroupVertices[Vertex],0)),1,1,"")</f>
        <v>2</v>
      </c>
      <c r="R1677" s="80" t="str">
        <f>REPLACE(INDEX(GroupVertices[Group],MATCH(Edges[[#This Row],[Vertex 2]],GroupVertices[Vertex],0)),1,1,"")</f>
        <v>2</v>
      </c>
      <c r="S1677" s="34"/>
      <c r="T1677" s="34"/>
      <c r="U1677" s="34"/>
      <c r="V1677" s="34"/>
      <c r="W1677" s="34"/>
      <c r="X1677" s="34"/>
      <c r="Y1677" s="34"/>
      <c r="Z1677" s="34"/>
      <c r="AA1677" s="34"/>
    </row>
    <row r="1678" spans="1:27" ht="15">
      <c r="A1678" s="66" t="s">
        <v>240</v>
      </c>
      <c r="B1678" s="66" t="s">
        <v>887</v>
      </c>
      <c r="C1678" s="67" t="s">
        <v>4454</v>
      </c>
      <c r="D1678" s="68">
        <v>5</v>
      </c>
      <c r="E1678" s="69"/>
      <c r="F1678" s="70">
        <v>20</v>
      </c>
      <c r="G1678" s="67"/>
      <c r="H1678" s="71"/>
      <c r="I1678" s="72"/>
      <c r="J1678" s="72"/>
      <c r="K1678" s="34" t="s">
        <v>65</v>
      </c>
      <c r="L1678" s="79">
        <v>1678</v>
      </c>
      <c r="M1678" s="79"/>
      <c r="N1678" s="74"/>
      <c r="O1678" s="81" t="s">
        <v>944</v>
      </c>
      <c r="P1678">
        <v>1</v>
      </c>
      <c r="Q1678" s="80" t="str">
        <f>REPLACE(INDEX(GroupVertices[Group],MATCH(Edges[[#This Row],[Vertex 1]],GroupVertices[Vertex],0)),1,1,"")</f>
        <v>2</v>
      </c>
      <c r="R1678" s="80" t="str">
        <f>REPLACE(INDEX(GroupVertices[Group],MATCH(Edges[[#This Row],[Vertex 2]],GroupVertices[Vertex],0)),1,1,"")</f>
        <v>2</v>
      </c>
      <c r="S1678" s="34"/>
      <c r="T1678" s="34"/>
      <c r="U1678" s="34"/>
      <c r="V1678" s="34"/>
      <c r="W1678" s="34"/>
      <c r="X1678" s="34"/>
      <c r="Y1678" s="34"/>
      <c r="Z1678" s="34"/>
      <c r="AA1678" s="34"/>
    </row>
    <row r="1679" spans="1:27" ht="15">
      <c r="A1679" s="66" t="s">
        <v>240</v>
      </c>
      <c r="B1679" s="66" t="s">
        <v>221</v>
      </c>
      <c r="C1679" s="67" t="s">
        <v>4454</v>
      </c>
      <c r="D1679" s="68">
        <v>5</v>
      </c>
      <c r="E1679" s="69"/>
      <c r="F1679" s="70">
        <v>20</v>
      </c>
      <c r="G1679" s="67"/>
      <c r="H1679" s="71"/>
      <c r="I1679" s="72"/>
      <c r="J1679" s="72"/>
      <c r="K1679" s="34" t="s">
        <v>66</v>
      </c>
      <c r="L1679" s="79">
        <v>1679</v>
      </c>
      <c r="M1679" s="79"/>
      <c r="N1679" s="74"/>
      <c r="O1679" s="81" t="s">
        <v>944</v>
      </c>
      <c r="P1679">
        <v>1</v>
      </c>
      <c r="Q1679" s="80" t="str">
        <f>REPLACE(INDEX(GroupVertices[Group],MATCH(Edges[[#This Row],[Vertex 1]],GroupVertices[Vertex],0)),1,1,"")</f>
        <v>2</v>
      </c>
      <c r="R1679" s="80" t="str">
        <f>REPLACE(INDEX(GroupVertices[Group],MATCH(Edges[[#This Row],[Vertex 2]],GroupVertices[Vertex],0)),1,1,"")</f>
        <v>2</v>
      </c>
      <c r="S1679" s="34"/>
      <c r="T1679" s="34"/>
      <c r="U1679" s="34"/>
      <c r="V1679" s="34"/>
      <c r="W1679" s="34"/>
      <c r="X1679" s="34"/>
      <c r="Y1679" s="34"/>
      <c r="Z1679" s="34"/>
      <c r="AA1679" s="34"/>
    </row>
    <row r="1680" spans="1:27" ht="15">
      <c r="A1680" s="66" t="s">
        <v>240</v>
      </c>
      <c r="B1680" s="66" t="s">
        <v>888</v>
      </c>
      <c r="C1680" s="67" t="s">
        <v>4454</v>
      </c>
      <c r="D1680" s="68">
        <v>5</v>
      </c>
      <c r="E1680" s="69"/>
      <c r="F1680" s="70">
        <v>20</v>
      </c>
      <c r="G1680" s="67"/>
      <c r="H1680" s="71"/>
      <c r="I1680" s="72"/>
      <c r="J1680" s="72"/>
      <c r="K1680" s="34" t="s">
        <v>65</v>
      </c>
      <c r="L1680" s="79">
        <v>1680</v>
      </c>
      <c r="M1680" s="79"/>
      <c r="N1680" s="74"/>
      <c r="O1680" s="81" t="s">
        <v>944</v>
      </c>
      <c r="P1680">
        <v>1</v>
      </c>
      <c r="Q1680" s="80" t="str">
        <f>REPLACE(INDEX(GroupVertices[Group],MATCH(Edges[[#This Row],[Vertex 1]],GroupVertices[Vertex],0)),1,1,"")</f>
        <v>2</v>
      </c>
      <c r="R1680" s="80" t="str">
        <f>REPLACE(INDEX(GroupVertices[Group],MATCH(Edges[[#This Row],[Vertex 2]],GroupVertices[Vertex],0)),1,1,"")</f>
        <v>4</v>
      </c>
      <c r="S1680" s="34"/>
      <c r="T1680" s="34"/>
      <c r="U1680" s="34"/>
      <c r="V1680" s="34"/>
      <c r="W1680" s="34"/>
      <c r="X1680" s="34"/>
      <c r="Y1680" s="34"/>
      <c r="Z1680" s="34"/>
      <c r="AA1680" s="34"/>
    </row>
    <row r="1681" spans="1:27" ht="15">
      <c r="A1681" s="66" t="s">
        <v>240</v>
      </c>
      <c r="B1681" s="66" t="s">
        <v>261</v>
      </c>
      <c r="C1681" s="67" t="s">
        <v>4454</v>
      </c>
      <c r="D1681" s="68">
        <v>5</v>
      </c>
      <c r="E1681" s="69"/>
      <c r="F1681" s="70">
        <v>20</v>
      </c>
      <c r="G1681" s="67"/>
      <c r="H1681" s="71"/>
      <c r="I1681" s="72"/>
      <c r="J1681" s="72"/>
      <c r="K1681" s="34" t="s">
        <v>65</v>
      </c>
      <c r="L1681" s="79">
        <v>1681</v>
      </c>
      <c r="M1681" s="79"/>
      <c r="N1681" s="74"/>
      <c r="O1681" s="81" t="s">
        <v>944</v>
      </c>
      <c r="P1681">
        <v>1</v>
      </c>
      <c r="Q1681" s="80" t="str">
        <f>REPLACE(INDEX(GroupVertices[Group],MATCH(Edges[[#This Row],[Vertex 1]],GroupVertices[Vertex],0)),1,1,"")</f>
        <v>2</v>
      </c>
      <c r="R1681" s="80" t="str">
        <f>REPLACE(INDEX(GroupVertices[Group],MATCH(Edges[[#This Row],[Vertex 2]],GroupVertices[Vertex],0)),1,1,"")</f>
        <v>1</v>
      </c>
      <c r="S1681" s="34"/>
      <c r="T1681" s="34"/>
      <c r="U1681" s="34"/>
      <c r="V1681" s="34"/>
      <c r="W1681" s="34"/>
      <c r="X1681" s="34"/>
      <c r="Y1681" s="34"/>
      <c r="Z1681" s="34"/>
      <c r="AA1681" s="34"/>
    </row>
    <row r="1682" spans="1:27" ht="15">
      <c r="A1682" s="66" t="s">
        <v>240</v>
      </c>
      <c r="B1682" s="66" t="s">
        <v>250</v>
      </c>
      <c r="C1682" s="67" t="s">
        <v>4454</v>
      </c>
      <c r="D1682" s="68">
        <v>5</v>
      </c>
      <c r="E1682" s="69"/>
      <c r="F1682" s="70">
        <v>20</v>
      </c>
      <c r="G1682" s="67"/>
      <c r="H1682" s="71"/>
      <c r="I1682" s="72"/>
      <c r="J1682" s="72"/>
      <c r="K1682" s="34" t="s">
        <v>66</v>
      </c>
      <c r="L1682" s="79">
        <v>1682</v>
      </c>
      <c r="M1682" s="79"/>
      <c r="N1682" s="74"/>
      <c r="O1682" s="81" t="s">
        <v>944</v>
      </c>
      <c r="P1682">
        <v>1</v>
      </c>
      <c r="Q1682" s="80" t="str">
        <f>REPLACE(INDEX(GroupVertices[Group],MATCH(Edges[[#This Row],[Vertex 1]],GroupVertices[Vertex],0)),1,1,"")</f>
        <v>2</v>
      </c>
      <c r="R1682" s="80" t="str">
        <f>REPLACE(INDEX(GroupVertices[Group],MATCH(Edges[[#This Row],[Vertex 2]],GroupVertices[Vertex],0)),1,1,"")</f>
        <v>2</v>
      </c>
      <c r="S1682" s="34"/>
      <c r="T1682" s="34"/>
      <c r="U1682" s="34"/>
      <c r="V1682" s="34"/>
      <c r="W1682" s="34"/>
      <c r="X1682" s="34"/>
      <c r="Y1682" s="34"/>
      <c r="Z1682" s="34"/>
      <c r="AA1682" s="34"/>
    </row>
    <row r="1683" spans="1:27" ht="15">
      <c r="A1683" s="66" t="s">
        <v>240</v>
      </c>
      <c r="B1683" s="66" t="s">
        <v>254</v>
      </c>
      <c r="C1683" s="67" t="s">
        <v>4454</v>
      </c>
      <c r="D1683" s="68">
        <v>5</v>
      </c>
      <c r="E1683" s="69"/>
      <c r="F1683" s="70">
        <v>20</v>
      </c>
      <c r="G1683" s="67"/>
      <c r="H1683" s="71"/>
      <c r="I1683" s="72"/>
      <c r="J1683" s="72"/>
      <c r="K1683" s="34" t="s">
        <v>65</v>
      </c>
      <c r="L1683" s="79">
        <v>1683</v>
      </c>
      <c r="M1683" s="79"/>
      <c r="N1683" s="74"/>
      <c r="O1683" s="81" t="s">
        <v>944</v>
      </c>
      <c r="P1683">
        <v>1</v>
      </c>
      <c r="Q1683" s="80" t="str">
        <f>REPLACE(INDEX(GroupVertices[Group],MATCH(Edges[[#This Row],[Vertex 1]],GroupVertices[Vertex],0)),1,1,"")</f>
        <v>2</v>
      </c>
      <c r="R1683" s="80" t="str">
        <f>REPLACE(INDEX(GroupVertices[Group],MATCH(Edges[[#This Row],[Vertex 2]],GroupVertices[Vertex],0)),1,1,"")</f>
        <v>3</v>
      </c>
      <c r="S1683" s="34"/>
      <c r="T1683" s="34"/>
      <c r="U1683" s="34"/>
      <c r="V1683" s="34"/>
      <c r="W1683" s="34"/>
      <c r="X1683" s="34"/>
      <c r="Y1683" s="34"/>
      <c r="Z1683" s="34"/>
      <c r="AA1683" s="34"/>
    </row>
    <row r="1684" spans="1:27" ht="15">
      <c r="A1684" s="66" t="s">
        <v>240</v>
      </c>
      <c r="B1684" s="66" t="s">
        <v>258</v>
      </c>
      <c r="C1684" s="67" t="s">
        <v>4454</v>
      </c>
      <c r="D1684" s="68">
        <v>5</v>
      </c>
      <c r="E1684" s="69"/>
      <c r="F1684" s="70">
        <v>20</v>
      </c>
      <c r="G1684" s="67"/>
      <c r="H1684" s="71"/>
      <c r="I1684" s="72"/>
      <c r="J1684" s="72"/>
      <c r="K1684" s="34" t="s">
        <v>66</v>
      </c>
      <c r="L1684" s="79">
        <v>1684</v>
      </c>
      <c r="M1684" s="79"/>
      <c r="N1684" s="74"/>
      <c r="O1684" s="81" t="s">
        <v>944</v>
      </c>
      <c r="P1684">
        <v>1</v>
      </c>
      <c r="Q1684" s="80" t="str">
        <f>REPLACE(INDEX(GroupVertices[Group],MATCH(Edges[[#This Row],[Vertex 1]],GroupVertices[Vertex],0)),1,1,"")</f>
        <v>2</v>
      </c>
      <c r="R1684" s="80" t="str">
        <f>REPLACE(INDEX(GroupVertices[Group],MATCH(Edges[[#This Row],[Vertex 2]],GroupVertices[Vertex],0)),1,1,"")</f>
        <v>1</v>
      </c>
      <c r="S1684" s="34"/>
      <c r="T1684" s="34"/>
      <c r="U1684" s="34"/>
      <c r="V1684" s="34"/>
      <c r="W1684" s="34"/>
      <c r="X1684" s="34"/>
      <c r="Y1684" s="34"/>
      <c r="Z1684" s="34"/>
      <c r="AA1684" s="34"/>
    </row>
    <row r="1685" spans="1:27" ht="15">
      <c r="A1685" s="66" t="s">
        <v>240</v>
      </c>
      <c r="B1685" s="66" t="s">
        <v>889</v>
      </c>
      <c r="C1685" s="67" t="s">
        <v>4454</v>
      </c>
      <c r="D1685" s="68">
        <v>5</v>
      </c>
      <c r="E1685" s="69"/>
      <c r="F1685" s="70">
        <v>20</v>
      </c>
      <c r="G1685" s="67"/>
      <c r="H1685" s="71"/>
      <c r="I1685" s="72"/>
      <c r="J1685" s="72"/>
      <c r="K1685" s="34" t="s">
        <v>65</v>
      </c>
      <c r="L1685" s="79">
        <v>1685</v>
      </c>
      <c r="M1685" s="79"/>
      <c r="N1685" s="74"/>
      <c r="O1685" s="81" t="s">
        <v>944</v>
      </c>
      <c r="P1685">
        <v>1</v>
      </c>
      <c r="Q1685" s="80" t="str">
        <f>REPLACE(INDEX(GroupVertices[Group],MATCH(Edges[[#This Row],[Vertex 1]],GroupVertices[Vertex],0)),1,1,"")</f>
        <v>2</v>
      </c>
      <c r="R1685" s="80" t="str">
        <f>REPLACE(INDEX(GroupVertices[Group],MATCH(Edges[[#This Row],[Vertex 2]],GroupVertices[Vertex],0)),1,1,"")</f>
        <v>2</v>
      </c>
      <c r="S1685" s="34"/>
      <c r="T1685" s="34"/>
      <c r="U1685" s="34"/>
      <c r="V1685" s="34"/>
      <c r="W1685" s="34"/>
      <c r="X1685" s="34"/>
      <c r="Y1685" s="34"/>
      <c r="Z1685" s="34"/>
      <c r="AA1685" s="34"/>
    </row>
    <row r="1686" spans="1:27" ht="15">
      <c r="A1686" s="66" t="s">
        <v>240</v>
      </c>
      <c r="B1686" s="66" t="s">
        <v>220</v>
      </c>
      <c r="C1686" s="67" t="s">
        <v>4454</v>
      </c>
      <c r="D1686" s="68">
        <v>5</v>
      </c>
      <c r="E1686" s="69"/>
      <c r="F1686" s="70">
        <v>20</v>
      </c>
      <c r="G1686" s="67"/>
      <c r="H1686" s="71"/>
      <c r="I1686" s="72"/>
      <c r="J1686" s="72"/>
      <c r="K1686" s="34" t="s">
        <v>66</v>
      </c>
      <c r="L1686" s="79">
        <v>1686</v>
      </c>
      <c r="M1686" s="79"/>
      <c r="N1686" s="74"/>
      <c r="O1686" s="81" t="s">
        <v>944</v>
      </c>
      <c r="P1686">
        <v>1</v>
      </c>
      <c r="Q1686" s="80" t="str">
        <f>REPLACE(INDEX(GroupVertices[Group],MATCH(Edges[[#This Row],[Vertex 1]],GroupVertices[Vertex],0)),1,1,"")</f>
        <v>2</v>
      </c>
      <c r="R1686" s="80" t="str">
        <f>REPLACE(INDEX(GroupVertices[Group],MATCH(Edges[[#This Row],[Vertex 2]],GroupVertices[Vertex],0)),1,1,"")</f>
        <v>2</v>
      </c>
      <c r="S1686" s="34"/>
      <c r="T1686" s="34"/>
      <c r="U1686" s="34"/>
      <c r="V1686" s="34"/>
      <c r="W1686" s="34"/>
      <c r="X1686" s="34"/>
      <c r="Y1686" s="34"/>
      <c r="Z1686" s="34"/>
      <c r="AA1686" s="34"/>
    </row>
    <row r="1687" spans="1:27" ht="15">
      <c r="A1687" s="66" t="s">
        <v>240</v>
      </c>
      <c r="B1687" s="66" t="s">
        <v>238</v>
      </c>
      <c r="C1687" s="67" t="s">
        <v>4454</v>
      </c>
      <c r="D1687" s="68">
        <v>5</v>
      </c>
      <c r="E1687" s="69"/>
      <c r="F1687" s="70">
        <v>20</v>
      </c>
      <c r="G1687" s="67"/>
      <c r="H1687" s="71"/>
      <c r="I1687" s="72"/>
      <c r="J1687" s="72"/>
      <c r="K1687" s="34" t="s">
        <v>66</v>
      </c>
      <c r="L1687" s="79">
        <v>1687</v>
      </c>
      <c r="M1687" s="79"/>
      <c r="N1687" s="74"/>
      <c r="O1687" s="81" t="s">
        <v>944</v>
      </c>
      <c r="P1687">
        <v>1</v>
      </c>
      <c r="Q1687" s="80" t="str">
        <f>REPLACE(INDEX(GroupVertices[Group],MATCH(Edges[[#This Row],[Vertex 1]],GroupVertices[Vertex],0)),1,1,"")</f>
        <v>2</v>
      </c>
      <c r="R1687" s="80" t="str">
        <f>REPLACE(INDEX(GroupVertices[Group],MATCH(Edges[[#This Row],[Vertex 2]],GroupVertices[Vertex],0)),1,1,"")</f>
        <v>2</v>
      </c>
      <c r="S1687" s="34"/>
      <c r="T1687" s="34"/>
      <c r="U1687" s="34"/>
      <c r="V1687" s="34"/>
      <c r="W1687" s="34"/>
      <c r="X1687" s="34"/>
      <c r="Y1687" s="34"/>
      <c r="Z1687" s="34"/>
      <c r="AA1687" s="34"/>
    </row>
    <row r="1688" spans="1:27" ht="15">
      <c r="A1688" s="66" t="s">
        <v>241</v>
      </c>
      <c r="B1688" s="66" t="s">
        <v>240</v>
      </c>
      <c r="C1688" s="67" t="s">
        <v>4454</v>
      </c>
      <c r="D1688" s="68">
        <v>5</v>
      </c>
      <c r="E1688" s="69"/>
      <c r="F1688" s="70">
        <v>20</v>
      </c>
      <c r="G1688" s="67"/>
      <c r="H1688" s="71"/>
      <c r="I1688" s="72"/>
      <c r="J1688" s="72"/>
      <c r="K1688" s="34" t="s">
        <v>66</v>
      </c>
      <c r="L1688" s="79">
        <v>1688</v>
      </c>
      <c r="M1688" s="79"/>
      <c r="N1688" s="74"/>
      <c r="O1688" s="81" t="s">
        <v>944</v>
      </c>
      <c r="P1688">
        <v>1</v>
      </c>
      <c r="Q1688" s="80" t="str">
        <f>REPLACE(INDEX(GroupVertices[Group],MATCH(Edges[[#This Row],[Vertex 1]],GroupVertices[Vertex],0)),1,1,"")</f>
        <v>2</v>
      </c>
      <c r="R1688" s="80" t="str">
        <f>REPLACE(INDEX(GroupVertices[Group],MATCH(Edges[[#This Row],[Vertex 2]],GroupVertices[Vertex],0)),1,1,"")</f>
        <v>2</v>
      </c>
      <c r="S1688" s="34"/>
      <c r="T1688" s="34"/>
      <c r="U1688" s="34"/>
      <c r="V1688" s="34"/>
      <c r="W1688" s="34"/>
      <c r="X1688" s="34"/>
      <c r="Y1688" s="34"/>
      <c r="Z1688" s="34"/>
      <c r="AA1688" s="34"/>
    </row>
    <row r="1689" spans="1:27" ht="15">
      <c r="A1689" s="66" t="s">
        <v>242</v>
      </c>
      <c r="B1689" s="66" t="s">
        <v>240</v>
      </c>
      <c r="C1689" s="67" t="s">
        <v>4454</v>
      </c>
      <c r="D1689" s="68">
        <v>5</v>
      </c>
      <c r="E1689" s="69"/>
      <c r="F1689" s="70">
        <v>20</v>
      </c>
      <c r="G1689" s="67"/>
      <c r="H1689" s="71"/>
      <c r="I1689" s="72"/>
      <c r="J1689" s="72"/>
      <c r="K1689" s="34" t="s">
        <v>66</v>
      </c>
      <c r="L1689" s="79">
        <v>1689</v>
      </c>
      <c r="M1689" s="79"/>
      <c r="N1689" s="74"/>
      <c r="O1689" s="81" t="s">
        <v>944</v>
      </c>
      <c r="P1689">
        <v>1</v>
      </c>
      <c r="Q1689" s="80" t="str">
        <f>REPLACE(INDEX(GroupVertices[Group],MATCH(Edges[[#This Row],[Vertex 1]],GroupVertices[Vertex],0)),1,1,"")</f>
        <v>1</v>
      </c>
      <c r="R1689" s="80" t="str">
        <f>REPLACE(INDEX(GroupVertices[Group],MATCH(Edges[[#This Row],[Vertex 2]],GroupVertices[Vertex],0)),1,1,"")</f>
        <v>2</v>
      </c>
      <c r="S1689" s="34"/>
      <c r="T1689" s="34"/>
      <c r="U1689" s="34"/>
      <c r="V1689" s="34"/>
      <c r="W1689" s="34"/>
      <c r="X1689" s="34"/>
      <c r="Y1689" s="34"/>
      <c r="Z1689" s="34"/>
      <c r="AA1689" s="34"/>
    </row>
    <row r="1690" spans="1:27" ht="15">
      <c r="A1690" s="66" t="s">
        <v>243</v>
      </c>
      <c r="B1690" s="66" t="s">
        <v>240</v>
      </c>
      <c r="C1690" s="67" t="s">
        <v>4454</v>
      </c>
      <c r="D1690" s="68">
        <v>5</v>
      </c>
      <c r="E1690" s="69"/>
      <c r="F1690" s="70">
        <v>20</v>
      </c>
      <c r="G1690" s="67"/>
      <c r="H1690" s="71"/>
      <c r="I1690" s="72"/>
      <c r="J1690" s="72"/>
      <c r="K1690" s="34" t="s">
        <v>66</v>
      </c>
      <c r="L1690" s="79">
        <v>1690</v>
      </c>
      <c r="M1690" s="79"/>
      <c r="N1690" s="74"/>
      <c r="O1690" s="81" t="s">
        <v>944</v>
      </c>
      <c r="P1690">
        <v>1</v>
      </c>
      <c r="Q1690" s="80" t="str">
        <f>REPLACE(INDEX(GroupVertices[Group],MATCH(Edges[[#This Row],[Vertex 1]],GroupVertices[Vertex],0)),1,1,"")</f>
        <v>2</v>
      </c>
      <c r="R1690" s="80" t="str">
        <f>REPLACE(INDEX(GroupVertices[Group],MATCH(Edges[[#This Row],[Vertex 2]],GroupVertices[Vertex],0)),1,1,"")</f>
        <v>2</v>
      </c>
      <c r="S1690" s="34"/>
      <c r="T1690" s="34"/>
      <c r="U1690" s="34"/>
      <c r="V1690" s="34"/>
      <c r="W1690" s="34"/>
      <c r="X1690" s="34"/>
      <c r="Y1690" s="34"/>
      <c r="Z1690" s="34"/>
      <c r="AA1690" s="34"/>
    </row>
    <row r="1691" spans="1:27" ht="15">
      <c r="A1691" s="66" t="s">
        <v>246</v>
      </c>
      <c r="B1691" s="66" t="s">
        <v>240</v>
      </c>
      <c r="C1691" s="67" t="s">
        <v>4454</v>
      </c>
      <c r="D1691" s="68">
        <v>5</v>
      </c>
      <c r="E1691" s="69"/>
      <c r="F1691" s="70">
        <v>20</v>
      </c>
      <c r="G1691" s="67"/>
      <c r="H1691" s="71"/>
      <c r="I1691" s="72"/>
      <c r="J1691" s="72"/>
      <c r="K1691" s="34" t="s">
        <v>66</v>
      </c>
      <c r="L1691" s="79">
        <v>1691</v>
      </c>
      <c r="M1691" s="79"/>
      <c r="N1691" s="74"/>
      <c r="O1691" s="81" t="s">
        <v>944</v>
      </c>
      <c r="P1691">
        <v>1</v>
      </c>
      <c r="Q1691" s="80" t="str">
        <f>REPLACE(INDEX(GroupVertices[Group],MATCH(Edges[[#This Row],[Vertex 1]],GroupVertices[Vertex],0)),1,1,"")</f>
        <v>2</v>
      </c>
      <c r="R1691" s="80" t="str">
        <f>REPLACE(INDEX(GroupVertices[Group],MATCH(Edges[[#This Row],[Vertex 2]],GroupVertices[Vertex],0)),1,1,"")</f>
        <v>2</v>
      </c>
      <c r="S1691" s="34"/>
      <c r="T1691" s="34"/>
      <c r="U1691" s="34"/>
      <c r="V1691" s="34"/>
      <c r="W1691" s="34"/>
      <c r="X1691" s="34"/>
      <c r="Y1691" s="34"/>
      <c r="Z1691" s="34"/>
      <c r="AA1691" s="34"/>
    </row>
    <row r="1692" spans="1:27" ht="15">
      <c r="A1692" s="66" t="s">
        <v>249</v>
      </c>
      <c r="B1692" s="66" t="s">
        <v>240</v>
      </c>
      <c r="C1692" s="67" t="s">
        <v>4454</v>
      </c>
      <c r="D1692" s="68">
        <v>5</v>
      </c>
      <c r="E1692" s="69"/>
      <c r="F1692" s="70">
        <v>20</v>
      </c>
      <c r="G1692" s="67"/>
      <c r="H1692" s="71"/>
      <c r="I1692" s="72"/>
      <c r="J1692" s="72"/>
      <c r="K1692" s="34" t="s">
        <v>66</v>
      </c>
      <c r="L1692" s="79">
        <v>1692</v>
      </c>
      <c r="M1692" s="79"/>
      <c r="N1692" s="74"/>
      <c r="O1692" s="81" t="s">
        <v>944</v>
      </c>
      <c r="P1692">
        <v>1</v>
      </c>
      <c r="Q1692" s="80" t="str">
        <f>REPLACE(INDEX(GroupVertices[Group],MATCH(Edges[[#This Row],[Vertex 1]],GroupVertices[Vertex],0)),1,1,"")</f>
        <v>2</v>
      </c>
      <c r="R1692" s="80" t="str">
        <f>REPLACE(INDEX(GroupVertices[Group],MATCH(Edges[[#This Row],[Vertex 2]],GroupVertices[Vertex],0)),1,1,"")</f>
        <v>2</v>
      </c>
      <c r="S1692" s="34"/>
      <c r="T1692" s="34"/>
      <c r="U1692" s="34"/>
      <c r="V1692" s="34"/>
      <c r="W1692" s="34"/>
      <c r="X1692" s="34"/>
      <c r="Y1692" s="34"/>
      <c r="Z1692" s="34"/>
      <c r="AA1692" s="34"/>
    </row>
    <row r="1693" spans="1:27" ht="15">
      <c r="A1693" s="66" t="s">
        <v>250</v>
      </c>
      <c r="B1693" s="66" t="s">
        <v>240</v>
      </c>
      <c r="C1693" s="67" t="s">
        <v>4454</v>
      </c>
      <c r="D1693" s="68">
        <v>5</v>
      </c>
      <c r="E1693" s="69"/>
      <c r="F1693" s="70">
        <v>20</v>
      </c>
      <c r="G1693" s="67"/>
      <c r="H1693" s="71"/>
      <c r="I1693" s="72"/>
      <c r="J1693" s="72"/>
      <c r="K1693" s="34" t="s">
        <v>66</v>
      </c>
      <c r="L1693" s="79">
        <v>1693</v>
      </c>
      <c r="M1693" s="79"/>
      <c r="N1693" s="74"/>
      <c r="O1693" s="81" t="s">
        <v>944</v>
      </c>
      <c r="P1693">
        <v>1</v>
      </c>
      <c r="Q1693" s="80" t="str">
        <f>REPLACE(INDEX(GroupVertices[Group],MATCH(Edges[[#This Row],[Vertex 1]],GroupVertices[Vertex],0)),1,1,"")</f>
        <v>2</v>
      </c>
      <c r="R1693" s="80" t="str">
        <f>REPLACE(INDEX(GroupVertices[Group],MATCH(Edges[[#This Row],[Vertex 2]],GroupVertices[Vertex],0)),1,1,"")</f>
        <v>2</v>
      </c>
      <c r="S1693" s="34"/>
      <c r="T1693" s="34"/>
      <c r="U1693" s="34"/>
      <c r="V1693" s="34"/>
      <c r="W1693" s="34"/>
      <c r="X1693" s="34"/>
      <c r="Y1693" s="34"/>
      <c r="Z1693" s="34"/>
      <c r="AA1693" s="34"/>
    </row>
    <row r="1694" spans="1:27" ht="15">
      <c r="A1694" s="66" t="s">
        <v>255</v>
      </c>
      <c r="B1694" s="66" t="s">
        <v>240</v>
      </c>
      <c r="C1694" s="67" t="s">
        <v>4454</v>
      </c>
      <c r="D1694" s="68">
        <v>5</v>
      </c>
      <c r="E1694" s="69"/>
      <c r="F1694" s="70">
        <v>20</v>
      </c>
      <c r="G1694" s="67"/>
      <c r="H1694" s="71"/>
      <c r="I1694" s="72"/>
      <c r="J1694" s="72"/>
      <c r="K1694" s="34" t="s">
        <v>66</v>
      </c>
      <c r="L1694" s="79">
        <v>1694</v>
      </c>
      <c r="M1694" s="79"/>
      <c r="N1694" s="74"/>
      <c r="O1694" s="81" t="s">
        <v>944</v>
      </c>
      <c r="P1694">
        <v>1</v>
      </c>
      <c r="Q1694" s="80" t="str">
        <f>REPLACE(INDEX(GroupVertices[Group],MATCH(Edges[[#This Row],[Vertex 1]],GroupVertices[Vertex],0)),1,1,"")</f>
        <v>4</v>
      </c>
      <c r="R1694" s="80" t="str">
        <f>REPLACE(INDEX(GroupVertices[Group],MATCH(Edges[[#This Row],[Vertex 2]],GroupVertices[Vertex],0)),1,1,"")</f>
        <v>2</v>
      </c>
      <c r="S1694" s="34"/>
      <c r="T1694" s="34"/>
      <c r="U1694" s="34"/>
      <c r="V1694" s="34"/>
      <c r="W1694" s="34"/>
      <c r="X1694" s="34"/>
      <c r="Y1694" s="34"/>
      <c r="Z1694" s="34"/>
      <c r="AA1694" s="34"/>
    </row>
    <row r="1695" spans="1:27" ht="15">
      <c r="A1695" s="66" t="s">
        <v>256</v>
      </c>
      <c r="B1695" s="66" t="s">
        <v>240</v>
      </c>
      <c r="C1695" s="67" t="s">
        <v>4454</v>
      </c>
      <c r="D1695" s="68">
        <v>5</v>
      </c>
      <c r="E1695" s="69"/>
      <c r="F1695" s="70">
        <v>20</v>
      </c>
      <c r="G1695" s="67"/>
      <c r="H1695" s="71"/>
      <c r="I1695" s="72"/>
      <c r="J1695" s="72"/>
      <c r="K1695" s="34" t="s">
        <v>66</v>
      </c>
      <c r="L1695" s="79">
        <v>1695</v>
      </c>
      <c r="M1695" s="79"/>
      <c r="N1695" s="74"/>
      <c r="O1695" s="81" t="s">
        <v>944</v>
      </c>
      <c r="P1695">
        <v>1</v>
      </c>
      <c r="Q1695" s="80" t="str">
        <f>REPLACE(INDEX(GroupVertices[Group],MATCH(Edges[[#This Row],[Vertex 1]],GroupVertices[Vertex],0)),1,1,"")</f>
        <v>1</v>
      </c>
      <c r="R1695" s="80" t="str">
        <f>REPLACE(INDEX(GroupVertices[Group],MATCH(Edges[[#This Row],[Vertex 2]],GroupVertices[Vertex],0)),1,1,"")</f>
        <v>2</v>
      </c>
      <c r="S1695" s="34"/>
      <c r="T1695" s="34"/>
      <c r="U1695" s="34"/>
      <c r="V1695" s="34"/>
      <c r="W1695" s="34"/>
      <c r="X1695" s="34"/>
      <c r="Y1695" s="34"/>
      <c r="Z1695" s="34"/>
      <c r="AA1695" s="34"/>
    </row>
    <row r="1696" spans="1:27" ht="15">
      <c r="A1696" s="66" t="s">
        <v>258</v>
      </c>
      <c r="B1696" s="66" t="s">
        <v>240</v>
      </c>
      <c r="C1696" s="67" t="s">
        <v>4454</v>
      </c>
      <c r="D1696" s="68">
        <v>5</v>
      </c>
      <c r="E1696" s="69"/>
      <c r="F1696" s="70">
        <v>20</v>
      </c>
      <c r="G1696" s="67"/>
      <c r="H1696" s="71"/>
      <c r="I1696" s="72"/>
      <c r="J1696" s="72"/>
      <c r="K1696" s="34" t="s">
        <v>66</v>
      </c>
      <c r="L1696" s="79">
        <v>1696</v>
      </c>
      <c r="M1696" s="79"/>
      <c r="N1696" s="74"/>
      <c r="O1696" s="81" t="s">
        <v>944</v>
      </c>
      <c r="P1696">
        <v>1</v>
      </c>
      <c r="Q1696" s="80" t="str">
        <f>REPLACE(INDEX(GroupVertices[Group],MATCH(Edges[[#This Row],[Vertex 1]],GroupVertices[Vertex],0)),1,1,"")</f>
        <v>1</v>
      </c>
      <c r="R1696" s="80" t="str">
        <f>REPLACE(INDEX(GroupVertices[Group],MATCH(Edges[[#This Row],[Vertex 2]],GroupVertices[Vertex],0)),1,1,"")</f>
        <v>2</v>
      </c>
      <c r="S1696" s="34"/>
      <c r="T1696" s="34"/>
      <c r="U1696" s="34"/>
      <c r="V1696" s="34"/>
      <c r="W1696" s="34"/>
      <c r="X1696" s="34"/>
      <c r="Y1696" s="34"/>
      <c r="Z1696" s="34"/>
      <c r="AA1696" s="34"/>
    </row>
    <row r="1697" spans="1:27" ht="15">
      <c r="A1697" s="66" t="s">
        <v>258</v>
      </c>
      <c r="B1697" s="66" t="s">
        <v>890</v>
      </c>
      <c r="C1697" s="67" t="s">
        <v>4454</v>
      </c>
      <c r="D1697" s="68">
        <v>5</v>
      </c>
      <c r="E1697" s="69"/>
      <c r="F1697" s="70">
        <v>20</v>
      </c>
      <c r="G1697" s="67"/>
      <c r="H1697" s="71"/>
      <c r="I1697" s="72"/>
      <c r="J1697" s="72"/>
      <c r="K1697" s="34"/>
      <c r="L1697" s="79">
        <v>1697</v>
      </c>
      <c r="M1697" s="79"/>
      <c r="N1697" s="74"/>
      <c r="O1697" s="81" t="s">
        <v>944</v>
      </c>
      <c r="P1697">
        <v>1</v>
      </c>
      <c r="Q1697" s="80" t="str">
        <f>REPLACE(INDEX(GroupVertices[Group],MATCH(Edges[[#This Row],[Vertex 1]],GroupVertices[Vertex],0)),1,1,"")</f>
        <v>1</v>
      </c>
      <c r="R1697" s="80" t="e">
        <f>REPLACE(INDEX(GroupVertices[Group],MATCH(Edges[[#This Row],[Vertex 2]],GroupVertices[Vertex],0)),1,1,"")</f>
        <v>#N/A</v>
      </c>
      <c r="S1697" s="34"/>
      <c r="T1697" s="34"/>
      <c r="U1697" s="34"/>
      <c r="V1697" s="34"/>
      <c r="W1697" s="34"/>
      <c r="X1697" s="34"/>
      <c r="Y1697" s="34"/>
      <c r="Z1697" s="34"/>
      <c r="AA1697" s="34"/>
    </row>
    <row r="1698" spans="1:27" ht="15">
      <c r="A1698" s="66" t="s">
        <v>248</v>
      </c>
      <c r="B1698" s="66" t="s">
        <v>891</v>
      </c>
      <c r="C1698" s="67" t="s">
        <v>4454</v>
      </c>
      <c r="D1698" s="68">
        <v>5</v>
      </c>
      <c r="E1698" s="69"/>
      <c r="F1698" s="70">
        <v>20</v>
      </c>
      <c r="G1698" s="67"/>
      <c r="H1698" s="71"/>
      <c r="I1698" s="72"/>
      <c r="J1698" s="72"/>
      <c r="K1698" s="34" t="s">
        <v>65</v>
      </c>
      <c r="L1698" s="79">
        <v>1698</v>
      </c>
      <c r="M1698" s="79"/>
      <c r="N1698" s="74"/>
      <c r="O1698" s="81" t="s">
        <v>944</v>
      </c>
      <c r="P1698">
        <v>1</v>
      </c>
      <c r="Q1698" s="80" t="str">
        <f>REPLACE(INDEX(GroupVertices[Group],MATCH(Edges[[#This Row],[Vertex 1]],GroupVertices[Vertex],0)),1,1,"")</f>
        <v>1</v>
      </c>
      <c r="R1698" s="80" t="str">
        <f>REPLACE(INDEX(GroupVertices[Group],MATCH(Edges[[#This Row],[Vertex 2]],GroupVertices[Vertex],0)),1,1,"")</f>
        <v>1</v>
      </c>
      <c r="S1698" s="34"/>
      <c r="T1698" s="34"/>
      <c r="U1698" s="34"/>
      <c r="V1698" s="34"/>
      <c r="W1698" s="34"/>
      <c r="X1698" s="34"/>
      <c r="Y1698" s="34"/>
      <c r="Z1698" s="34"/>
      <c r="AA1698" s="34"/>
    </row>
    <row r="1699" spans="1:27" ht="15">
      <c r="A1699" s="66" t="s">
        <v>252</v>
      </c>
      <c r="B1699" s="66" t="s">
        <v>891</v>
      </c>
      <c r="C1699" s="67" t="s">
        <v>4454</v>
      </c>
      <c r="D1699" s="68">
        <v>5</v>
      </c>
      <c r="E1699" s="69"/>
      <c r="F1699" s="70">
        <v>20</v>
      </c>
      <c r="G1699" s="67"/>
      <c r="H1699" s="71"/>
      <c r="I1699" s="72"/>
      <c r="J1699" s="72"/>
      <c r="K1699" s="34" t="s">
        <v>65</v>
      </c>
      <c r="L1699" s="79">
        <v>1699</v>
      </c>
      <c r="M1699" s="79"/>
      <c r="N1699" s="74"/>
      <c r="O1699" s="81" t="s">
        <v>944</v>
      </c>
      <c r="P1699">
        <v>1</v>
      </c>
      <c r="Q1699" s="80" t="str">
        <f>REPLACE(INDEX(GroupVertices[Group],MATCH(Edges[[#This Row],[Vertex 1]],GroupVertices[Vertex],0)),1,1,"")</f>
        <v>1</v>
      </c>
      <c r="R1699" s="80" t="str">
        <f>REPLACE(INDEX(GroupVertices[Group],MATCH(Edges[[#This Row],[Vertex 2]],GroupVertices[Vertex],0)),1,1,"")</f>
        <v>1</v>
      </c>
      <c r="S1699" s="34"/>
      <c r="T1699" s="34"/>
      <c r="U1699" s="34"/>
      <c r="V1699" s="34"/>
      <c r="W1699" s="34"/>
      <c r="X1699" s="34"/>
      <c r="Y1699" s="34"/>
      <c r="Z1699" s="34"/>
      <c r="AA1699" s="34"/>
    </row>
    <row r="1700" spans="1:27" ht="15">
      <c r="A1700" s="66" t="s">
        <v>255</v>
      </c>
      <c r="B1700" s="66" t="s">
        <v>891</v>
      </c>
      <c r="C1700" s="67" t="s">
        <v>4454</v>
      </c>
      <c r="D1700" s="68">
        <v>5</v>
      </c>
      <c r="E1700" s="69"/>
      <c r="F1700" s="70">
        <v>20</v>
      </c>
      <c r="G1700" s="67"/>
      <c r="H1700" s="71"/>
      <c r="I1700" s="72"/>
      <c r="J1700" s="72"/>
      <c r="K1700" s="34" t="s">
        <v>65</v>
      </c>
      <c r="L1700" s="79">
        <v>1700</v>
      </c>
      <c r="M1700" s="79"/>
      <c r="N1700" s="74"/>
      <c r="O1700" s="81" t="s">
        <v>944</v>
      </c>
      <c r="P1700">
        <v>1</v>
      </c>
      <c r="Q1700" s="80" t="str">
        <f>REPLACE(INDEX(GroupVertices[Group],MATCH(Edges[[#This Row],[Vertex 1]],GroupVertices[Vertex],0)),1,1,"")</f>
        <v>4</v>
      </c>
      <c r="R1700" s="80" t="str">
        <f>REPLACE(INDEX(GroupVertices[Group],MATCH(Edges[[#This Row],[Vertex 2]],GroupVertices[Vertex],0)),1,1,"")</f>
        <v>1</v>
      </c>
      <c r="S1700" s="34"/>
      <c r="T1700" s="34"/>
      <c r="U1700" s="34"/>
      <c r="V1700" s="34"/>
      <c r="W1700" s="34"/>
      <c r="X1700" s="34"/>
      <c r="Y1700" s="34"/>
      <c r="Z1700" s="34"/>
      <c r="AA1700" s="34"/>
    </row>
    <row r="1701" spans="1:27" ht="15">
      <c r="A1701" s="66" t="s">
        <v>258</v>
      </c>
      <c r="B1701" s="66" t="s">
        <v>891</v>
      </c>
      <c r="C1701" s="67" t="s">
        <v>4454</v>
      </c>
      <c r="D1701" s="68">
        <v>5</v>
      </c>
      <c r="E1701" s="69"/>
      <c r="F1701" s="70">
        <v>20</v>
      </c>
      <c r="G1701" s="67"/>
      <c r="H1701" s="71"/>
      <c r="I1701" s="72"/>
      <c r="J1701" s="72"/>
      <c r="K1701" s="34" t="s">
        <v>65</v>
      </c>
      <c r="L1701" s="79">
        <v>1701</v>
      </c>
      <c r="M1701" s="79"/>
      <c r="N1701" s="74"/>
      <c r="O1701" s="81" t="s">
        <v>944</v>
      </c>
      <c r="P1701">
        <v>1</v>
      </c>
      <c r="Q1701" s="80" t="str">
        <f>REPLACE(INDEX(GroupVertices[Group],MATCH(Edges[[#This Row],[Vertex 1]],GroupVertices[Vertex],0)),1,1,"")</f>
        <v>1</v>
      </c>
      <c r="R1701" s="80" t="str">
        <f>REPLACE(INDEX(GroupVertices[Group],MATCH(Edges[[#This Row],[Vertex 2]],GroupVertices[Vertex],0)),1,1,"")</f>
        <v>1</v>
      </c>
      <c r="S1701" s="34"/>
      <c r="T1701" s="34"/>
      <c r="U1701" s="34"/>
      <c r="V1701" s="34"/>
      <c r="W1701" s="34"/>
      <c r="X1701" s="34"/>
      <c r="Y1701" s="34"/>
      <c r="Z1701" s="34"/>
      <c r="AA1701" s="34"/>
    </row>
    <row r="1702" spans="1:27" ht="15">
      <c r="A1702" s="66" t="s">
        <v>220</v>
      </c>
      <c r="B1702" s="66" t="s">
        <v>243</v>
      </c>
      <c r="C1702" s="67" t="s">
        <v>4454</v>
      </c>
      <c r="D1702" s="68">
        <v>5</v>
      </c>
      <c r="E1702" s="69"/>
      <c r="F1702" s="70">
        <v>20</v>
      </c>
      <c r="G1702" s="67"/>
      <c r="H1702" s="71"/>
      <c r="I1702" s="72"/>
      <c r="J1702" s="72"/>
      <c r="K1702" s="34" t="s">
        <v>66</v>
      </c>
      <c r="L1702" s="79">
        <v>1702</v>
      </c>
      <c r="M1702" s="79"/>
      <c r="N1702" s="74"/>
      <c r="O1702" s="81" t="s">
        <v>944</v>
      </c>
      <c r="P1702">
        <v>1</v>
      </c>
      <c r="Q1702" s="80" t="str">
        <f>REPLACE(INDEX(GroupVertices[Group],MATCH(Edges[[#This Row],[Vertex 1]],GroupVertices[Vertex],0)),1,1,"")</f>
        <v>2</v>
      </c>
      <c r="R1702" s="80" t="str">
        <f>REPLACE(INDEX(GroupVertices[Group],MATCH(Edges[[#This Row],[Vertex 2]],GroupVertices[Vertex],0)),1,1,"")</f>
        <v>2</v>
      </c>
      <c r="S1702" s="34"/>
      <c r="T1702" s="34"/>
      <c r="U1702" s="34"/>
      <c r="V1702" s="34"/>
      <c r="W1702" s="34"/>
      <c r="X1702" s="34"/>
      <c r="Y1702" s="34"/>
      <c r="Z1702" s="34"/>
      <c r="AA1702" s="34"/>
    </row>
    <row r="1703" spans="1:27" ht="15">
      <c r="A1703" s="66" t="s">
        <v>221</v>
      </c>
      <c r="B1703" s="66" t="s">
        <v>243</v>
      </c>
      <c r="C1703" s="67" t="s">
        <v>4454</v>
      </c>
      <c r="D1703" s="68">
        <v>5</v>
      </c>
      <c r="E1703" s="69"/>
      <c r="F1703" s="70">
        <v>20</v>
      </c>
      <c r="G1703" s="67"/>
      <c r="H1703" s="71"/>
      <c r="I1703" s="72"/>
      <c r="J1703" s="72"/>
      <c r="K1703" s="34" t="s">
        <v>65</v>
      </c>
      <c r="L1703" s="79">
        <v>1703</v>
      </c>
      <c r="M1703" s="79"/>
      <c r="N1703" s="74"/>
      <c r="O1703" s="81" t="s">
        <v>944</v>
      </c>
      <c r="P1703">
        <v>1</v>
      </c>
      <c r="Q1703" s="80" t="str">
        <f>REPLACE(INDEX(GroupVertices[Group],MATCH(Edges[[#This Row],[Vertex 1]],GroupVertices[Vertex],0)),1,1,"")</f>
        <v>2</v>
      </c>
      <c r="R1703" s="80" t="str">
        <f>REPLACE(INDEX(GroupVertices[Group],MATCH(Edges[[#This Row],[Vertex 2]],GroupVertices[Vertex],0)),1,1,"")</f>
        <v>2</v>
      </c>
      <c r="S1703" s="34"/>
      <c r="T1703" s="34"/>
      <c r="U1703" s="34"/>
      <c r="V1703" s="34"/>
      <c r="W1703" s="34"/>
      <c r="X1703" s="34"/>
      <c r="Y1703" s="34"/>
      <c r="Z1703" s="34"/>
      <c r="AA1703" s="34"/>
    </row>
    <row r="1704" spans="1:27" ht="15">
      <c r="A1704" s="66" t="s">
        <v>224</v>
      </c>
      <c r="B1704" s="66" t="s">
        <v>243</v>
      </c>
      <c r="C1704" s="67" t="s">
        <v>4454</v>
      </c>
      <c r="D1704" s="68">
        <v>5</v>
      </c>
      <c r="E1704" s="69"/>
      <c r="F1704" s="70">
        <v>20</v>
      </c>
      <c r="G1704" s="67"/>
      <c r="H1704" s="71"/>
      <c r="I1704" s="72"/>
      <c r="J1704" s="72"/>
      <c r="K1704" s="34" t="s">
        <v>66</v>
      </c>
      <c r="L1704" s="79">
        <v>1704</v>
      </c>
      <c r="M1704" s="79"/>
      <c r="N1704" s="74"/>
      <c r="O1704" s="81" t="s">
        <v>944</v>
      </c>
      <c r="P1704">
        <v>1</v>
      </c>
      <c r="Q1704" s="80" t="str">
        <f>REPLACE(INDEX(GroupVertices[Group],MATCH(Edges[[#This Row],[Vertex 1]],GroupVertices[Vertex],0)),1,1,"")</f>
        <v>2</v>
      </c>
      <c r="R1704" s="80" t="str">
        <f>REPLACE(INDEX(GroupVertices[Group],MATCH(Edges[[#This Row],[Vertex 2]],GroupVertices[Vertex],0)),1,1,"")</f>
        <v>2</v>
      </c>
      <c r="S1704" s="34"/>
      <c r="T1704" s="34"/>
      <c r="U1704" s="34"/>
      <c r="V1704" s="34"/>
      <c r="W1704" s="34"/>
      <c r="X1704" s="34"/>
      <c r="Y1704" s="34"/>
      <c r="Z1704" s="34"/>
      <c r="AA1704" s="34"/>
    </row>
    <row r="1705" spans="1:27" ht="15">
      <c r="A1705" s="66" t="s">
        <v>233</v>
      </c>
      <c r="B1705" s="66" t="s">
        <v>243</v>
      </c>
      <c r="C1705" s="67" t="s">
        <v>4454</v>
      </c>
      <c r="D1705" s="68">
        <v>5</v>
      </c>
      <c r="E1705" s="69"/>
      <c r="F1705" s="70">
        <v>20</v>
      </c>
      <c r="G1705" s="67"/>
      <c r="H1705" s="71"/>
      <c r="I1705" s="72"/>
      <c r="J1705" s="72"/>
      <c r="K1705" s="34" t="s">
        <v>66</v>
      </c>
      <c r="L1705" s="79">
        <v>1705</v>
      </c>
      <c r="M1705" s="79"/>
      <c r="N1705" s="74"/>
      <c r="O1705" s="81" t="s">
        <v>944</v>
      </c>
      <c r="P1705">
        <v>1</v>
      </c>
      <c r="Q1705" s="80" t="str">
        <f>REPLACE(INDEX(GroupVertices[Group],MATCH(Edges[[#This Row],[Vertex 1]],GroupVertices[Vertex],0)),1,1,"")</f>
        <v>2</v>
      </c>
      <c r="R1705" s="80" t="str">
        <f>REPLACE(INDEX(GroupVertices[Group],MATCH(Edges[[#This Row],[Vertex 2]],GroupVertices[Vertex],0)),1,1,"")</f>
        <v>2</v>
      </c>
      <c r="S1705" s="34"/>
      <c r="T1705" s="34"/>
      <c r="U1705" s="34"/>
      <c r="V1705" s="34"/>
      <c r="W1705" s="34"/>
      <c r="X1705" s="34"/>
      <c r="Y1705" s="34"/>
      <c r="Z1705" s="34"/>
      <c r="AA1705" s="34"/>
    </row>
    <row r="1706" spans="1:27" ht="15">
      <c r="A1706" s="66" t="s">
        <v>238</v>
      </c>
      <c r="B1706" s="66" t="s">
        <v>243</v>
      </c>
      <c r="C1706" s="67" t="s">
        <v>4454</v>
      </c>
      <c r="D1706" s="68">
        <v>5</v>
      </c>
      <c r="E1706" s="69"/>
      <c r="F1706" s="70">
        <v>20</v>
      </c>
      <c r="G1706" s="67"/>
      <c r="H1706" s="71"/>
      <c r="I1706" s="72"/>
      <c r="J1706" s="72"/>
      <c r="K1706" s="34" t="s">
        <v>66</v>
      </c>
      <c r="L1706" s="79">
        <v>1706</v>
      </c>
      <c r="M1706" s="79"/>
      <c r="N1706" s="74"/>
      <c r="O1706" s="81" t="s">
        <v>944</v>
      </c>
      <c r="P1706">
        <v>1</v>
      </c>
      <c r="Q1706" s="80" t="str">
        <f>REPLACE(INDEX(GroupVertices[Group],MATCH(Edges[[#This Row],[Vertex 1]],GroupVertices[Vertex],0)),1,1,"")</f>
        <v>2</v>
      </c>
      <c r="R1706" s="80" t="str">
        <f>REPLACE(INDEX(GroupVertices[Group],MATCH(Edges[[#This Row],[Vertex 2]],GroupVertices[Vertex],0)),1,1,"")</f>
        <v>2</v>
      </c>
      <c r="S1706" s="34"/>
      <c r="T1706" s="34"/>
      <c r="U1706" s="34"/>
      <c r="V1706" s="34"/>
      <c r="W1706" s="34"/>
      <c r="X1706" s="34"/>
      <c r="Y1706" s="34"/>
      <c r="Z1706" s="34"/>
      <c r="AA1706" s="34"/>
    </row>
    <row r="1707" spans="1:27" ht="15">
      <c r="A1707" s="66" t="s">
        <v>241</v>
      </c>
      <c r="B1707" s="66" t="s">
        <v>243</v>
      </c>
      <c r="C1707" s="67" t="s">
        <v>4454</v>
      </c>
      <c r="D1707" s="68">
        <v>5</v>
      </c>
      <c r="E1707" s="69"/>
      <c r="F1707" s="70">
        <v>20</v>
      </c>
      <c r="G1707" s="67"/>
      <c r="H1707" s="71"/>
      <c r="I1707" s="72"/>
      <c r="J1707" s="72"/>
      <c r="K1707" s="34" t="s">
        <v>66</v>
      </c>
      <c r="L1707" s="79">
        <v>1707</v>
      </c>
      <c r="M1707" s="79"/>
      <c r="N1707" s="74"/>
      <c r="O1707" s="81" t="s">
        <v>944</v>
      </c>
      <c r="P1707">
        <v>1</v>
      </c>
      <c r="Q1707" s="80" t="str">
        <f>REPLACE(INDEX(GroupVertices[Group],MATCH(Edges[[#This Row],[Vertex 1]],GroupVertices[Vertex],0)),1,1,"")</f>
        <v>2</v>
      </c>
      <c r="R1707" s="80" t="str">
        <f>REPLACE(INDEX(GroupVertices[Group],MATCH(Edges[[#This Row],[Vertex 2]],GroupVertices[Vertex],0)),1,1,"")</f>
        <v>2</v>
      </c>
      <c r="S1707" s="34"/>
      <c r="T1707" s="34"/>
      <c r="U1707" s="34"/>
      <c r="V1707" s="34"/>
      <c r="W1707" s="34"/>
      <c r="X1707" s="34"/>
      <c r="Y1707" s="34"/>
      <c r="Z1707" s="34"/>
      <c r="AA1707" s="34"/>
    </row>
    <row r="1708" spans="1:27" ht="15">
      <c r="A1708" s="66" t="s">
        <v>242</v>
      </c>
      <c r="B1708" s="66" t="s">
        <v>243</v>
      </c>
      <c r="C1708" s="67" t="s">
        <v>4454</v>
      </c>
      <c r="D1708" s="68">
        <v>5</v>
      </c>
      <c r="E1708" s="69"/>
      <c r="F1708" s="70">
        <v>20</v>
      </c>
      <c r="G1708" s="67"/>
      <c r="H1708" s="71"/>
      <c r="I1708" s="72"/>
      <c r="J1708" s="72"/>
      <c r="K1708" s="34" t="s">
        <v>66</v>
      </c>
      <c r="L1708" s="79">
        <v>1708</v>
      </c>
      <c r="M1708" s="79"/>
      <c r="N1708" s="74"/>
      <c r="O1708" s="81" t="s">
        <v>944</v>
      </c>
      <c r="P1708">
        <v>1</v>
      </c>
      <c r="Q1708" s="80" t="str">
        <f>REPLACE(INDEX(GroupVertices[Group],MATCH(Edges[[#This Row],[Vertex 1]],GroupVertices[Vertex],0)),1,1,"")</f>
        <v>1</v>
      </c>
      <c r="R1708" s="80" t="str">
        <f>REPLACE(INDEX(GroupVertices[Group],MATCH(Edges[[#This Row],[Vertex 2]],GroupVertices[Vertex],0)),1,1,"")</f>
        <v>2</v>
      </c>
      <c r="S1708" s="34"/>
      <c r="T1708" s="34"/>
      <c r="U1708" s="34"/>
      <c r="V1708" s="34"/>
      <c r="W1708" s="34"/>
      <c r="X1708" s="34"/>
      <c r="Y1708" s="34"/>
      <c r="Z1708" s="34"/>
      <c r="AA1708" s="34"/>
    </row>
    <row r="1709" spans="1:27" ht="15">
      <c r="A1709" s="66" t="s">
        <v>243</v>
      </c>
      <c r="B1709" s="66" t="s">
        <v>246</v>
      </c>
      <c r="C1709" s="67" t="s">
        <v>4454</v>
      </c>
      <c r="D1709" s="68">
        <v>5</v>
      </c>
      <c r="E1709" s="69"/>
      <c r="F1709" s="70">
        <v>20</v>
      </c>
      <c r="G1709" s="67"/>
      <c r="H1709" s="71"/>
      <c r="I1709" s="72"/>
      <c r="J1709" s="72"/>
      <c r="K1709" s="34" t="s">
        <v>66</v>
      </c>
      <c r="L1709" s="79">
        <v>1709</v>
      </c>
      <c r="M1709" s="79"/>
      <c r="N1709" s="74"/>
      <c r="O1709" s="81" t="s">
        <v>944</v>
      </c>
      <c r="P1709">
        <v>1</v>
      </c>
      <c r="Q1709" s="80" t="str">
        <f>REPLACE(INDEX(GroupVertices[Group],MATCH(Edges[[#This Row],[Vertex 1]],GroupVertices[Vertex],0)),1,1,"")</f>
        <v>2</v>
      </c>
      <c r="R1709" s="80" t="str">
        <f>REPLACE(INDEX(GroupVertices[Group],MATCH(Edges[[#This Row],[Vertex 2]],GroupVertices[Vertex],0)),1,1,"")</f>
        <v>2</v>
      </c>
      <c r="S1709" s="34"/>
      <c r="T1709" s="34"/>
      <c r="U1709" s="34"/>
      <c r="V1709" s="34"/>
      <c r="W1709" s="34"/>
      <c r="X1709" s="34"/>
      <c r="Y1709" s="34"/>
      <c r="Z1709" s="34"/>
      <c r="AA1709" s="34"/>
    </row>
    <row r="1710" spans="1:27" ht="15">
      <c r="A1710" s="66" t="s">
        <v>243</v>
      </c>
      <c r="B1710" s="66" t="s">
        <v>260</v>
      </c>
      <c r="C1710" s="67" t="s">
        <v>4454</v>
      </c>
      <c r="D1710" s="68">
        <v>5</v>
      </c>
      <c r="E1710" s="69"/>
      <c r="F1710" s="70">
        <v>20</v>
      </c>
      <c r="G1710" s="67"/>
      <c r="H1710" s="71"/>
      <c r="I1710" s="72"/>
      <c r="J1710" s="72"/>
      <c r="K1710" s="34" t="s">
        <v>65</v>
      </c>
      <c r="L1710" s="79">
        <v>1710</v>
      </c>
      <c r="M1710" s="79"/>
      <c r="N1710" s="74"/>
      <c r="O1710" s="81" t="s">
        <v>944</v>
      </c>
      <c r="P1710">
        <v>1</v>
      </c>
      <c r="Q1710" s="80" t="str">
        <f>REPLACE(INDEX(GroupVertices[Group],MATCH(Edges[[#This Row],[Vertex 1]],GroupVertices[Vertex],0)),1,1,"")</f>
        <v>2</v>
      </c>
      <c r="R1710" s="80" t="str">
        <f>REPLACE(INDEX(GroupVertices[Group],MATCH(Edges[[#This Row],[Vertex 2]],GroupVertices[Vertex],0)),1,1,"")</f>
        <v>2</v>
      </c>
      <c r="S1710" s="34"/>
      <c r="T1710" s="34"/>
      <c r="U1710" s="34"/>
      <c r="V1710" s="34"/>
      <c r="W1710" s="34"/>
      <c r="X1710" s="34"/>
      <c r="Y1710" s="34"/>
      <c r="Z1710" s="34"/>
      <c r="AA1710" s="34"/>
    </row>
    <row r="1711" spans="1:27" ht="15">
      <c r="A1711" s="66" t="s">
        <v>243</v>
      </c>
      <c r="B1711" s="66" t="s">
        <v>480</v>
      </c>
      <c r="C1711" s="67" t="s">
        <v>4454</v>
      </c>
      <c r="D1711" s="68">
        <v>5</v>
      </c>
      <c r="E1711" s="69"/>
      <c r="F1711" s="70">
        <v>20</v>
      </c>
      <c r="G1711" s="67"/>
      <c r="H1711" s="71"/>
      <c r="I1711" s="72"/>
      <c r="J1711" s="72"/>
      <c r="K1711" s="34" t="s">
        <v>65</v>
      </c>
      <c r="L1711" s="79">
        <v>1711</v>
      </c>
      <c r="M1711" s="79"/>
      <c r="N1711" s="74"/>
      <c r="O1711" s="81" t="s">
        <v>944</v>
      </c>
      <c r="P1711">
        <v>1</v>
      </c>
      <c r="Q1711" s="80" t="str">
        <f>REPLACE(INDEX(GroupVertices[Group],MATCH(Edges[[#This Row],[Vertex 1]],GroupVertices[Vertex],0)),1,1,"")</f>
        <v>2</v>
      </c>
      <c r="R1711" s="80" t="str">
        <f>REPLACE(INDEX(GroupVertices[Group],MATCH(Edges[[#This Row],[Vertex 2]],GroupVertices[Vertex],0)),1,1,"")</f>
        <v>1</v>
      </c>
      <c r="S1711" s="34"/>
      <c r="T1711" s="34"/>
      <c r="U1711" s="34"/>
      <c r="V1711" s="34"/>
      <c r="W1711" s="34"/>
      <c r="X1711" s="34"/>
      <c r="Y1711" s="34"/>
      <c r="Z1711" s="34"/>
      <c r="AA1711" s="34"/>
    </row>
    <row r="1712" spans="1:27" ht="15">
      <c r="A1712" s="66" t="s">
        <v>243</v>
      </c>
      <c r="B1712" s="66" t="s">
        <v>226</v>
      </c>
      <c r="C1712" s="67" t="s">
        <v>4454</v>
      </c>
      <c r="D1712" s="68">
        <v>5</v>
      </c>
      <c r="E1712" s="69"/>
      <c r="F1712" s="70">
        <v>20</v>
      </c>
      <c r="G1712" s="67"/>
      <c r="H1712" s="71"/>
      <c r="I1712" s="72"/>
      <c r="J1712" s="72"/>
      <c r="K1712" s="34" t="s">
        <v>65</v>
      </c>
      <c r="L1712" s="79">
        <v>1712</v>
      </c>
      <c r="M1712" s="79"/>
      <c r="N1712" s="74"/>
      <c r="O1712" s="81" t="s">
        <v>944</v>
      </c>
      <c r="P1712">
        <v>1</v>
      </c>
      <c r="Q1712" s="80" t="str">
        <f>REPLACE(INDEX(GroupVertices[Group],MATCH(Edges[[#This Row],[Vertex 1]],GroupVertices[Vertex],0)),1,1,"")</f>
        <v>2</v>
      </c>
      <c r="R1712" s="80" t="str">
        <f>REPLACE(INDEX(GroupVertices[Group],MATCH(Edges[[#This Row],[Vertex 2]],GroupVertices[Vertex],0)),1,1,"")</f>
        <v>4</v>
      </c>
      <c r="S1712" s="34"/>
      <c r="T1712" s="34"/>
      <c r="U1712" s="34"/>
      <c r="V1712" s="34"/>
      <c r="W1712" s="34"/>
      <c r="X1712" s="34"/>
      <c r="Y1712" s="34"/>
      <c r="Z1712" s="34"/>
      <c r="AA1712" s="34"/>
    </row>
    <row r="1713" spans="1:27" ht="15">
      <c r="A1713" s="66" t="s">
        <v>243</v>
      </c>
      <c r="B1713" s="66" t="s">
        <v>242</v>
      </c>
      <c r="C1713" s="67" t="s">
        <v>4454</v>
      </c>
      <c r="D1713" s="68">
        <v>5</v>
      </c>
      <c r="E1713" s="69"/>
      <c r="F1713" s="70">
        <v>20</v>
      </c>
      <c r="G1713" s="67"/>
      <c r="H1713" s="71"/>
      <c r="I1713" s="72"/>
      <c r="J1713" s="72"/>
      <c r="K1713" s="34" t="s">
        <v>66</v>
      </c>
      <c r="L1713" s="79">
        <v>1713</v>
      </c>
      <c r="M1713" s="79"/>
      <c r="N1713" s="74"/>
      <c r="O1713" s="81" t="s">
        <v>944</v>
      </c>
      <c r="P1713">
        <v>1</v>
      </c>
      <c r="Q1713" s="80" t="str">
        <f>REPLACE(INDEX(GroupVertices[Group],MATCH(Edges[[#This Row],[Vertex 1]],GroupVertices[Vertex],0)),1,1,"")</f>
        <v>2</v>
      </c>
      <c r="R1713" s="80" t="str">
        <f>REPLACE(INDEX(GroupVertices[Group],MATCH(Edges[[#This Row],[Vertex 2]],GroupVertices[Vertex],0)),1,1,"")</f>
        <v>1</v>
      </c>
      <c r="S1713" s="34"/>
      <c r="T1713" s="34"/>
      <c r="U1713" s="34"/>
      <c r="V1713" s="34"/>
      <c r="W1713" s="34"/>
      <c r="X1713" s="34"/>
      <c r="Y1713" s="34"/>
      <c r="Z1713" s="34"/>
      <c r="AA1713" s="34"/>
    </row>
    <row r="1714" spans="1:27" ht="15">
      <c r="A1714" s="66" t="s">
        <v>243</v>
      </c>
      <c r="B1714" s="66" t="s">
        <v>231</v>
      </c>
      <c r="C1714" s="67" t="s">
        <v>4454</v>
      </c>
      <c r="D1714" s="68">
        <v>5</v>
      </c>
      <c r="E1714" s="69"/>
      <c r="F1714" s="70">
        <v>20</v>
      </c>
      <c r="G1714" s="67"/>
      <c r="H1714" s="71"/>
      <c r="I1714" s="72"/>
      <c r="J1714" s="72"/>
      <c r="K1714" s="34" t="s">
        <v>65</v>
      </c>
      <c r="L1714" s="79">
        <v>1714</v>
      </c>
      <c r="M1714" s="79"/>
      <c r="N1714" s="74"/>
      <c r="O1714" s="81" t="s">
        <v>944</v>
      </c>
      <c r="P1714">
        <v>1</v>
      </c>
      <c r="Q1714" s="80" t="str">
        <f>REPLACE(INDEX(GroupVertices[Group],MATCH(Edges[[#This Row],[Vertex 1]],GroupVertices[Vertex],0)),1,1,"")</f>
        <v>2</v>
      </c>
      <c r="R1714" s="80" t="str">
        <f>REPLACE(INDEX(GroupVertices[Group],MATCH(Edges[[#This Row],[Vertex 2]],GroupVertices[Vertex],0)),1,1,"")</f>
        <v>1</v>
      </c>
      <c r="S1714" s="34"/>
      <c r="T1714" s="34"/>
      <c r="U1714" s="34"/>
      <c r="V1714" s="34"/>
      <c r="W1714" s="34"/>
      <c r="X1714" s="34"/>
      <c r="Y1714" s="34"/>
      <c r="Z1714" s="34"/>
      <c r="AA1714" s="34"/>
    </row>
    <row r="1715" spans="1:27" ht="15">
      <c r="A1715" s="66" t="s">
        <v>243</v>
      </c>
      <c r="B1715" s="66" t="s">
        <v>256</v>
      </c>
      <c r="C1715" s="67" t="s">
        <v>4454</v>
      </c>
      <c r="D1715" s="68">
        <v>5</v>
      </c>
      <c r="E1715" s="69"/>
      <c r="F1715" s="70">
        <v>20</v>
      </c>
      <c r="G1715" s="67"/>
      <c r="H1715" s="71"/>
      <c r="I1715" s="72"/>
      <c r="J1715" s="72"/>
      <c r="K1715" s="34" t="s">
        <v>66</v>
      </c>
      <c r="L1715" s="79">
        <v>1715</v>
      </c>
      <c r="M1715" s="79"/>
      <c r="N1715" s="74"/>
      <c r="O1715" s="81" t="s">
        <v>944</v>
      </c>
      <c r="P1715">
        <v>1</v>
      </c>
      <c r="Q1715" s="80" t="str">
        <f>REPLACE(INDEX(GroupVertices[Group],MATCH(Edges[[#This Row],[Vertex 1]],GroupVertices[Vertex],0)),1,1,"")</f>
        <v>2</v>
      </c>
      <c r="R1715" s="80" t="str">
        <f>REPLACE(INDEX(GroupVertices[Group],MATCH(Edges[[#This Row],[Vertex 2]],GroupVertices[Vertex],0)),1,1,"")</f>
        <v>1</v>
      </c>
      <c r="S1715" s="34"/>
      <c r="T1715" s="34"/>
      <c r="U1715" s="34"/>
      <c r="V1715" s="34"/>
      <c r="W1715" s="34"/>
      <c r="X1715" s="34"/>
      <c r="Y1715" s="34"/>
      <c r="Z1715" s="34"/>
      <c r="AA1715" s="34"/>
    </row>
    <row r="1716" spans="1:27" ht="15">
      <c r="A1716" s="66" t="s">
        <v>243</v>
      </c>
      <c r="B1716" s="66" t="s">
        <v>877</v>
      </c>
      <c r="C1716" s="67" t="s">
        <v>4454</v>
      </c>
      <c r="D1716" s="68">
        <v>5</v>
      </c>
      <c r="E1716" s="69"/>
      <c r="F1716" s="70">
        <v>20</v>
      </c>
      <c r="G1716" s="67"/>
      <c r="H1716" s="71"/>
      <c r="I1716" s="72"/>
      <c r="J1716" s="72"/>
      <c r="K1716" s="34" t="s">
        <v>65</v>
      </c>
      <c r="L1716" s="79">
        <v>1716</v>
      </c>
      <c r="M1716" s="79"/>
      <c r="N1716" s="74"/>
      <c r="O1716" s="81" t="s">
        <v>944</v>
      </c>
      <c r="P1716">
        <v>1</v>
      </c>
      <c r="Q1716" s="80" t="str">
        <f>REPLACE(INDEX(GroupVertices[Group],MATCH(Edges[[#This Row],[Vertex 1]],GroupVertices[Vertex],0)),1,1,"")</f>
        <v>2</v>
      </c>
      <c r="R1716" s="80" t="str">
        <f>REPLACE(INDEX(GroupVertices[Group],MATCH(Edges[[#This Row],[Vertex 2]],GroupVertices[Vertex],0)),1,1,"")</f>
        <v>2</v>
      </c>
      <c r="S1716" s="34"/>
      <c r="T1716" s="34"/>
      <c r="U1716" s="34"/>
      <c r="V1716" s="34"/>
      <c r="W1716" s="34"/>
      <c r="X1716" s="34"/>
      <c r="Y1716" s="34"/>
      <c r="Z1716" s="34"/>
      <c r="AA1716" s="34"/>
    </row>
    <row r="1717" spans="1:27" ht="15">
      <c r="A1717" s="66" t="s">
        <v>243</v>
      </c>
      <c r="B1717" s="66" t="s">
        <v>247</v>
      </c>
      <c r="C1717" s="67" t="s">
        <v>4454</v>
      </c>
      <c r="D1717" s="68">
        <v>5</v>
      </c>
      <c r="E1717" s="69"/>
      <c r="F1717" s="70">
        <v>20</v>
      </c>
      <c r="G1717" s="67"/>
      <c r="H1717" s="71"/>
      <c r="I1717" s="72"/>
      <c r="J1717" s="72"/>
      <c r="K1717" s="34" t="s">
        <v>66</v>
      </c>
      <c r="L1717" s="79">
        <v>1717</v>
      </c>
      <c r="M1717" s="79"/>
      <c r="N1717" s="74"/>
      <c r="O1717" s="81" t="s">
        <v>944</v>
      </c>
      <c r="P1717">
        <v>1</v>
      </c>
      <c r="Q1717" s="80" t="str">
        <f>REPLACE(INDEX(GroupVertices[Group],MATCH(Edges[[#This Row],[Vertex 1]],GroupVertices[Vertex],0)),1,1,"")</f>
        <v>2</v>
      </c>
      <c r="R1717" s="80" t="str">
        <f>REPLACE(INDEX(GroupVertices[Group],MATCH(Edges[[#This Row],[Vertex 2]],GroupVertices[Vertex],0)),1,1,"")</f>
        <v>2</v>
      </c>
      <c r="S1717" s="34"/>
      <c r="T1717" s="34"/>
      <c r="U1717" s="34"/>
      <c r="V1717" s="34"/>
      <c r="W1717" s="34"/>
      <c r="X1717" s="34"/>
      <c r="Y1717" s="34"/>
      <c r="Z1717" s="34"/>
      <c r="AA1717" s="34"/>
    </row>
    <row r="1718" spans="1:27" ht="15">
      <c r="A1718" s="66" t="s">
        <v>243</v>
      </c>
      <c r="B1718" s="66" t="s">
        <v>224</v>
      </c>
      <c r="C1718" s="67" t="s">
        <v>4454</v>
      </c>
      <c r="D1718" s="68">
        <v>5</v>
      </c>
      <c r="E1718" s="69"/>
      <c r="F1718" s="70">
        <v>20</v>
      </c>
      <c r="G1718" s="67"/>
      <c r="H1718" s="71"/>
      <c r="I1718" s="72"/>
      <c r="J1718" s="72"/>
      <c r="K1718" s="34" t="s">
        <v>66</v>
      </c>
      <c r="L1718" s="79">
        <v>1718</v>
      </c>
      <c r="M1718" s="79"/>
      <c r="N1718" s="74"/>
      <c r="O1718" s="81" t="s">
        <v>944</v>
      </c>
      <c r="P1718">
        <v>1</v>
      </c>
      <c r="Q1718" s="80" t="str">
        <f>REPLACE(INDEX(GroupVertices[Group],MATCH(Edges[[#This Row],[Vertex 1]],GroupVertices[Vertex],0)),1,1,"")</f>
        <v>2</v>
      </c>
      <c r="R1718" s="80" t="str">
        <f>REPLACE(INDEX(GroupVertices[Group],MATCH(Edges[[#This Row],[Vertex 2]],GroupVertices[Vertex],0)),1,1,"")</f>
        <v>2</v>
      </c>
      <c r="S1718" s="34"/>
      <c r="T1718" s="34"/>
      <c r="U1718" s="34"/>
      <c r="V1718" s="34"/>
      <c r="W1718" s="34"/>
      <c r="X1718" s="34"/>
      <c r="Y1718" s="34"/>
      <c r="Z1718" s="34"/>
      <c r="AA1718" s="34"/>
    </row>
    <row r="1719" spans="1:27" ht="15">
      <c r="A1719" s="66" t="s">
        <v>243</v>
      </c>
      <c r="B1719" s="66" t="s">
        <v>602</v>
      </c>
      <c r="C1719" s="67" t="s">
        <v>4454</v>
      </c>
      <c r="D1719" s="68">
        <v>5</v>
      </c>
      <c r="E1719" s="69"/>
      <c r="F1719" s="70">
        <v>20</v>
      </c>
      <c r="G1719" s="67"/>
      <c r="H1719" s="71"/>
      <c r="I1719" s="72"/>
      <c r="J1719" s="72"/>
      <c r="K1719" s="34" t="s">
        <v>65</v>
      </c>
      <c r="L1719" s="79">
        <v>1719</v>
      </c>
      <c r="M1719" s="79"/>
      <c r="N1719" s="74"/>
      <c r="O1719" s="81" t="s">
        <v>944</v>
      </c>
      <c r="P1719">
        <v>1</v>
      </c>
      <c r="Q1719" s="80" t="str">
        <f>REPLACE(INDEX(GroupVertices[Group],MATCH(Edges[[#This Row],[Vertex 1]],GroupVertices[Vertex],0)),1,1,"")</f>
        <v>2</v>
      </c>
      <c r="R1719" s="80" t="str">
        <f>REPLACE(INDEX(GroupVertices[Group],MATCH(Edges[[#This Row],[Vertex 2]],GroupVertices[Vertex],0)),1,1,"")</f>
        <v>2</v>
      </c>
      <c r="S1719" s="34"/>
      <c r="T1719" s="34"/>
      <c r="U1719" s="34"/>
      <c r="V1719" s="34"/>
      <c r="W1719" s="34"/>
      <c r="X1719" s="34"/>
      <c r="Y1719" s="34"/>
      <c r="Z1719" s="34"/>
      <c r="AA1719" s="34"/>
    </row>
    <row r="1720" spans="1:27" ht="15">
      <c r="A1720" s="66" t="s">
        <v>243</v>
      </c>
      <c r="B1720" s="66" t="s">
        <v>241</v>
      </c>
      <c r="C1720" s="67" t="s">
        <v>4454</v>
      </c>
      <c r="D1720" s="68">
        <v>5</v>
      </c>
      <c r="E1720" s="69"/>
      <c r="F1720" s="70">
        <v>20</v>
      </c>
      <c r="G1720" s="67"/>
      <c r="H1720" s="71"/>
      <c r="I1720" s="72"/>
      <c r="J1720" s="72"/>
      <c r="K1720" s="34" t="s">
        <v>66</v>
      </c>
      <c r="L1720" s="79">
        <v>1720</v>
      </c>
      <c r="M1720" s="79"/>
      <c r="N1720" s="74"/>
      <c r="O1720" s="81" t="s">
        <v>944</v>
      </c>
      <c r="P1720">
        <v>1</v>
      </c>
      <c r="Q1720" s="80" t="str">
        <f>REPLACE(INDEX(GroupVertices[Group],MATCH(Edges[[#This Row],[Vertex 1]],GroupVertices[Vertex],0)),1,1,"")</f>
        <v>2</v>
      </c>
      <c r="R1720" s="80" t="str">
        <f>REPLACE(INDEX(GroupVertices[Group],MATCH(Edges[[#This Row],[Vertex 2]],GroupVertices[Vertex],0)),1,1,"")</f>
        <v>2</v>
      </c>
      <c r="S1720" s="34"/>
      <c r="T1720" s="34"/>
      <c r="U1720" s="34"/>
      <c r="V1720" s="34"/>
      <c r="W1720" s="34"/>
      <c r="X1720" s="34"/>
      <c r="Y1720" s="34"/>
      <c r="Z1720" s="34"/>
      <c r="AA1720" s="34"/>
    </row>
    <row r="1721" spans="1:27" ht="15">
      <c r="A1721" s="66" t="s">
        <v>243</v>
      </c>
      <c r="B1721" s="66" t="s">
        <v>249</v>
      </c>
      <c r="C1721" s="67" t="s">
        <v>4454</v>
      </c>
      <c r="D1721" s="68">
        <v>5</v>
      </c>
      <c r="E1721" s="69"/>
      <c r="F1721" s="70">
        <v>20</v>
      </c>
      <c r="G1721" s="67"/>
      <c r="H1721" s="71"/>
      <c r="I1721" s="72"/>
      <c r="J1721" s="72"/>
      <c r="K1721" s="34" t="s">
        <v>66</v>
      </c>
      <c r="L1721" s="79">
        <v>1721</v>
      </c>
      <c r="M1721" s="79"/>
      <c r="N1721" s="74"/>
      <c r="O1721" s="81" t="s">
        <v>944</v>
      </c>
      <c r="P1721">
        <v>1</v>
      </c>
      <c r="Q1721" s="80" t="str">
        <f>REPLACE(INDEX(GroupVertices[Group],MATCH(Edges[[#This Row],[Vertex 1]],GroupVertices[Vertex],0)),1,1,"")</f>
        <v>2</v>
      </c>
      <c r="R1721" s="80" t="str">
        <f>REPLACE(INDEX(GroupVertices[Group],MATCH(Edges[[#This Row],[Vertex 2]],GroupVertices[Vertex],0)),1,1,"")</f>
        <v>2</v>
      </c>
      <c r="S1721" s="34"/>
      <c r="T1721" s="34"/>
      <c r="U1721" s="34"/>
      <c r="V1721" s="34"/>
      <c r="W1721" s="34"/>
      <c r="X1721" s="34"/>
      <c r="Y1721" s="34"/>
      <c r="Z1721" s="34"/>
      <c r="AA1721" s="34"/>
    </row>
    <row r="1722" spans="1:27" ht="15">
      <c r="A1722" s="66" t="s">
        <v>243</v>
      </c>
      <c r="B1722" s="66" t="s">
        <v>238</v>
      </c>
      <c r="C1722" s="67" t="s">
        <v>4454</v>
      </c>
      <c r="D1722" s="68">
        <v>5</v>
      </c>
      <c r="E1722" s="69"/>
      <c r="F1722" s="70">
        <v>20</v>
      </c>
      <c r="G1722" s="67"/>
      <c r="H1722" s="71"/>
      <c r="I1722" s="72"/>
      <c r="J1722" s="72"/>
      <c r="K1722" s="34" t="s">
        <v>66</v>
      </c>
      <c r="L1722" s="79">
        <v>1722</v>
      </c>
      <c r="M1722" s="79"/>
      <c r="N1722" s="74"/>
      <c r="O1722" s="81" t="s">
        <v>944</v>
      </c>
      <c r="P1722">
        <v>1</v>
      </c>
      <c r="Q1722" s="80" t="str">
        <f>REPLACE(INDEX(GroupVertices[Group],MATCH(Edges[[#This Row],[Vertex 1]],GroupVertices[Vertex],0)),1,1,"")</f>
        <v>2</v>
      </c>
      <c r="R1722" s="80" t="str">
        <f>REPLACE(INDEX(GroupVertices[Group],MATCH(Edges[[#This Row],[Vertex 2]],GroupVertices[Vertex],0)),1,1,"")</f>
        <v>2</v>
      </c>
      <c r="S1722" s="34"/>
      <c r="T1722" s="34"/>
      <c r="U1722" s="34"/>
      <c r="V1722" s="34"/>
      <c r="W1722" s="34"/>
      <c r="X1722" s="34"/>
      <c r="Y1722" s="34"/>
      <c r="Z1722" s="34"/>
      <c r="AA1722" s="34"/>
    </row>
    <row r="1723" spans="1:27" ht="15">
      <c r="A1723" s="66" t="s">
        <v>243</v>
      </c>
      <c r="B1723" s="66" t="s">
        <v>255</v>
      </c>
      <c r="C1723" s="67" t="s">
        <v>4454</v>
      </c>
      <c r="D1723" s="68">
        <v>5</v>
      </c>
      <c r="E1723" s="69"/>
      <c r="F1723" s="70">
        <v>20</v>
      </c>
      <c r="G1723" s="67"/>
      <c r="H1723" s="71"/>
      <c r="I1723" s="72"/>
      <c r="J1723" s="72"/>
      <c r="K1723" s="34" t="s">
        <v>66</v>
      </c>
      <c r="L1723" s="79">
        <v>1723</v>
      </c>
      <c r="M1723" s="79"/>
      <c r="N1723" s="74"/>
      <c r="O1723" s="81" t="s">
        <v>944</v>
      </c>
      <c r="P1723">
        <v>1</v>
      </c>
      <c r="Q1723" s="80" t="str">
        <f>REPLACE(INDEX(GroupVertices[Group],MATCH(Edges[[#This Row],[Vertex 1]],GroupVertices[Vertex],0)),1,1,"")</f>
        <v>2</v>
      </c>
      <c r="R1723" s="80" t="str">
        <f>REPLACE(INDEX(GroupVertices[Group],MATCH(Edges[[#This Row],[Vertex 2]],GroupVertices[Vertex],0)),1,1,"")</f>
        <v>4</v>
      </c>
      <c r="S1723" s="34"/>
      <c r="T1723" s="34"/>
      <c r="U1723" s="34"/>
      <c r="V1723" s="34"/>
      <c r="W1723" s="34"/>
      <c r="X1723" s="34"/>
      <c r="Y1723" s="34"/>
      <c r="Z1723" s="34"/>
      <c r="AA1723" s="34"/>
    </row>
    <row r="1724" spans="1:27" ht="15">
      <c r="A1724" s="66" t="s">
        <v>243</v>
      </c>
      <c r="B1724" s="66" t="s">
        <v>252</v>
      </c>
      <c r="C1724" s="67" t="s">
        <v>4454</v>
      </c>
      <c r="D1724" s="68">
        <v>5</v>
      </c>
      <c r="E1724" s="69"/>
      <c r="F1724" s="70">
        <v>20</v>
      </c>
      <c r="G1724" s="67"/>
      <c r="H1724" s="71"/>
      <c r="I1724" s="72"/>
      <c r="J1724" s="72"/>
      <c r="K1724" s="34" t="s">
        <v>65</v>
      </c>
      <c r="L1724" s="79">
        <v>1724</v>
      </c>
      <c r="M1724" s="79"/>
      <c r="N1724" s="74"/>
      <c r="O1724" s="81" t="s">
        <v>944</v>
      </c>
      <c r="P1724">
        <v>1</v>
      </c>
      <c r="Q1724" s="80" t="str">
        <f>REPLACE(INDEX(GroupVertices[Group],MATCH(Edges[[#This Row],[Vertex 1]],GroupVertices[Vertex],0)),1,1,"")</f>
        <v>2</v>
      </c>
      <c r="R1724" s="80" t="str">
        <f>REPLACE(INDEX(GroupVertices[Group],MATCH(Edges[[#This Row],[Vertex 2]],GroupVertices[Vertex],0)),1,1,"")</f>
        <v>1</v>
      </c>
      <c r="S1724" s="34"/>
      <c r="T1724" s="34"/>
      <c r="U1724" s="34"/>
      <c r="V1724" s="34"/>
      <c r="W1724" s="34"/>
      <c r="X1724" s="34"/>
      <c r="Y1724" s="34"/>
      <c r="Z1724" s="34"/>
      <c r="AA1724" s="34"/>
    </row>
    <row r="1725" spans="1:27" ht="15">
      <c r="A1725" s="66" t="s">
        <v>243</v>
      </c>
      <c r="B1725" s="66" t="s">
        <v>486</v>
      </c>
      <c r="C1725" s="67" t="s">
        <v>4454</v>
      </c>
      <c r="D1725" s="68">
        <v>5</v>
      </c>
      <c r="E1725" s="69"/>
      <c r="F1725" s="70">
        <v>20</v>
      </c>
      <c r="G1725" s="67"/>
      <c r="H1725" s="71"/>
      <c r="I1725" s="72"/>
      <c r="J1725" s="72"/>
      <c r="K1725" s="34" t="s">
        <v>65</v>
      </c>
      <c r="L1725" s="79">
        <v>1725</v>
      </c>
      <c r="M1725" s="79"/>
      <c r="N1725" s="74"/>
      <c r="O1725" s="81" t="s">
        <v>944</v>
      </c>
      <c r="P1725">
        <v>1</v>
      </c>
      <c r="Q1725" s="80" t="str">
        <f>REPLACE(INDEX(GroupVertices[Group],MATCH(Edges[[#This Row],[Vertex 1]],GroupVertices[Vertex],0)),1,1,"")</f>
        <v>2</v>
      </c>
      <c r="R1725" s="80" t="str">
        <f>REPLACE(INDEX(GroupVertices[Group],MATCH(Edges[[#This Row],[Vertex 2]],GroupVertices[Vertex],0)),1,1,"")</f>
        <v>2</v>
      </c>
      <c r="S1725" s="34"/>
      <c r="T1725" s="34"/>
      <c r="U1725" s="34"/>
      <c r="V1725" s="34"/>
      <c r="W1725" s="34"/>
      <c r="X1725" s="34"/>
      <c r="Y1725" s="34"/>
      <c r="Z1725" s="34"/>
      <c r="AA1725" s="34"/>
    </row>
    <row r="1726" spans="1:27" ht="15">
      <c r="A1726" s="66" t="s">
        <v>243</v>
      </c>
      <c r="B1726" s="66" t="s">
        <v>253</v>
      </c>
      <c r="C1726" s="67" t="s">
        <v>4454</v>
      </c>
      <c r="D1726" s="68">
        <v>5</v>
      </c>
      <c r="E1726" s="69"/>
      <c r="F1726" s="70">
        <v>20</v>
      </c>
      <c r="G1726" s="67"/>
      <c r="H1726" s="71"/>
      <c r="I1726" s="72"/>
      <c r="J1726" s="72"/>
      <c r="K1726" s="34" t="s">
        <v>65</v>
      </c>
      <c r="L1726" s="79">
        <v>1726</v>
      </c>
      <c r="M1726" s="79"/>
      <c r="N1726" s="74"/>
      <c r="O1726" s="81" t="s">
        <v>944</v>
      </c>
      <c r="P1726">
        <v>1</v>
      </c>
      <c r="Q1726" s="80" t="str">
        <f>REPLACE(INDEX(GroupVertices[Group],MATCH(Edges[[#This Row],[Vertex 1]],GroupVertices[Vertex],0)),1,1,"")</f>
        <v>2</v>
      </c>
      <c r="R1726" s="80" t="str">
        <f>REPLACE(INDEX(GroupVertices[Group],MATCH(Edges[[#This Row],[Vertex 2]],GroupVertices[Vertex],0)),1,1,"")</f>
        <v>1</v>
      </c>
      <c r="S1726" s="34"/>
      <c r="T1726" s="34"/>
      <c r="U1726" s="34"/>
      <c r="V1726" s="34"/>
      <c r="W1726" s="34"/>
      <c r="X1726" s="34"/>
      <c r="Y1726" s="34"/>
      <c r="Z1726" s="34"/>
      <c r="AA1726" s="34"/>
    </row>
    <row r="1727" spans="1:27" ht="15">
      <c r="A1727" s="66" t="s">
        <v>243</v>
      </c>
      <c r="B1727" s="66" t="s">
        <v>220</v>
      </c>
      <c r="C1727" s="67" t="s">
        <v>4454</v>
      </c>
      <c r="D1727" s="68">
        <v>5</v>
      </c>
      <c r="E1727" s="69"/>
      <c r="F1727" s="70">
        <v>20</v>
      </c>
      <c r="G1727" s="67"/>
      <c r="H1727" s="71"/>
      <c r="I1727" s="72"/>
      <c r="J1727" s="72"/>
      <c r="K1727" s="34" t="s">
        <v>66</v>
      </c>
      <c r="L1727" s="79">
        <v>1727</v>
      </c>
      <c r="M1727" s="79"/>
      <c r="N1727" s="74"/>
      <c r="O1727" s="81" t="s">
        <v>944</v>
      </c>
      <c r="P1727">
        <v>1</v>
      </c>
      <c r="Q1727" s="80" t="str">
        <f>REPLACE(INDEX(GroupVertices[Group],MATCH(Edges[[#This Row],[Vertex 1]],GroupVertices[Vertex],0)),1,1,"")</f>
        <v>2</v>
      </c>
      <c r="R1727" s="80" t="str">
        <f>REPLACE(INDEX(GroupVertices[Group],MATCH(Edges[[#This Row],[Vertex 2]],GroupVertices[Vertex],0)),1,1,"")</f>
        <v>2</v>
      </c>
      <c r="S1727" s="34"/>
      <c r="T1727" s="34"/>
      <c r="U1727" s="34"/>
      <c r="V1727" s="34"/>
      <c r="W1727" s="34"/>
      <c r="X1727" s="34"/>
      <c r="Y1727" s="34"/>
      <c r="Z1727" s="34"/>
      <c r="AA1727" s="34"/>
    </row>
    <row r="1728" spans="1:27" ht="15">
      <c r="A1728" s="66" t="s">
        <v>243</v>
      </c>
      <c r="B1728" s="66" t="s">
        <v>217</v>
      </c>
      <c r="C1728" s="67" t="s">
        <v>4454</v>
      </c>
      <c r="D1728" s="68">
        <v>5</v>
      </c>
      <c r="E1728" s="69"/>
      <c r="F1728" s="70">
        <v>20</v>
      </c>
      <c r="G1728" s="67"/>
      <c r="H1728" s="71"/>
      <c r="I1728" s="72"/>
      <c r="J1728" s="72"/>
      <c r="K1728" s="34" t="s">
        <v>65</v>
      </c>
      <c r="L1728" s="79">
        <v>1728</v>
      </c>
      <c r="M1728" s="79"/>
      <c r="N1728" s="74"/>
      <c r="O1728" s="81" t="s">
        <v>944</v>
      </c>
      <c r="P1728">
        <v>1</v>
      </c>
      <c r="Q1728" s="80" t="str">
        <f>REPLACE(INDEX(GroupVertices[Group],MATCH(Edges[[#This Row],[Vertex 1]],GroupVertices[Vertex],0)),1,1,"")</f>
        <v>2</v>
      </c>
      <c r="R1728" s="80" t="str">
        <f>REPLACE(INDEX(GroupVertices[Group],MATCH(Edges[[#This Row],[Vertex 2]],GroupVertices[Vertex],0)),1,1,"")</f>
        <v>4</v>
      </c>
      <c r="S1728" s="34"/>
      <c r="T1728" s="34"/>
      <c r="U1728" s="34"/>
      <c r="V1728" s="34"/>
      <c r="W1728" s="34"/>
      <c r="X1728" s="34"/>
      <c r="Y1728" s="34"/>
      <c r="Z1728" s="34"/>
      <c r="AA1728" s="34"/>
    </row>
    <row r="1729" spans="1:27" ht="15">
      <c r="A1729" s="66" t="s">
        <v>243</v>
      </c>
      <c r="B1729" s="66" t="s">
        <v>259</v>
      </c>
      <c r="C1729" s="67" t="s">
        <v>4454</v>
      </c>
      <c r="D1729" s="68">
        <v>5</v>
      </c>
      <c r="E1729" s="69"/>
      <c r="F1729" s="70">
        <v>20</v>
      </c>
      <c r="G1729" s="67"/>
      <c r="H1729" s="71"/>
      <c r="I1729" s="72"/>
      <c r="J1729" s="72"/>
      <c r="K1729" s="34" t="s">
        <v>65</v>
      </c>
      <c r="L1729" s="79">
        <v>1729</v>
      </c>
      <c r="M1729" s="79"/>
      <c r="N1729" s="74"/>
      <c r="O1729" s="81" t="s">
        <v>944</v>
      </c>
      <c r="P1729">
        <v>1</v>
      </c>
      <c r="Q1729" s="80" t="str">
        <f>REPLACE(INDEX(GroupVertices[Group],MATCH(Edges[[#This Row],[Vertex 1]],GroupVertices[Vertex],0)),1,1,"")</f>
        <v>2</v>
      </c>
      <c r="R1729" s="80" t="str">
        <f>REPLACE(INDEX(GroupVertices[Group],MATCH(Edges[[#This Row],[Vertex 2]],GroupVertices[Vertex],0)),1,1,"")</f>
        <v>2</v>
      </c>
      <c r="S1729" s="34"/>
      <c r="T1729" s="34"/>
      <c r="U1729" s="34"/>
      <c r="V1729" s="34"/>
      <c r="W1729" s="34"/>
      <c r="X1729" s="34"/>
      <c r="Y1729" s="34"/>
      <c r="Z1729" s="34"/>
      <c r="AA1729" s="34"/>
    </row>
    <row r="1730" spans="1:27" ht="15">
      <c r="A1730" s="66" t="s">
        <v>243</v>
      </c>
      <c r="B1730" s="66" t="s">
        <v>233</v>
      </c>
      <c r="C1730" s="67" t="s">
        <v>4454</v>
      </c>
      <c r="D1730" s="68">
        <v>5</v>
      </c>
      <c r="E1730" s="69"/>
      <c r="F1730" s="70">
        <v>20</v>
      </c>
      <c r="G1730" s="67"/>
      <c r="H1730" s="71"/>
      <c r="I1730" s="72"/>
      <c r="J1730" s="72"/>
      <c r="K1730" s="34" t="s">
        <v>66</v>
      </c>
      <c r="L1730" s="79">
        <v>1730</v>
      </c>
      <c r="M1730" s="79"/>
      <c r="N1730" s="74"/>
      <c r="O1730" s="81" t="s">
        <v>944</v>
      </c>
      <c r="P1730">
        <v>1</v>
      </c>
      <c r="Q1730" s="80" t="str">
        <f>REPLACE(INDEX(GroupVertices[Group],MATCH(Edges[[#This Row],[Vertex 1]],GroupVertices[Vertex],0)),1,1,"")</f>
        <v>2</v>
      </c>
      <c r="R1730" s="80" t="str">
        <f>REPLACE(INDEX(GroupVertices[Group],MATCH(Edges[[#This Row],[Vertex 2]],GroupVertices[Vertex],0)),1,1,"")</f>
        <v>2</v>
      </c>
      <c r="S1730" s="34"/>
      <c r="T1730" s="34"/>
      <c r="U1730" s="34"/>
      <c r="V1730" s="34"/>
      <c r="W1730" s="34"/>
      <c r="X1730" s="34"/>
      <c r="Y1730" s="34"/>
      <c r="Z1730" s="34"/>
      <c r="AA1730" s="34"/>
    </row>
    <row r="1731" spans="1:27" ht="15">
      <c r="A1731" s="66" t="s">
        <v>243</v>
      </c>
      <c r="B1731" s="66" t="s">
        <v>254</v>
      </c>
      <c r="C1731" s="67" t="s">
        <v>4454</v>
      </c>
      <c r="D1731" s="68">
        <v>5</v>
      </c>
      <c r="E1731" s="69"/>
      <c r="F1731" s="70">
        <v>20</v>
      </c>
      <c r="G1731" s="67"/>
      <c r="H1731" s="71"/>
      <c r="I1731" s="72"/>
      <c r="J1731" s="72"/>
      <c r="K1731" s="34" t="s">
        <v>65</v>
      </c>
      <c r="L1731" s="79">
        <v>1731</v>
      </c>
      <c r="M1731" s="79"/>
      <c r="N1731" s="74"/>
      <c r="O1731" s="81" t="s">
        <v>944</v>
      </c>
      <c r="P1731">
        <v>1</v>
      </c>
      <c r="Q1731" s="80" t="str">
        <f>REPLACE(INDEX(GroupVertices[Group],MATCH(Edges[[#This Row],[Vertex 1]],GroupVertices[Vertex],0)),1,1,"")</f>
        <v>2</v>
      </c>
      <c r="R1731" s="80" t="str">
        <f>REPLACE(INDEX(GroupVertices[Group],MATCH(Edges[[#This Row],[Vertex 2]],GroupVertices[Vertex],0)),1,1,"")</f>
        <v>3</v>
      </c>
      <c r="S1731" s="34"/>
      <c r="T1731" s="34"/>
      <c r="U1731" s="34"/>
      <c r="V1731" s="34"/>
      <c r="W1731" s="34"/>
      <c r="X1731" s="34"/>
      <c r="Y1731" s="34"/>
      <c r="Z1731" s="34"/>
      <c r="AA1731" s="34"/>
    </row>
    <row r="1732" spans="1:27" ht="15">
      <c r="A1732" s="66" t="s">
        <v>243</v>
      </c>
      <c r="B1732" s="66" t="s">
        <v>510</v>
      </c>
      <c r="C1732" s="67" t="s">
        <v>4454</v>
      </c>
      <c r="D1732" s="68">
        <v>5</v>
      </c>
      <c r="E1732" s="69"/>
      <c r="F1732" s="70">
        <v>20</v>
      </c>
      <c r="G1732" s="67"/>
      <c r="H1732" s="71"/>
      <c r="I1732" s="72"/>
      <c r="J1732" s="72"/>
      <c r="K1732" s="34" t="s">
        <v>65</v>
      </c>
      <c r="L1732" s="79">
        <v>1732</v>
      </c>
      <c r="M1732" s="79"/>
      <c r="N1732" s="74"/>
      <c r="O1732" s="81" t="s">
        <v>944</v>
      </c>
      <c r="P1732">
        <v>1</v>
      </c>
      <c r="Q1732" s="80" t="str">
        <f>REPLACE(INDEX(GroupVertices[Group],MATCH(Edges[[#This Row],[Vertex 1]],GroupVertices[Vertex],0)),1,1,"")</f>
        <v>2</v>
      </c>
      <c r="R1732" s="80" t="str">
        <f>REPLACE(INDEX(GroupVertices[Group],MATCH(Edges[[#This Row],[Vertex 2]],GroupVertices[Vertex],0)),1,1,"")</f>
        <v>2</v>
      </c>
      <c r="S1732" s="34"/>
      <c r="T1732" s="34"/>
      <c r="U1732" s="34"/>
      <c r="V1732" s="34"/>
      <c r="W1732" s="34"/>
      <c r="X1732" s="34"/>
      <c r="Y1732" s="34"/>
      <c r="Z1732" s="34"/>
      <c r="AA1732" s="34"/>
    </row>
    <row r="1733" spans="1:27" ht="15">
      <c r="A1733" s="66" t="s">
        <v>243</v>
      </c>
      <c r="B1733" s="66" t="s">
        <v>261</v>
      </c>
      <c r="C1733" s="67" t="s">
        <v>4454</v>
      </c>
      <c r="D1733" s="68">
        <v>5</v>
      </c>
      <c r="E1733" s="69"/>
      <c r="F1733" s="70">
        <v>20</v>
      </c>
      <c r="G1733" s="67"/>
      <c r="H1733" s="71"/>
      <c r="I1733" s="72"/>
      <c r="J1733" s="72"/>
      <c r="K1733" s="34" t="s">
        <v>65</v>
      </c>
      <c r="L1733" s="79">
        <v>1733</v>
      </c>
      <c r="M1733" s="79"/>
      <c r="N1733" s="74"/>
      <c r="O1733" s="81" t="s">
        <v>944</v>
      </c>
      <c r="P1733">
        <v>1</v>
      </c>
      <c r="Q1733" s="80" t="str">
        <f>REPLACE(INDEX(GroupVertices[Group],MATCH(Edges[[#This Row],[Vertex 1]],GroupVertices[Vertex],0)),1,1,"")</f>
        <v>2</v>
      </c>
      <c r="R1733" s="80" t="str">
        <f>REPLACE(INDEX(GroupVertices[Group],MATCH(Edges[[#This Row],[Vertex 2]],GroupVertices[Vertex],0)),1,1,"")</f>
        <v>1</v>
      </c>
      <c r="S1733" s="34"/>
      <c r="T1733" s="34"/>
      <c r="U1733" s="34"/>
      <c r="V1733" s="34"/>
      <c r="W1733" s="34"/>
      <c r="X1733" s="34"/>
      <c r="Y1733" s="34"/>
      <c r="Z1733" s="34"/>
      <c r="AA1733" s="34"/>
    </row>
    <row r="1734" spans="1:27" ht="15">
      <c r="A1734" s="66" t="s">
        <v>243</v>
      </c>
      <c r="B1734" s="66" t="s">
        <v>250</v>
      </c>
      <c r="C1734" s="67" t="s">
        <v>4454</v>
      </c>
      <c r="D1734" s="68">
        <v>5</v>
      </c>
      <c r="E1734" s="69"/>
      <c r="F1734" s="70">
        <v>20</v>
      </c>
      <c r="G1734" s="67"/>
      <c r="H1734" s="71"/>
      <c r="I1734" s="72"/>
      <c r="J1734" s="72"/>
      <c r="K1734" s="34" t="s">
        <v>66</v>
      </c>
      <c r="L1734" s="79">
        <v>1734</v>
      </c>
      <c r="M1734" s="79"/>
      <c r="N1734" s="74"/>
      <c r="O1734" s="81" t="s">
        <v>944</v>
      </c>
      <c r="P1734">
        <v>1</v>
      </c>
      <c r="Q1734" s="80" t="str">
        <f>REPLACE(INDEX(GroupVertices[Group],MATCH(Edges[[#This Row],[Vertex 1]],GroupVertices[Vertex],0)),1,1,"")</f>
        <v>2</v>
      </c>
      <c r="R1734" s="80" t="str">
        <f>REPLACE(INDEX(GroupVertices[Group],MATCH(Edges[[#This Row],[Vertex 2]],GroupVertices[Vertex],0)),1,1,"")</f>
        <v>2</v>
      </c>
      <c r="S1734" s="34"/>
      <c r="T1734" s="34"/>
      <c r="U1734" s="34"/>
      <c r="V1734" s="34"/>
      <c r="W1734" s="34"/>
      <c r="X1734" s="34"/>
      <c r="Y1734" s="34"/>
      <c r="Z1734" s="34"/>
      <c r="AA1734" s="34"/>
    </row>
    <row r="1735" spans="1:27" ht="15">
      <c r="A1735" s="66" t="s">
        <v>244</v>
      </c>
      <c r="B1735" s="66" t="s">
        <v>243</v>
      </c>
      <c r="C1735" s="67" t="s">
        <v>4454</v>
      </c>
      <c r="D1735" s="68">
        <v>5</v>
      </c>
      <c r="E1735" s="69"/>
      <c r="F1735" s="70">
        <v>20</v>
      </c>
      <c r="G1735" s="67"/>
      <c r="H1735" s="71"/>
      <c r="I1735" s="72"/>
      <c r="J1735" s="72"/>
      <c r="K1735" s="34" t="s">
        <v>65</v>
      </c>
      <c r="L1735" s="79">
        <v>1735</v>
      </c>
      <c r="M1735" s="79"/>
      <c r="N1735" s="74"/>
      <c r="O1735" s="81" t="s">
        <v>944</v>
      </c>
      <c r="P1735">
        <v>1</v>
      </c>
      <c r="Q1735" s="80" t="str">
        <f>REPLACE(INDEX(GroupVertices[Group],MATCH(Edges[[#This Row],[Vertex 1]],GroupVertices[Vertex],0)),1,1,"")</f>
        <v>2</v>
      </c>
      <c r="R1735" s="80" t="str">
        <f>REPLACE(INDEX(GroupVertices[Group],MATCH(Edges[[#This Row],[Vertex 2]],GroupVertices[Vertex],0)),1,1,"")</f>
        <v>2</v>
      </c>
      <c r="S1735" s="34"/>
      <c r="T1735" s="34"/>
      <c r="U1735" s="34"/>
      <c r="V1735" s="34"/>
      <c r="W1735" s="34"/>
      <c r="X1735" s="34"/>
      <c r="Y1735" s="34"/>
      <c r="Z1735" s="34"/>
      <c r="AA1735" s="34"/>
    </row>
    <row r="1736" spans="1:27" ht="15">
      <c r="A1736" s="66" t="s">
        <v>246</v>
      </c>
      <c r="B1736" s="66" t="s">
        <v>243</v>
      </c>
      <c r="C1736" s="67" t="s">
        <v>4454</v>
      </c>
      <c r="D1736" s="68">
        <v>5</v>
      </c>
      <c r="E1736" s="69"/>
      <c r="F1736" s="70">
        <v>20</v>
      </c>
      <c r="G1736" s="67"/>
      <c r="H1736" s="71"/>
      <c r="I1736" s="72"/>
      <c r="J1736" s="72"/>
      <c r="K1736" s="34" t="s">
        <v>66</v>
      </c>
      <c r="L1736" s="79">
        <v>1736</v>
      </c>
      <c r="M1736" s="79"/>
      <c r="N1736" s="74"/>
      <c r="O1736" s="81" t="s">
        <v>944</v>
      </c>
      <c r="P1736">
        <v>1</v>
      </c>
      <c r="Q1736" s="80" t="str">
        <f>REPLACE(INDEX(GroupVertices[Group],MATCH(Edges[[#This Row],[Vertex 1]],GroupVertices[Vertex],0)),1,1,"")</f>
        <v>2</v>
      </c>
      <c r="R1736" s="80" t="str">
        <f>REPLACE(INDEX(GroupVertices[Group],MATCH(Edges[[#This Row],[Vertex 2]],GroupVertices[Vertex],0)),1,1,"")</f>
        <v>2</v>
      </c>
      <c r="S1736" s="34"/>
      <c r="T1736" s="34"/>
      <c r="U1736" s="34"/>
      <c r="V1736" s="34"/>
      <c r="W1736" s="34"/>
      <c r="X1736" s="34"/>
      <c r="Y1736" s="34"/>
      <c r="Z1736" s="34"/>
      <c r="AA1736" s="34"/>
    </row>
    <row r="1737" spans="1:27" ht="15">
      <c r="A1737" s="66" t="s">
        <v>247</v>
      </c>
      <c r="B1737" s="66" t="s">
        <v>243</v>
      </c>
      <c r="C1737" s="67" t="s">
        <v>4454</v>
      </c>
      <c r="D1737" s="68">
        <v>5</v>
      </c>
      <c r="E1737" s="69"/>
      <c r="F1737" s="70">
        <v>20</v>
      </c>
      <c r="G1737" s="67"/>
      <c r="H1737" s="71"/>
      <c r="I1737" s="72"/>
      <c r="J1737" s="72"/>
      <c r="K1737" s="34" t="s">
        <v>66</v>
      </c>
      <c r="L1737" s="79">
        <v>1737</v>
      </c>
      <c r="M1737" s="79"/>
      <c r="N1737" s="74"/>
      <c r="O1737" s="81" t="s">
        <v>944</v>
      </c>
      <c r="P1737">
        <v>1</v>
      </c>
      <c r="Q1737" s="80" t="str">
        <f>REPLACE(INDEX(GroupVertices[Group],MATCH(Edges[[#This Row],[Vertex 1]],GroupVertices[Vertex],0)),1,1,"")</f>
        <v>2</v>
      </c>
      <c r="R1737" s="80" t="str">
        <f>REPLACE(INDEX(GroupVertices[Group],MATCH(Edges[[#This Row],[Vertex 2]],GroupVertices[Vertex],0)),1,1,"")</f>
        <v>2</v>
      </c>
      <c r="S1737" s="34"/>
      <c r="T1737" s="34"/>
      <c r="U1737" s="34"/>
      <c r="V1737" s="34"/>
      <c r="W1737" s="34"/>
      <c r="X1737" s="34"/>
      <c r="Y1737" s="34"/>
      <c r="Z1737" s="34"/>
      <c r="AA1737" s="34"/>
    </row>
    <row r="1738" spans="1:27" ht="15">
      <c r="A1738" s="66" t="s">
        <v>249</v>
      </c>
      <c r="B1738" s="66" t="s">
        <v>243</v>
      </c>
      <c r="C1738" s="67" t="s">
        <v>4454</v>
      </c>
      <c r="D1738" s="68">
        <v>5</v>
      </c>
      <c r="E1738" s="69"/>
      <c r="F1738" s="70">
        <v>20</v>
      </c>
      <c r="G1738" s="67"/>
      <c r="H1738" s="71"/>
      <c r="I1738" s="72"/>
      <c r="J1738" s="72"/>
      <c r="K1738" s="34" t="s">
        <v>66</v>
      </c>
      <c r="L1738" s="79">
        <v>1738</v>
      </c>
      <c r="M1738" s="79"/>
      <c r="N1738" s="74"/>
      <c r="O1738" s="81" t="s">
        <v>944</v>
      </c>
      <c r="P1738">
        <v>1</v>
      </c>
      <c r="Q1738" s="80" t="str">
        <f>REPLACE(INDEX(GroupVertices[Group],MATCH(Edges[[#This Row],[Vertex 1]],GroupVertices[Vertex],0)),1,1,"")</f>
        <v>2</v>
      </c>
      <c r="R1738" s="80" t="str">
        <f>REPLACE(INDEX(GroupVertices[Group],MATCH(Edges[[#This Row],[Vertex 2]],GroupVertices[Vertex],0)),1,1,"")</f>
        <v>2</v>
      </c>
      <c r="S1738" s="34"/>
      <c r="T1738" s="34"/>
      <c r="U1738" s="34"/>
      <c r="V1738" s="34"/>
      <c r="W1738" s="34"/>
      <c r="X1738" s="34"/>
      <c r="Y1738" s="34"/>
      <c r="Z1738" s="34"/>
      <c r="AA1738" s="34"/>
    </row>
    <row r="1739" spans="1:27" ht="15">
      <c r="A1739" s="66" t="s">
        <v>250</v>
      </c>
      <c r="B1739" s="66" t="s">
        <v>243</v>
      </c>
      <c r="C1739" s="67" t="s">
        <v>4454</v>
      </c>
      <c r="D1739" s="68">
        <v>5</v>
      </c>
      <c r="E1739" s="69"/>
      <c r="F1739" s="70">
        <v>20</v>
      </c>
      <c r="G1739" s="67"/>
      <c r="H1739" s="71"/>
      <c r="I1739" s="72"/>
      <c r="J1739" s="72"/>
      <c r="K1739" s="34" t="s">
        <v>66</v>
      </c>
      <c r="L1739" s="79">
        <v>1739</v>
      </c>
      <c r="M1739" s="79"/>
      <c r="N1739" s="74"/>
      <c r="O1739" s="81" t="s">
        <v>944</v>
      </c>
      <c r="P1739">
        <v>1</v>
      </c>
      <c r="Q1739" s="80" t="str">
        <f>REPLACE(INDEX(GroupVertices[Group],MATCH(Edges[[#This Row],[Vertex 1]],GroupVertices[Vertex],0)),1,1,"")</f>
        <v>2</v>
      </c>
      <c r="R1739" s="80" t="str">
        <f>REPLACE(INDEX(GroupVertices[Group],MATCH(Edges[[#This Row],[Vertex 2]],GroupVertices[Vertex],0)),1,1,"")</f>
        <v>2</v>
      </c>
      <c r="S1739" s="34"/>
      <c r="T1739" s="34"/>
      <c r="U1739" s="34"/>
      <c r="V1739" s="34"/>
      <c r="W1739" s="34"/>
      <c r="X1739" s="34"/>
      <c r="Y1739" s="34"/>
      <c r="Z1739" s="34"/>
      <c r="AA1739" s="34"/>
    </row>
    <row r="1740" spans="1:27" ht="15">
      <c r="A1740" s="66" t="s">
        <v>255</v>
      </c>
      <c r="B1740" s="66" t="s">
        <v>243</v>
      </c>
      <c r="C1740" s="67" t="s">
        <v>4454</v>
      </c>
      <c r="D1740" s="68">
        <v>5</v>
      </c>
      <c r="E1740" s="69"/>
      <c r="F1740" s="70">
        <v>20</v>
      </c>
      <c r="G1740" s="67"/>
      <c r="H1740" s="71"/>
      <c r="I1740" s="72"/>
      <c r="J1740" s="72"/>
      <c r="K1740" s="34" t="s">
        <v>66</v>
      </c>
      <c r="L1740" s="79">
        <v>1740</v>
      </c>
      <c r="M1740" s="79"/>
      <c r="N1740" s="74"/>
      <c r="O1740" s="81" t="s">
        <v>944</v>
      </c>
      <c r="P1740">
        <v>1</v>
      </c>
      <c r="Q1740" s="80" t="str">
        <f>REPLACE(INDEX(GroupVertices[Group],MATCH(Edges[[#This Row],[Vertex 1]],GroupVertices[Vertex],0)),1,1,"")</f>
        <v>4</v>
      </c>
      <c r="R1740" s="80" t="str">
        <f>REPLACE(INDEX(GroupVertices[Group],MATCH(Edges[[#This Row],[Vertex 2]],GroupVertices[Vertex],0)),1,1,"")</f>
        <v>2</v>
      </c>
      <c r="S1740" s="34"/>
      <c r="T1740" s="34"/>
      <c r="U1740" s="34"/>
      <c r="V1740" s="34"/>
      <c r="W1740" s="34"/>
      <c r="X1740" s="34"/>
      <c r="Y1740" s="34"/>
      <c r="Z1740" s="34"/>
      <c r="AA1740" s="34"/>
    </row>
    <row r="1741" spans="1:27" ht="15">
      <c r="A1741" s="66" t="s">
        <v>256</v>
      </c>
      <c r="B1741" s="66" t="s">
        <v>243</v>
      </c>
      <c r="C1741" s="67" t="s">
        <v>4454</v>
      </c>
      <c r="D1741" s="68">
        <v>5</v>
      </c>
      <c r="E1741" s="69"/>
      <c r="F1741" s="70">
        <v>20</v>
      </c>
      <c r="G1741" s="67"/>
      <c r="H1741" s="71"/>
      <c r="I1741" s="72"/>
      <c r="J1741" s="72"/>
      <c r="K1741" s="34" t="s">
        <v>66</v>
      </c>
      <c r="L1741" s="79">
        <v>1741</v>
      </c>
      <c r="M1741" s="79"/>
      <c r="N1741" s="74"/>
      <c r="O1741" s="81" t="s">
        <v>944</v>
      </c>
      <c r="P1741">
        <v>1</v>
      </c>
      <c r="Q1741" s="80" t="str">
        <f>REPLACE(INDEX(GroupVertices[Group],MATCH(Edges[[#This Row],[Vertex 1]],GroupVertices[Vertex],0)),1,1,"")</f>
        <v>1</v>
      </c>
      <c r="R1741" s="80" t="str">
        <f>REPLACE(INDEX(GroupVertices[Group],MATCH(Edges[[#This Row],[Vertex 2]],GroupVertices[Vertex],0)),1,1,"")</f>
        <v>2</v>
      </c>
      <c r="S1741" s="34"/>
      <c r="T1741" s="34"/>
      <c r="U1741" s="34"/>
      <c r="V1741" s="34"/>
      <c r="W1741" s="34"/>
      <c r="X1741" s="34"/>
      <c r="Y1741" s="34"/>
      <c r="Z1741" s="34"/>
      <c r="AA1741" s="34"/>
    </row>
    <row r="1742" spans="1:27" ht="15">
      <c r="A1742" s="66" t="s">
        <v>258</v>
      </c>
      <c r="B1742" s="66" t="s">
        <v>243</v>
      </c>
      <c r="C1742" s="67" t="s">
        <v>4454</v>
      </c>
      <c r="D1742" s="68">
        <v>5</v>
      </c>
      <c r="E1742" s="69"/>
      <c r="F1742" s="70">
        <v>20</v>
      </c>
      <c r="G1742" s="67"/>
      <c r="H1742" s="71"/>
      <c r="I1742" s="72"/>
      <c r="J1742" s="72"/>
      <c r="K1742" s="34" t="s">
        <v>65</v>
      </c>
      <c r="L1742" s="79">
        <v>1742</v>
      </c>
      <c r="M1742" s="79"/>
      <c r="N1742" s="74"/>
      <c r="O1742" s="81" t="s">
        <v>944</v>
      </c>
      <c r="P1742">
        <v>1</v>
      </c>
      <c r="Q1742" s="80" t="str">
        <f>REPLACE(INDEX(GroupVertices[Group],MATCH(Edges[[#This Row],[Vertex 1]],GroupVertices[Vertex],0)),1,1,"")</f>
        <v>1</v>
      </c>
      <c r="R1742" s="80" t="str">
        <f>REPLACE(INDEX(GroupVertices[Group],MATCH(Edges[[#This Row],[Vertex 2]],GroupVertices[Vertex],0)),1,1,"")</f>
        <v>2</v>
      </c>
      <c r="S1742" s="34"/>
      <c r="T1742" s="34"/>
      <c r="U1742" s="34"/>
      <c r="V1742" s="34"/>
      <c r="W1742" s="34"/>
      <c r="X1742" s="34"/>
      <c r="Y1742" s="34"/>
      <c r="Z1742" s="34"/>
      <c r="AA1742" s="34"/>
    </row>
    <row r="1743" spans="1:27" ht="15">
      <c r="A1743" s="66" t="s">
        <v>258</v>
      </c>
      <c r="B1743" s="66" t="s">
        <v>892</v>
      </c>
      <c r="C1743" s="67" t="s">
        <v>4454</v>
      </c>
      <c r="D1743" s="68">
        <v>5</v>
      </c>
      <c r="E1743" s="69"/>
      <c r="F1743" s="70">
        <v>20</v>
      </c>
      <c r="G1743" s="67"/>
      <c r="H1743" s="71"/>
      <c r="I1743" s="72"/>
      <c r="J1743" s="72"/>
      <c r="K1743" s="34"/>
      <c r="L1743" s="79">
        <v>1743</v>
      </c>
      <c r="M1743" s="79"/>
      <c r="N1743" s="74"/>
      <c r="O1743" s="81" t="s">
        <v>944</v>
      </c>
      <c r="P1743">
        <v>1</v>
      </c>
      <c r="Q1743" s="80" t="str">
        <f>REPLACE(INDEX(GroupVertices[Group],MATCH(Edges[[#This Row],[Vertex 1]],GroupVertices[Vertex],0)),1,1,"")</f>
        <v>1</v>
      </c>
      <c r="R1743" s="80" t="e">
        <f>REPLACE(INDEX(GroupVertices[Group],MATCH(Edges[[#This Row],[Vertex 2]],GroupVertices[Vertex],0)),1,1,"")</f>
        <v>#N/A</v>
      </c>
      <c r="S1743" s="34"/>
      <c r="T1743" s="34"/>
      <c r="U1743" s="34"/>
      <c r="V1743" s="34"/>
      <c r="W1743" s="34"/>
      <c r="X1743" s="34"/>
      <c r="Y1743" s="34"/>
      <c r="Z1743" s="34"/>
      <c r="AA1743" s="34"/>
    </row>
    <row r="1744" spans="1:27" ht="15">
      <c r="A1744" s="66" t="s">
        <v>238</v>
      </c>
      <c r="B1744" s="66" t="s">
        <v>478</v>
      </c>
      <c r="C1744" s="67" t="s">
        <v>4454</v>
      </c>
      <c r="D1744" s="68">
        <v>5</v>
      </c>
      <c r="E1744" s="69"/>
      <c r="F1744" s="70">
        <v>20</v>
      </c>
      <c r="G1744" s="67"/>
      <c r="H1744" s="71"/>
      <c r="I1744" s="72"/>
      <c r="J1744" s="72"/>
      <c r="K1744" s="34" t="s">
        <v>65</v>
      </c>
      <c r="L1744" s="79">
        <v>1744</v>
      </c>
      <c r="M1744" s="79"/>
      <c r="N1744" s="74"/>
      <c r="O1744" s="81" t="s">
        <v>944</v>
      </c>
      <c r="P1744">
        <v>1</v>
      </c>
      <c r="Q1744" s="80" t="str">
        <f>REPLACE(INDEX(GroupVertices[Group],MATCH(Edges[[#This Row],[Vertex 1]],GroupVertices[Vertex],0)),1,1,"")</f>
        <v>2</v>
      </c>
      <c r="R1744" s="80" t="str">
        <f>REPLACE(INDEX(GroupVertices[Group],MATCH(Edges[[#This Row],[Vertex 2]],GroupVertices[Vertex],0)),1,1,"")</f>
        <v>3</v>
      </c>
      <c r="S1744" s="34"/>
      <c r="T1744" s="34"/>
      <c r="U1744" s="34"/>
      <c r="V1744" s="34"/>
      <c r="W1744" s="34"/>
      <c r="X1744" s="34"/>
      <c r="Y1744" s="34"/>
      <c r="Z1744" s="34"/>
      <c r="AA1744" s="34"/>
    </row>
    <row r="1745" spans="1:27" ht="15">
      <c r="A1745" s="66" t="s">
        <v>249</v>
      </c>
      <c r="B1745" s="66" t="s">
        <v>478</v>
      </c>
      <c r="C1745" s="67" t="s">
        <v>4454</v>
      </c>
      <c r="D1745" s="68">
        <v>5</v>
      </c>
      <c r="E1745" s="69"/>
      <c r="F1745" s="70">
        <v>20</v>
      </c>
      <c r="G1745" s="67"/>
      <c r="H1745" s="71"/>
      <c r="I1745" s="72"/>
      <c r="J1745" s="72"/>
      <c r="K1745" s="34" t="s">
        <v>65</v>
      </c>
      <c r="L1745" s="79">
        <v>1745</v>
      </c>
      <c r="M1745" s="79"/>
      <c r="N1745" s="74"/>
      <c r="O1745" s="81" t="s">
        <v>944</v>
      </c>
      <c r="P1745">
        <v>1</v>
      </c>
      <c r="Q1745" s="80" t="str">
        <f>REPLACE(INDEX(GroupVertices[Group],MATCH(Edges[[#This Row],[Vertex 1]],GroupVertices[Vertex],0)),1,1,"")</f>
        <v>2</v>
      </c>
      <c r="R1745" s="80" t="str">
        <f>REPLACE(INDEX(GroupVertices[Group],MATCH(Edges[[#This Row],[Vertex 2]],GroupVertices[Vertex],0)),1,1,"")</f>
        <v>3</v>
      </c>
      <c r="S1745" s="34"/>
      <c r="T1745" s="34"/>
      <c r="U1745" s="34"/>
      <c r="V1745" s="34"/>
      <c r="W1745" s="34"/>
      <c r="X1745" s="34"/>
      <c r="Y1745" s="34"/>
      <c r="Z1745" s="34"/>
      <c r="AA1745" s="34"/>
    </row>
    <row r="1746" spans="1:27" ht="15">
      <c r="A1746" s="66" t="s">
        <v>250</v>
      </c>
      <c r="B1746" s="66" t="s">
        <v>478</v>
      </c>
      <c r="C1746" s="67" t="s">
        <v>4454</v>
      </c>
      <c r="D1746" s="68">
        <v>5</v>
      </c>
      <c r="E1746" s="69"/>
      <c r="F1746" s="70">
        <v>20</v>
      </c>
      <c r="G1746" s="67"/>
      <c r="H1746" s="71"/>
      <c r="I1746" s="72"/>
      <c r="J1746" s="72"/>
      <c r="K1746" s="34" t="s">
        <v>65</v>
      </c>
      <c r="L1746" s="79">
        <v>1746</v>
      </c>
      <c r="M1746" s="79"/>
      <c r="N1746" s="74"/>
      <c r="O1746" s="81" t="s">
        <v>944</v>
      </c>
      <c r="P1746">
        <v>1</v>
      </c>
      <c r="Q1746" s="80" t="str">
        <f>REPLACE(INDEX(GroupVertices[Group],MATCH(Edges[[#This Row],[Vertex 1]],GroupVertices[Vertex],0)),1,1,"")</f>
        <v>2</v>
      </c>
      <c r="R1746" s="80" t="str">
        <f>REPLACE(INDEX(GroupVertices[Group],MATCH(Edges[[#This Row],[Vertex 2]],GroupVertices[Vertex],0)),1,1,"")</f>
        <v>3</v>
      </c>
      <c r="S1746" s="34"/>
      <c r="T1746" s="34"/>
      <c r="U1746" s="34"/>
      <c r="V1746" s="34"/>
      <c r="W1746" s="34"/>
      <c r="X1746" s="34"/>
      <c r="Y1746" s="34"/>
      <c r="Z1746" s="34"/>
      <c r="AA1746" s="34"/>
    </row>
    <row r="1747" spans="1:27" ht="15">
      <c r="A1747" s="66" t="s">
        <v>252</v>
      </c>
      <c r="B1747" s="66" t="s">
        <v>478</v>
      </c>
      <c r="C1747" s="67" t="s">
        <v>4454</v>
      </c>
      <c r="D1747" s="68">
        <v>5</v>
      </c>
      <c r="E1747" s="69"/>
      <c r="F1747" s="70">
        <v>20</v>
      </c>
      <c r="G1747" s="67"/>
      <c r="H1747" s="71"/>
      <c r="I1747" s="72"/>
      <c r="J1747" s="72"/>
      <c r="K1747" s="34" t="s">
        <v>65</v>
      </c>
      <c r="L1747" s="79">
        <v>1747</v>
      </c>
      <c r="M1747" s="79"/>
      <c r="N1747" s="74"/>
      <c r="O1747" s="81" t="s">
        <v>944</v>
      </c>
      <c r="P1747">
        <v>1</v>
      </c>
      <c r="Q1747" s="80" t="str">
        <f>REPLACE(INDEX(GroupVertices[Group],MATCH(Edges[[#This Row],[Vertex 1]],GroupVertices[Vertex],0)),1,1,"")</f>
        <v>1</v>
      </c>
      <c r="R1747" s="80" t="str">
        <f>REPLACE(INDEX(GroupVertices[Group],MATCH(Edges[[#This Row],[Vertex 2]],GroupVertices[Vertex],0)),1,1,"")</f>
        <v>3</v>
      </c>
      <c r="S1747" s="34"/>
      <c r="T1747" s="34"/>
      <c r="U1747" s="34"/>
      <c r="V1747" s="34"/>
      <c r="W1747" s="34"/>
      <c r="X1747" s="34"/>
      <c r="Y1747" s="34"/>
      <c r="Z1747" s="34"/>
      <c r="AA1747" s="34"/>
    </row>
    <row r="1748" spans="1:27" ht="15">
      <c r="A1748" s="66" t="s">
        <v>253</v>
      </c>
      <c r="B1748" s="66" t="s">
        <v>478</v>
      </c>
      <c r="C1748" s="67" t="s">
        <v>4454</v>
      </c>
      <c r="D1748" s="68">
        <v>5</v>
      </c>
      <c r="E1748" s="69"/>
      <c r="F1748" s="70">
        <v>20</v>
      </c>
      <c r="G1748" s="67"/>
      <c r="H1748" s="71"/>
      <c r="I1748" s="72"/>
      <c r="J1748" s="72"/>
      <c r="K1748" s="34" t="s">
        <v>65</v>
      </c>
      <c r="L1748" s="79">
        <v>1748</v>
      </c>
      <c r="M1748" s="79"/>
      <c r="N1748" s="74"/>
      <c r="O1748" s="81" t="s">
        <v>944</v>
      </c>
      <c r="P1748">
        <v>1</v>
      </c>
      <c r="Q1748" s="80" t="str">
        <f>REPLACE(INDEX(GroupVertices[Group],MATCH(Edges[[#This Row],[Vertex 1]],GroupVertices[Vertex],0)),1,1,"")</f>
        <v>1</v>
      </c>
      <c r="R1748" s="80" t="str">
        <f>REPLACE(INDEX(GroupVertices[Group],MATCH(Edges[[#This Row],[Vertex 2]],GroupVertices[Vertex],0)),1,1,"")</f>
        <v>3</v>
      </c>
      <c r="S1748" s="34"/>
      <c r="T1748" s="34"/>
      <c r="U1748" s="34"/>
      <c r="V1748" s="34"/>
      <c r="W1748" s="34"/>
      <c r="X1748" s="34"/>
      <c r="Y1748" s="34"/>
      <c r="Z1748" s="34"/>
      <c r="AA1748" s="34"/>
    </row>
    <row r="1749" spans="1:27" ht="15">
      <c r="A1749" s="66" t="s">
        <v>254</v>
      </c>
      <c r="B1749" s="66" t="s">
        <v>478</v>
      </c>
      <c r="C1749" s="67" t="s">
        <v>4454</v>
      </c>
      <c r="D1749" s="68">
        <v>5</v>
      </c>
      <c r="E1749" s="69"/>
      <c r="F1749" s="70">
        <v>20</v>
      </c>
      <c r="G1749" s="67"/>
      <c r="H1749" s="71"/>
      <c r="I1749" s="72"/>
      <c r="J1749" s="72"/>
      <c r="K1749" s="34" t="s">
        <v>65</v>
      </c>
      <c r="L1749" s="79">
        <v>1749</v>
      </c>
      <c r="M1749" s="79"/>
      <c r="N1749" s="74"/>
      <c r="O1749" s="81" t="s">
        <v>944</v>
      </c>
      <c r="P1749">
        <v>1</v>
      </c>
      <c r="Q1749" s="80" t="str">
        <f>REPLACE(INDEX(GroupVertices[Group],MATCH(Edges[[#This Row],[Vertex 1]],GroupVertices[Vertex],0)),1,1,"")</f>
        <v>3</v>
      </c>
      <c r="R1749" s="80" t="str">
        <f>REPLACE(INDEX(GroupVertices[Group],MATCH(Edges[[#This Row],[Vertex 2]],GroupVertices[Vertex],0)),1,1,"")</f>
        <v>3</v>
      </c>
      <c r="S1749" s="34"/>
      <c r="T1749" s="34"/>
      <c r="U1749" s="34"/>
      <c r="V1749" s="34"/>
      <c r="W1749" s="34"/>
      <c r="X1749" s="34"/>
      <c r="Y1749" s="34"/>
      <c r="Z1749" s="34"/>
      <c r="AA1749" s="34"/>
    </row>
    <row r="1750" spans="1:27" ht="15">
      <c r="A1750" s="66" t="s">
        <v>256</v>
      </c>
      <c r="B1750" s="66" t="s">
        <v>478</v>
      </c>
      <c r="C1750" s="67" t="s">
        <v>4454</v>
      </c>
      <c r="D1750" s="68">
        <v>5</v>
      </c>
      <c r="E1750" s="69"/>
      <c r="F1750" s="70">
        <v>20</v>
      </c>
      <c r="G1750" s="67"/>
      <c r="H1750" s="71"/>
      <c r="I1750" s="72"/>
      <c r="J1750" s="72"/>
      <c r="K1750" s="34" t="s">
        <v>65</v>
      </c>
      <c r="L1750" s="79">
        <v>1750</v>
      </c>
      <c r="M1750" s="79"/>
      <c r="N1750" s="74"/>
      <c r="O1750" s="81" t="s">
        <v>944</v>
      </c>
      <c r="P1750">
        <v>1</v>
      </c>
      <c r="Q1750" s="80" t="str">
        <f>REPLACE(INDEX(GroupVertices[Group],MATCH(Edges[[#This Row],[Vertex 1]],GroupVertices[Vertex],0)),1,1,"")</f>
        <v>1</v>
      </c>
      <c r="R1750" s="80" t="str">
        <f>REPLACE(INDEX(GroupVertices[Group],MATCH(Edges[[#This Row],[Vertex 2]],GroupVertices[Vertex],0)),1,1,"")</f>
        <v>3</v>
      </c>
      <c r="S1750" s="34"/>
      <c r="T1750" s="34"/>
      <c r="U1750" s="34"/>
      <c r="V1750" s="34"/>
      <c r="W1750" s="34"/>
      <c r="X1750" s="34"/>
      <c r="Y1750" s="34"/>
      <c r="Z1750" s="34"/>
      <c r="AA1750" s="34"/>
    </row>
    <row r="1751" spans="1:27" ht="15">
      <c r="A1751" s="66" t="s">
        <v>258</v>
      </c>
      <c r="B1751" s="66" t="s">
        <v>478</v>
      </c>
      <c r="C1751" s="67" t="s">
        <v>4454</v>
      </c>
      <c r="D1751" s="68">
        <v>5</v>
      </c>
      <c r="E1751" s="69"/>
      <c r="F1751" s="70">
        <v>20</v>
      </c>
      <c r="G1751" s="67"/>
      <c r="H1751" s="71"/>
      <c r="I1751" s="72"/>
      <c r="J1751" s="72"/>
      <c r="K1751" s="34" t="s">
        <v>65</v>
      </c>
      <c r="L1751" s="79">
        <v>1751</v>
      </c>
      <c r="M1751" s="79"/>
      <c r="N1751" s="74"/>
      <c r="O1751" s="81" t="s">
        <v>944</v>
      </c>
      <c r="P1751">
        <v>1</v>
      </c>
      <c r="Q1751" s="80" t="str">
        <f>REPLACE(INDEX(GroupVertices[Group],MATCH(Edges[[#This Row],[Vertex 1]],GroupVertices[Vertex],0)),1,1,"")</f>
        <v>1</v>
      </c>
      <c r="R1751" s="80" t="str">
        <f>REPLACE(INDEX(GroupVertices[Group],MATCH(Edges[[#This Row],[Vertex 2]],GroupVertices[Vertex],0)),1,1,"")</f>
        <v>3</v>
      </c>
      <c r="S1751" s="34"/>
      <c r="T1751" s="34"/>
      <c r="U1751" s="34"/>
      <c r="V1751" s="34"/>
      <c r="W1751" s="34"/>
      <c r="X1751" s="34"/>
      <c r="Y1751" s="34"/>
      <c r="Z1751" s="34"/>
      <c r="AA1751" s="34"/>
    </row>
    <row r="1752" spans="1:27" ht="15">
      <c r="A1752" s="66" t="s">
        <v>217</v>
      </c>
      <c r="B1752" s="66" t="s">
        <v>849</v>
      </c>
      <c r="C1752" s="67" t="s">
        <v>4454</v>
      </c>
      <c r="D1752" s="68">
        <v>5</v>
      </c>
      <c r="E1752" s="69"/>
      <c r="F1752" s="70">
        <v>20</v>
      </c>
      <c r="G1752" s="67"/>
      <c r="H1752" s="71"/>
      <c r="I1752" s="72"/>
      <c r="J1752" s="72"/>
      <c r="K1752" s="34" t="s">
        <v>65</v>
      </c>
      <c r="L1752" s="79">
        <v>1752</v>
      </c>
      <c r="M1752" s="79"/>
      <c r="N1752" s="74"/>
      <c r="O1752" s="81" t="s">
        <v>944</v>
      </c>
      <c r="P1752">
        <v>1</v>
      </c>
      <c r="Q1752" s="80" t="str">
        <f>REPLACE(INDEX(GroupVertices[Group],MATCH(Edges[[#This Row],[Vertex 1]],GroupVertices[Vertex],0)),1,1,"")</f>
        <v>4</v>
      </c>
      <c r="R1752" s="80" t="str">
        <f>REPLACE(INDEX(GroupVertices[Group],MATCH(Edges[[#This Row],[Vertex 2]],GroupVertices[Vertex],0)),1,1,"")</f>
        <v>1</v>
      </c>
      <c r="S1752" s="34"/>
      <c r="T1752" s="34"/>
      <c r="U1752" s="34"/>
      <c r="V1752" s="34"/>
      <c r="W1752" s="34"/>
      <c r="X1752" s="34"/>
      <c r="Y1752" s="34"/>
      <c r="Z1752" s="34"/>
      <c r="AA1752" s="34"/>
    </row>
    <row r="1753" spans="1:27" ht="15">
      <c r="A1753" s="66" t="s">
        <v>252</v>
      </c>
      <c r="B1753" s="66" t="s">
        <v>849</v>
      </c>
      <c r="C1753" s="67" t="s">
        <v>4454</v>
      </c>
      <c r="D1753" s="68">
        <v>5</v>
      </c>
      <c r="E1753" s="69"/>
      <c r="F1753" s="70">
        <v>20</v>
      </c>
      <c r="G1753" s="67"/>
      <c r="H1753" s="71"/>
      <c r="I1753" s="72"/>
      <c r="J1753" s="72"/>
      <c r="K1753" s="34" t="s">
        <v>65</v>
      </c>
      <c r="L1753" s="79">
        <v>1753</v>
      </c>
      <c r="M1753" s="79"/>
      <c r="N1753" s="74"/>
      <c r="O1753" s="81" t="s">
        <v>944</v>
      </c>
      <c r="P1753">
        <v>1</v>
      </c>
      <c r="Q1753" s="80" t="str">
        <f>REPLACE(INDEX(GroupVertices[Group],MATCH(Edges[[#This Row],[Vertex 1]],GroupVertices[Vertex],0)),1,1,"")</f>
        <v>1</v>
      </c>
      <c r="R1753" s="80" t="str">
        <f>REPLACE(INDEX(GroupVertices[Group],MATCH(Edges[[#This Row],[Vertex 2]],GroupVertices[Vertex],0)),1,1,"")</f>
        <v>1</v>
      </c>
      <c r="S1753" s="34"/>
      <c r="T1753" s="34"/>
      <c r="U1753" s="34"/>
      <c r="V1753" s="34"/>
      <c r="W1753" s="34"/>
      <c r="X1753" s="34"/>
      <c r="Y1753" s="34"/>
      <c r="Z1753" s="34"/>
      <c r="AA1753" s="34"/>
    </row>
    <row r="1754" spans="1:27" ht="15">
      <c r="A1754" s="66" t="s">
        <v>253</v>
      </c>
      <c r="B1754" s="66" t="s">
        <v>849</v>
      </c>
      <c r="C1754" s="67" t="s">
        <v>4454</v>
      </c>
      <c r="D1754" s="68">
        <v>5</v>
      </c>
      <c r="E1754" s="69"/>
      <c r="F1754" s="70">
        <v>20</v>
      </c>
      <c r="G1754" s="67"/>
      <c r="H1754" s="71"/>
      <c r="I1754" s="72"/>
      <c r="J1754" s="72"/>
      <c r="K1754" s="34" t="s">
        <v>65</v>
      </c>
      <c r="L1754" s="79">
        <v>1754</v>
      </c>
      <c r="M1754" s="79"/>
      <c r="N1754" s="74"/>
      <c r="O1754" s="81" t="s">
        <v>944</v>
      </c>
      <c r="P1754">
        <v>1</v>
      </c>
      <c r="Q1754" s="80" t="str">
        <f>REPLACE(INDEX(GroupVertices[Group],MATCH(Edges[[#This Row],[Vertex 1]],GroupVertices[Vertex],0)),1,1,"")</f>
        <v>1</v>
      </c>
      <c r="R1754" s="80" t="str">
        <f>REPLACE(INDEX(GroupVertices[Group],MATCH(Edges[[#This Row],[Vertex 2]],GroupVertices[Vertex],0)),1,1,"")</f>
        <v>1</v>
      </c>
      <c r="S1754" s="34"/>
      <c r="T1754" s="34"/>
      <c r="U1754" s="34"/>
      <c r="V1754" s="34"/>
      <c r="W1754" s="34"/>
      <c r="X1754" s="34"/>
      <c r="Y1754" s="34"/>
      <c r="Z1754" s="34"/>
      <c r="AA1754" s="34"/>
    </row>
    <row r="1755" spans="1:27" ht="15">
      <c r="A1755" s="66" t="s">
        <v>254</v>
      </c>
      <c r="B1755" s="66" t="s">
        <v>849</v>
      </c>
      <c r="C1755" s="67" t="s">
        <v>4454</v>
      </c>
      <c r="D1755" s="68">
        <v>5</v>
      </c>
      <c r="E1755" s="69"/>
      <c r="F1755" s="70">
        <v>20</v>
      </c>
      <c r="G1755" s="67"/>
      <c r="H1755" s="71"/>
      <c r="I1755" s="72"/>
      <c r="J1755" s="72"/>
      <c r="K1755" s="34" t="s">
        <v>65</v>
      </c>
      <c r="L1755" s="79">
        <v>1755</v>
      </c>
      <c r="M1755" s="79"/>
      <c r="N1755" s="74"/>
      <c r="O1755" s="81" t="s">
        <v>944</v>
      </c>
      <c r="P1755">
        <v>1</v>
      </c>
      <c r="Q1755" s="80" t="str">
        <f>REPLACE(INDEX(GroupVertices[Group],MATCH(Edges[[#This Row],[Vertex 1]],GroupVertices[Vertex],0)),1,1,"")</f>
        <v>3</v>
      </c>
      <c r="R1755" s="80" t="str">
        <f>REPLACE(INDEX(GroupVertices[Group],MATCH(Edges[[#This Row],[Vertex 2]],GroupVertices[Vertex],0)),1,1,"")</f>
        <v>1</v>
      </c>
      <c r="S1755" s="34"/>
      <c r="T1755" s="34"/>
      <c r="U1755" s="34"/>
      <c r="V1755" s="34"/>
      <c r="W1755" s="34"/>
      <c r="X1755" s="34"/>
      <c r="Y1755" s="34"/>
      <c r="Z1755" s="34"/>
      <c r="AA1755" s="34"/>
    </row>
    <row r="1756" spans="1:27" ht="15">
      <c r="A1756" s="66" t="s">
        <v>258</v>
      </c>
      <c r="B1756" s="66" t="s">
        <v>849</v>
      </c>
      <c r="C1756" s="67" t="s">
        <v>4454</v>
      </c>
      <c r="D1756" s="68">
        <v>5</v>
      </c>
      <c r="E1756" s="69"/>
      <c r="F1756" s="70">
        <v>20</v>
      </c>
      <c r="G1756" s="67"/>
      <c r="H1756" s="71"/>
      <c r="I1756" s="72"/>
      <c r="J1756" s="72"/>
      <c r="K1756" s="34" t="s">
        <v>65</v>
      </c>
      <c r="L1756" s="79">
        <v>1756</v>
      </c>
      <c r="M1756" s="79"/>
      <c r="N1756" s="74"/>
      <c r="O1756" s="81" t="s">
        <v>944</v>
      </c>
      <c r="P1756">
        <v>1</v>
      </c>
      <c r="Q1756" s="80" t="str">
        <f>REPLACE(INDEX(GroupVertices[Group],MATCH(Edges[[#This Row],[Vertex 1]],GroupVertices[Vertex],0)),1,1,"")</f>
        <v>1</v>
      </c>
      <c r="R1756" s="80" t="str">
        <f>REPLACE(INDEX(GroupVertices[Group],MATCH(Edges[[#This Row],[Vertex 2]],GroupVertices[Vertex],0)),1,1,"")</f>
        <v>1</v>
      </c>
      <c r="S1756" s="34"/>
      <c r="T1756" s="34"/>
      <c r="U1756" s="34"/>
      <c r="V1756" s="34"/>
      <c r="W1756" s="34"/>
      <c r="X1756" s="34"/>
      <c r="Y1756" s="34"/>
      <c r="Z1756" s="34"/>
      <c r="AA1756" s="34"/>
    </row>
    <row r="1757" spans="1:27" ht="15">
      <c r="A1757" s="66" t="s">
        <v>220</v>
      </c>
      <c r="B1757" s="66" t="s">
        <v>244</v>
      </c>
      <c r="C1757" s="67" t="s">
        <v>4454</v>
      </c>
      <c r="D1757" s="68">
        <v>5</v>
      </c>
      <c r="E1757" s="69"/>
      <c r="F1757" s="70">
        <v>20</v>
      </c>
      <c r="G1757" s="67"/>
      <c r="H1757" s="71"/>
      <c r="I1757" s="72"/>
      <c r="J1757" s="72"/>
      <c r="K1757" s="34" t="s">
        <v>66</v>
      </c>
      <c r="L1757" s="79">
        <v>1757</v>
      </c>
      <c r="M1757" s="79"/>
      <c r="N1757" s="74"/>
      <c r="O1757" s="81" t="s">
        <v>944</v>
      </c>
      <c r="P1757">
        <v>1</v>
      </c>
      <c r="Q1757" s="80" t="str">
        <f>REPLACE(INDEX(GroupVertices[Group],MATCH(Edges[[#This Row],[Vertex 1]],GroupVertices[Vertex],0)),1,1,"")</f>
        <v>2</v>
      </c>
      <c r="R1757" s="80" t="str">
        <f>REPLACE(INDEX(GroupVertices[Group],MATCH(Edges[[#This Row],[Vertex 2]],GroupVertices[Vertex],0)),1,1,"")</f>
        <v>2</v>
      </c>
      <c r="S1757" s="34"/>
      <c r="T1757" s="34"/>
      <c r="U1757" s="34"/>
      <c r="V1757" s="34"/>
      <c r="W1757" s="34"/>
      <c r="X1757" s="34"/>
      <c r="Y1757" s="34"/>
      <c r="Z1757" s="34"/>
      <c r="AA1757" s="34"/>
    </row>
    <row r="1758" spans="1:27" ht="15">
      <c r="A1758" s="66" t="s">
        <v>221</v>
      </c>
      <c r="B1758" s="66" t="s">
        <v>244</v>
      </c>
      <c r="C1758" s="67" t="s">
        <v>4454</v>
      </c>
      <c r="D1758" s="68">
        <v>5</v>
      </c>
      <c r="E1758" s="69"/>
      <c r="F1758" s="70">
        <v>20</v>
      </c>
      <c r="G1758" s="67"/>
      <c r="H1758" s="71"/>
      <c r="I1758" s="72"/>
      <c r="J1758" s="72"/>
      <c r="K1758" s="34" t="s">
        <v>65</v>
      </c>
      <c r="L1758" s="79">
        <v>1758</v>
      </c>
      <c r="M1758" s="79"/>
      <c r="N1758" s="74"/>
      <c r="O1758" s="81" t="s">
        <v>944</v>
      </c>
      <c r="P1758">
        <v>1</v>
      </c>
      <c r="Q1758" s="80" t="str">
        <f>REPLACE(INDEX(GroupVertices[Group],MATCH(Edges[[#This Row],[Vertex 1]],GroupVertices[Vertex],0)),1,1,"")</f>
        <v>2</v>
      </c>
      <c r="R1758" s="80" t="str">
        <f>REPLACE(INDEX(GroupVertices[Group],MATCH(Edges[[#This Row],[Vertex 2]],GroupVertices[Vertex],0)),1,1,"")</f>
        <v>2</v>
      </c>
      <c r="S1758" s="34"/>
      <c r="T1758" s="34"/>
      <c r="U1758" s="34"/>
      <c r="V1758" s="34"/>
      <c r="W1758" s="34"/>
      <c r="X1758" s="34"/>
      <c r="Y1758" s="34"/>
      <c r="Z1758" s="34"/>
      <c r="AA1758" s="34"/>
    </row>
    <row r="1759" spans="1:27" ht="15">
      <c r="A1759" s="66" t="s">
        <v>224</v>
      </c>
      <c r="B1759" s="66" t="s">
        <v>244</v>
      </c>
      <c r="C1759" s="67" t="s">
        <v>4454</v>
      </c>
      <c r="D1759" s="68">
        <v>5</v>
      </c>
      <c r="E1759" s="69"/>
      <c r="F1759" s="70">
        <v>20</v>
      </c>
      <c r="G1759" s="67"/>
      <c r="H1759" s="71"/>
      <c r="I1759" s="72"/>
      <c r="J1759" s="72"/>
      <c r="K1759" s="34" t="s">
        <v>65</v>
      </c>
      <c r="L1759" s="79">
        <v>1759</v>
      </c>
      <c r="M1759" s="79"/>
      <c r="N1759" s="74"/>
      <c r="O1759" s="81" t="s">
        <v>944</v>
      </c>
      <c r="P1759">
        <v>1</v>
      </c>
      <c r="Q1759" s="80" t="str">
        <f>REPLACE(INDEX(GroupVertices[Group],MATCH(Edges[[#This Row],[Vertex 1]],GroupVertices[Vertex],0)),1,1,"")</f>
        <v>2</v>
      </c>
      <c r="R1759" s="80" t="str">
        <f>REPLACE(INDEX(GroupVertices[Group],MATCH(Edges[[#This Row],[Vertex 2]],GroupVertices[Vertex],0)),1,1,"")</f>
        <v>2</v>
      </c>
      <c r="S1759" s="34"/>
      <c r="T1759" s="34"/>
      <c r="U1759" s="34"/>
      <c r="V1759" s="34"/>
      <c r="W1759" s="34"/>
      <c r="X1759" s="34"/>
      <c r="Y1759" s="34"/>
      <c r="Z1759" s="34"/>
      <c r="AA1759" s="34"/>
    </row>
    <row r="1760" spans="1:27" ht="15">
      <c r="A1760" s="66" t="s">
        <v>238</v>
      </c>
      <c r="B1760" s="66" t="s">
        <v>244</v>
      </c>
      <c r="C1760" s="67" t="s">
        <v>4454</v>
      </c>
      <c r="D1760" s="68">
        <v>5</v>
      </c>
      <c r="E1760" s="69"/>
      <c r="F1760" s="70">
        <v>20</v>
      </c>
      <c r="G1760" s="67"/>
      <c r="H1760" s="71"/>
      <c r="I1760" s="72"/>
      <c r="J1760" s="72"/>
      <c r="K1760" s="34" t="s">
        <v>65</v>
      </c>
      <c r="L1760" s="79">
        <v>1760</v>
      </c>
      <c r="M1760" s="79"/>
      <c r="N1760" s="74"/>
      <c r="O1760" s="81" t="s">
        <v>944</v>
      </c>
      <c r="P1760">
        <v>1</v>
      </c>
      <c r="Q1760" s="80" t="str">
        <f>REPLACE(INDEX(GroupVertices[Group],MATCH(Edges[[#This Row],[Vertex 1]],GroupVertices[Vertex],0)),1,1,"")</f>
        <v>2</v>
      </c>
      <c r="R1760" s="80" t="str">
        <f>REPLACE(INDEX(GroupVertices[Group],MATCH(Edges[[#This Row],[Vertex 2]],GroupVertices[Vertex],0)),1,1,"")</f>
        <v>2</v>
      </c>
      <c r="S1760" s="34"/>
      <c r="T1760" s="34"/>
      <c r="U1760" s="34"/>
      <c r="V1760" s="34"/>
      <c r="W1760" s="34"/>
      <c r="X1760" s="34"/>
      <c r="Y1760" s="34"/>
      <c r="Z1760" s="34"/>
      <c r="AA1760" s="34"/>
    </row>
    <row r="1761" spans="1:27" ht="15">
      <c r="A1761" s="66" t="s">
        <v>241</v>
      </c>
      <c r="B1761" s="66" t="s">
        <v>244</v>
      </c>
      <c r="C1761" s="67" t="s">
        <v>4454</v>
      </c>
      <c r="D1761" s="68">
        <v>5</v>
      </c>
      <c r="E1761" s="69"/>
      <c r="F1761" s="70">
        <v>20</v>
      </c>
      <c r="G1761" s="67"/>
      <c r="H1761" s="71"/>
      <c r="I1761" s="72"/>
      <c r="J1761" s="72"/>
      <c r="K1761" s="34" t="s">
        <v>66</v>
      </c>
      <c r="L1761" s="79">
        <v>1761</v>
      </c>
      <c r="M1761" s="79"/>
      <c r="N1761" s="74"/>
      <c r="O1761" s="81" t="s">
        <v>944</v>
      </c>
      <c r="P1761">
        <v>1</v>
      </c>
      <c r="Q1761" s="80" t="str">
        <f>REPLACE(INDEX(GroupVertices[Group],MATCH(Edges[[#This Row],[Vertex 1]],GroupVertices[Vertex],0)),1,1,"")</f>
        <v>2</v>
      </c>
      <c r="R1761" s="80" t="str">
        <f>REPLACE(INDEX(GroupVertices[Group],MATCH(Edges[[#This Row],[Vertex 2]],GroupVertices[Vertex],0)),1,1,"")</f>
        <v>2</v>
      </c>
      <c r="S1761" s="34"/>
      <c r="T1761" s="34"/>
      <c r="U1761" s="34"/>
      <c r="V1761" s="34"/>
      <c r="W1761" s="34"/>
      <c r="X1761" s="34"/>
      <c r="Y1761" s="34"/>
      <c r="Z1761" s="34"/>
      <c r="AA1761" s="34"/>
    </row>
    <row r="1762" spans="1:27" ht="15">
      <c r="A1762" s="66" t="s">
        <v>244</v>
      </c>
      <c r="B1762" s="66" t="s">
        <v>246</v>
      </c>
      <c r="C1762" s="67" t="s">
        <v>4454</v>
      </c>
      <c r="D1762" s="68">
        <v>5</v>
      </c>
      <c r="E1762" s="69"/>
      <c r="F1762" s="70">
        <v>20</v>
      </c>
      <c r="G1762" s="67"/>
      <c r="H1762" s="71"/>
      <c r="I1762" s="72"/>
      <c r="J1762" s="72"/>
      <c r="K1762" s="34" t="s">
        <v>65</v>
      </c>
      <c r="L1762" s="79">
        <v>1762</v>
      </c>
      <c r="M1762" s="79"/>
      <c r="N1762" s="74"/>
      <c r="O1762" s="81" t="s">
        <v>944</v>
      </c>
      <c r="P1762">
        <v>1</v>
      </c>
      <c r="Q1762" s="80" t="str">
        <f>REPLACE(INDEX(GroupVertices[Group],MATCH(Edges[[#This Row],[Vertex 1]],GroupVertices[Vertex],0)),1,1,"")</f>
        <v>2</v>
      </c>
      <c r="R1762" s="80" t="str">
        <f>REPLACE(INDEX(GroupVertices[Group],MATCH(Edges[[#This Row],[Vertex 2]],GroupVertices[Vertex],0)),1,1,"")</f>
        <v>2</v>
      </c>
      <c r="S1762" s="34"/>
      <c r="T1762" s="34"/>
      <c r="U1762" s="34"/>
      <c r="V1762" s="34"/>
      <c r="W1762" s="34"/>
      <c r="X1762" s="34"/>
      <c r="Y1762" s="34"/>
      <c r="Z1762" s="34"/>
      <c r="AA1762" s="34"/>
    </row>
    <row r="1763" spans="1:27" ht="15">
      <c r="A1763" s="66" t="s">
        <v>244</v>
      </c>
      <c r="B1763" s="66" t="s">
        <v>482</v>
      </c>
      <c r="C1763" s="67" t="s">
        <v>4454</v>
      </c>
      <c r="D1763" s="68">
        <v>5</v>
      </c>
      <c r="E1763" s="69"/>
      <c r="F1763" s="70">
        <v>20</v>
      </c>
      <c r="G1763" s="67"/>
      <c r="H1763" s="71"/>
      <c r="I1763" s="72"/>
      <c r="J1763" s="72"/>
      <c r="K1763" s="34" t="s">
        <v>65</v>
      </c>
      <c r="L1763" s="79">
        <v>1763</v>
      </c>
      <c r="M1763" s="79"/>
      <c r="N1763" s="74"/>
      <c r="O1763" s="81" t="s">
        <v>944</v>
      </c>
      <c r="P1763">
        <v>1</v>
      </c>
      <c r="Q1763" s="80" t="str">
        <f>REPLACE(INDEX(GroupVertices[Group],MATCH(Edges[[#This Row],[Vertex 1]],GroupVertices[Vertex],0)),1,1,"")</f>
        <v>2</v>
      </c>
      <c r="R1763" s="80" t="str">
        <f>REPLACE(INDEX(GroupVertices[Group],MATCH(Edges[[#This Row],[Vertex 2]],GroupVertices[Vertex],0)),1,1,"")</f>
        <v>1</v>
      </c>
      <c r="S1763" s="34"/>
      <c r="T1763" s="34"/>
      <c r="U1763" s="34"/>
      <c r="V1763" s="34"/>
      <c r="W1763" s="34"/>
      <c r="X1763" s="34"/>
      <c r="Y1763" s="34"/>
      <c r="Z1763" s="34"/>
      <c r="AA1763" s="34"/>
    </row>
    <row r="1764" spans="1:27" ht="15">
      <c r="A1764" s="66" t="s">
        <v>244</v>
      </c>
      <c r="B1764" s="66" t="s">
        <v>260</v>
      </c>
      <c r="C1764" s="67" t="s">
        <v>4454</v>
      </c>
      <c r="D1764" s="68">
        <v>5</v>
      </c>
      <c r="E1764" s="69"/>
      <c r="F1764" s="70">
        <v>20</v>
      </c>
      <c r="G1764" s="67"/>
      <c r="H1764" s="71"/>
      <c r="I1764" s="72"/>
      <c r="J1764" s="72"/>
      <c r="K1764" s="34" t="s">
        <v>65</v>
      </c>
      <c r="L1764" s="79">
        <v>1764</v>
      </c>
      <c r="M1764" s="79"/>
      <c r="N1764" s="74"/>
      <c r="O1764" s="81" t="s">
        <v>944</v>
      </c>
      <c r="P1764">
        <v>1</v>
      </c>
      <c r="Q1764" s="80" t="str">
        <f>REPLACE(INDEX(GroupVertices[Group],MATCH(Edges[[#This Row],[Vertex 1]],GroupVertices[Vertex],0)),1,1,"")</f>
        <v>2</v>
      </c>
      <c r="R1764" s="80" t="str">
        <f>REPLACE(INDEX(GroupVertices[Group],MATCH(Edges[[#This Row],[Vertex 2]],GroupVertices[Vertex],0)),1,1,"")</f>
        <v>2</v>
      </c>
      <c r="S1764" s="34"/>
      <c r="T1764" s="34"/>
      <c r="U1764" s="34"/>
      <c r="V1764" s="34"/>
      <c r="W1764" s="34"/>
      <c r="X1764" s="34"/>
      <c r="Y1764" s="34"/>
      <c r="Z1764" s="34"/>
      <c r="AA1764" s="34"/>
    </row>
    <row r="1765" spans="1:27" ht="15">
      <c r="A1765" s="66" t="s">
        <v>244</v>
      </c>
      <c r="B1765" s="66" t="s">
        <v>226</v>
      </c>
      <c r="C1765" s="67" t="s">
        <v>4454</v>
      </c>
      <c r="D1765" s="68">
        <v>5</v>
      </c>
      <c r="E1765" s="69"/>
      <c r="F1765" s="70">
        <v>20</v>
      </c>
      <c r="G1765" s="67"/>
      <c r="H1765" s="71"/>
      <c r="I1765" s="72"/>
      <c r="J1765" s="72"/>
      <c r="K1765" s="34" t="s">
        <v>65</v>
      </c>
      <c r="L1765" s="79">
        <v>1765</v>
      </c>
      <c r="M1765" s="79"/>
      <c r="N1765" s="74"/>
      <c r="O1765" s="81" t="s">
        <v>944</v>
      </c>
      <c r="P1765">
        <v>1</v>
      </c>
      <c r="Q1765" s="80" t="str">
        <f>REPLACE(INDEX(GroupVertices[Group],MATCH(Edges[[#This Row],[Vertex 1]],GroupVertices[Vertex],0)),1,1,"")</f>
        <v>2</v>
      </c>
      <c r="R1765" s="80" t="str">
        <f>REPLACE(INDEX(GroupVertices[Group],MATCH(Edges[[#This Row],[Vertex 2]],GroupVertices[Vertex],0)),1,1,"")</f>
        <v>4</v>
      </c>
      <c r="S1765" s="34"/>
      <c r="T1765" s="34"/>
      <c r="U1765" s="34"/>
      <c r="V1765" s="34"/>
      <c r="W1765" s="34"/>
      <c r="X1765" s="34"/>
      <c r="Y1765" s="34"/>
      <c r="Z1765" s="34"/>
      <c r="AA1765" s="34"/>
    </row>
    <row r="1766" spans="1:27" ht="15">
      <c r="A1766" s="66" t="s">
        <v>244</v>
      </c>
      <c r="B1766" s="66" t="s">
        <v>510</v>
      </c>
      <c r="C1766" s="67" t="s">
        <v>4454</v>
      </c>
      <c r="D1766" s="68">
        <v>5</v>
      </c>
      <c r="E1766" s="69"/>
      <c r="F1766" s="70">
        <v>20</v>
      </c>
      <c r="G1766" s="67"/>
      <c r="H1766" s="71"/>
      <c r="I1766" s="72"/>
      <c r="J1766" s="72"/>
      <c r="K1766" s="34" t="s">
        <v>65</v>
      </c>
      <c r="L1766" s="79">
        <v>1766</v>
      </c>
      <c r="M1766" s="79"/>
      <c r="N1766" s="74"/>
      <c r="O1766" s="81" t="s">
        <v>944</v>
      </c>
      <c r="P1766">
        <v>1</v>
      </c>
      <c r="Q1766" s="80" t="str">
        <f>REPLACE(INDEX(GroupVertices[Group],MATCH(Edges[[#This Row],[Vertex 1]],GroupVertices[Vertex],0)),1,1,"")</f>
        <v>2</v>
      </c>
      <c r="R1766" s="80" t="str">
        <f>REPLACE(INDEX(GroupVertices[Group],MATCH(Edges[[#This Row],[Vertex 2]],GroupVertices[Vertex],0)),1,1,"")</f>
        <v>2</v>
      </c>
      <c r="S1766" s="34"/>
      <c r="T1766" s="34"/>
      <c r="U1766" s="34"/>
      <c r="V1766" s="34"/>
      <c r="W1766" s="34"/>
      <c r="X1766" s="34"/>
      <c r="Y1766" s="34"/>
      <c r="Z1766" s="34"/>
      <c r="AA1766" s="34"/>
    </row>
    <row r="1767" spans="1:27" ht="15">
      <c r="A1767" s="66" t="s">
        <v>244</v>
      </c>
      <c r="B1767" s="66" t="s">
        <v>259</v>
      </c>
      <c r="C1767" s="67" t="s">
        <v>4454</v>
      </c>
      <c r="D1767" s="68">
        <v>5</v>
      </c>
      <c r="E1767" s="69"/>
      <c r="F1767" s="70">
        <v>20</v>
      </c>
      <c r="G1767" s="67"/>
      <c r="H1767" s="71"/>
      <c r="I1767" s="72"/>
      <c r="J1767" s="72"/>
      <c r="K1767" s="34" t="s">
        <v>65</v>
      </c>
      <c r="L1767" s="79">
        <v>1767</v>
      </c>
      <c r="M1767" s="79"/>
      <c r="N1767" s="74"/>
      <c r="O1767" s="81" t="s">
        <v>944</v>
      </c>
      <c r="P1767">
        <v>1</v>
      </c>
      <c r="Q1767" s="80" t="str">
        <f>REPLACE(INDEX(GroupVertices[Group],MATCH(Edges[[#This Row],[Vertex 1]],GroupVertices[Vertex],0)),1,1,"")</f>
        <v>2</v>
      </c>
      <c r="R1767" s="80" t="str">
        <f>REPLACE(INDEX(GroupVertices[Group],MATCH(Edges[[#This Row],[Vertex 2]],GroupVertices[Vertex],0)),1,1,"")</f>
        <v>2</v>
      </c>
      <c r="S1767" s="34"/>
      <c r="T1767" s="34"/>
      <c r="U1767" s="34"/>
      <c r="V1767" s="34"/>
      <c r="W1767" s="34"/>
      <c r="X1767" s="34"/>
      <c r="Y1767" s="34"/>
      <c r="Z1767" s="34"/>
      <c r="AA1767" s="34"/>
    </row>
    <row r="1768" spans="1:27" ht="15">
      <c r="A1768" s="66" t="s">
        <v>244</v>
      </c>
      <c r="B1768" s="66" t="s">
        <v>247</v>
      </c>
      <c r="C1768" s="67" t="s">
        <v>4454</v>
      </c>
      <c r="D1768" s="68">
        <v>5</v>
      </c>
      <c r="E1768" s="69"/>
      <c r="F1768" s="70">
        <v>20</v>
      </c>
      <c r="G1768" s="67"/>
      <c r="H1768" s="71"/>
      <c r="I1768" s="72"/>
      <c r="J1768" s="72"/>
      <c r="K1768" s="34" t="s">
        <v>66</v>
      </c>
      <c r="L1768" s="79">
        <v>1768</v>
      </c>
      <c r="M1768" s="79"/>
      <c r="N1768" s="74"/>
      <c r="O1768" s="81" t="s">
        <v>944</v>
      </c>
      <c r="P1768">
        <v>1</v>
      </c>
      <c r="Q1768" s="80" t="str">
        <f>REPLACE(INDEX(GroupVertices[Group],MATCH(Edges[[#This Row],[Vertex 1]],GroupVertices[Vertex],0)),1,1,"")</f>
        <v>2</v>
      </c>
      <c r="R1768" s="80" t="str">
        <f>REPLACE(INDEX(GroupVertices[Group],MATCH(Edges[[#This Row],[Vertex 2]],GroupVertices[Vertex],0)),1,1,"")</f>
        <v>2</v>
      </c>
      <c r="S1768" s="34"/>
      <c r="T1768" s="34"/>
      <c r="U1768" s="34"/>
      <c r="V1768" s="34"/>
      <c r="W1768" s="34"/>
      <c r="X1768" s="34"/>
      <c r="Y1768" s="34"/>
      <c r="Z1768" s="34"/>
      <c r="AA1768" s="34"/>
    </row>
    <row r="1769" spans="1:27" ht="15">
      <c r="A1769" s="66" t="s">
        <v>244</v>
      </c>
      <c r="B1769" s="66" t="s">
        <v>255</v>
      </c>
      <c r="C1769" s="67" t="s">
        <v>4454</v>
      </c>
      <c r="D1769" s="68">
        <v>5</v>
      </c>
      <c r="E1769" s="69"/>
      <c r="F1769" s="70">
        <v>20</v>
      </c>
      <c r="G1769" s="67"/>
      <c r="H1769" s="71"/>
      <c r="I1769" s="72"/>
      <c r="J1769" s="72"/>
      <c r="K1769" s="34" t="s">
        <v>65</v>
      </c>
      <c r="L1769" s="79">
        <v>1769</v>
      </c>
      <c r="M1769" s="79"/>
      <c r="N1769" s="74"/>
      <c r="O1769" s="81" t="s">
        <v>944</v>
      </c>
      <c r="P1769">
        <v>1</v>
      </c>
      <c r="Q1769" s="80" t="str">
        <f>REPLACE(INDEX(GroupVertices[Group],MATCH(Edges[[#This Row],[Vertex 1]],GroupVertices[Vertex],0)),1,1,"")</f>
        <v>2</v>
      </c>
      <c r="R1769" s="80" t="str">
        <f>REPLACE(INDEX(GroupVertices[Group],MATCH(Edges[[#This Row],[Vertex 2]],GroupVertices[Vertex],0)),1,1,"")</f>
        <v>4</v>
      </c>
      <c r="S1769" s="34"/>
      <c r="T1769" s="34"/>
      <c r="U1769" s="34"/>
      <c r="V1769" s="34"/>
      <c r="W1769" s="34"/>
      <c r="X1769" s="34"/>
      <c r="Y1769" s="34"/>
      <c r="Z1769" s="34"/>
      <c r="AA1769" s="34"/>
    </row>
    <row r="1770" spans="1:27" ht="15">
      <c r="A1770" s="66" t="s">
        <v>244</v>
      </c>
      <c r="B1770" s="66" t="s">
        <v>249</v>
      </c>
      <c r="C1770" s="67" t="s">
        <v>4454</v>
      </c>
      <c r="D1770" s="68">
        <v>5</v>
      </c>
      <c r="E1770" s="69"/>
      <c r="F1770" s="70">
        <v>20</v>
      </c>
      <c r="G1770" s="67"/>
      <c r="H1770" s="71"/>
      <c r="I1770" s="72"/>
      <c r="J1770" s="72"/>
      <c r="K1770" s="34" t="s">
        <v>66</v>
      </c>
      <c r="L1770" s="79">
        <v>1770</v>
      </c>
      <c r="M1770" s="79"/>
      <c r="N1770" s="74"/>
      <c r="O1770" s="81" t="s">
        <v>944</v>
      </c>
      <c r="P1770">
        <v>1</v>
      </c>
      <c r="Q1770" s="80" t="str">
        <f>REPLACE(INDEX(GroupVertices[Group],MATCH(Edges[[#This Row],[Vertex 1]],GroupVertices[Vertex],0)),1,1,"")</f>
        <v>2</v>
      </c>
      <c r="R1770" s="80" t="str">
        <f>REPLACE(INDEX(GroupVertices[Group],MATCH(Edges[[#This Row],[Vertex 2]],GroupVertices[Vertex],0)),1,1,"")</f>
        <v>2</v>
      </c>
      <c r="S1770" s="34"/>
      <c r="T1770" s="34"/>
      <c r="U1770" s="34"/>
      <c r="V1770" s="34"/>
      <c r="W1770" s="34"/>
      <c r="X1770" s="34"/>
      <c r="Y1770" s="34"/>
      <c r="Z1770" s="34"/>
      <c r="AA1770" s="34"/>
    </row>
    <row r="1771" spans="1:27" ht="15">
      <c r="A1771" s="66" t="s">
        <v>244</v>
      </c>
      <c r="B1771" s="66" t="s">
        <v>250</v>
      </c>
      <c r="C1771" s="67" t="s">
        <v>4454</v>
      </c>
      <c r="D1771" s="68">
        <v>5</v>
      </c>
      <c r="E1771" s="69"/>
      <c r="F1771" s="70">
        <v>20</v>
      </c>
      <c r="G1771" s="67"/>
      <c r="H1771" s="71"/>
      <c r="I1771" s="72"/>
      <c r="J1771" s="72"/>
      <c r="K1771" s="34" t="s">
        <v>65</v>
      </c>
      <c r="L1771" s="79">
        <v>1771</v>
      </c>
      <c r="M1771" s="79"/>
      <c r="N1771" s="74"/>
      <c r="O1771" s="81" t="s">
        <v>944</v>
      </c>
      <c r="P1771">
        <v>1</v>
      </c>
      <c r="Q1771" s="80" t="str">
        <f>REPLACE(INDEX(GroupVertices[Group],MATCH(Edges[[#This Row],[Vertex 1]],GroupVertices[Vertex],0)),1,1,"")</f>
        <v>2</v>
      </c>
      <c r="R1771" s="80" t="str">
        <f>REPLACE(INDEX(GroupVertices[Group],MATCH(Edges[[#This Row],[Vertex 2]],GroupVertices[Vertex],0)),1,1,"")</f>
        <v>2</v>
      </c>
      <c r="S1771" s="34"/>
      <c r="T1771" s="34"/>
      <c r="U1771" s="34"/>
      <c r="V1771" s="34"/>
      <c r="W1771" s="34"/>
      <c r="X1771" s="34"/>
      <c r="Y1771" s="34"/>
      <c r="Z1771" s="34"/>
      <c r="AA1771" s="34"/>
    </row>
    <row r="1772" spans="1:27" ht="15">
      <c r="A1772" s="66" t="s">
        <v>244</v>
      </c>
      <c r="B1772" s="66" t="s">
        <v>253</v>
      </c>
      <c r="C1772" s="67" t="s">
        <v>4454</v>
      </c>
      <c r="D1772" s="68">
        <v>5</v>
      </c>
      <c r="E1772" s="69"/>
      <c r="F1772" s="70">
        <v>20</v>
      </c>
      <c r="G1772" s="67"/>
      <c r="H1772" s="71"/>
      <c r="I1772" s="72"/>
      <c r="J1772" s="72"/>
      <c r="K1772" s="34" t="s">
        <v>65</v>
      </c>
      <c r="L1772" s="79">
        <v>1772</v>
      </c>
      <c r="M1772" s="79"/>
      <c r="N1772" s="74"/>
      <c r="O1772" s="81" t="s">
        <v>944</v>
      </c>
      <c r="P1772">
        <v>1</v>
      </c>
      <c r="Q1772" s="80" t="str">
        <f>REPLACE(INDEX(GroupVertices[Group],MATCH(Edges[[#This Row],[Vertex 1]],GroupVertices[Vertex],0)),1,1,"")</f>
        <v>2</v>
      </c>
      <c r="R1772" s="80" t="str">
        <f>REPLACE(INDEX(GroupVertices[Group],MATCH(Edges[[#This Row],[Vertex 2]],GroupVertices[Vertex],0)),1,1,"")</f>
        <v>1</v>
      </c>
      <c r="S1772" s="34"/>
      <c r="T1772" s="34"/>
      <c r="U1772" s="34"/>
      <c r="V1772" s="34"/>
      <c r="W1772" s="34"/>
      <c r="X1772" s="34"/>
      <c r="Y1772" s="34"/>
      <c r="Z1772" s="34"/>
      <c r="AA1772" s="34"/>
    </row>
    <row r="1773" spans="1:27" ht="15">
      <c r="A1773" s="66" t="s">
        <v>244</v>
      </c>
      <c r="B1773" s="66" t="s">
        <v>241</v>
      </c>
      <c r="C1773" s="67" t="s">
        <v>4454</v>
      </c>
      <c r="D1773" s="68">
        <v>5</v>
      </c>
      <c r="E1773" s="69"/>
      <c r="F1773" s="70">
        <v>20</v>
      </c>
      <c r="G1773" s="67"/>
      <c r="H1773" s="71"/>
      <c r="I1773" s="72"/>
      <c r="J1773" s="72"/>
      <c r="K1773" s="34" t="s">
        <v>66</v>
      </c>
      <c r="L1773" s="79">
        <v>1773</v>
      </c>
      <c r="M1773" s="79"/>
      <c r="N1773" s="74"/>
      <c r="O1773" s="81" t="s">
        <v>944</v>
      </c>
      <c r="P1773">
        <v>1</v>
      </c>
      <c r="Q1773" s="80" t="str">
        <f>REPLACE(INDEX(GroupVertices[Group],MATCH(Edges[[#This Row],[Vertex 1]],GroupVertices[Vertex],0)),1,1,"")</f>
        <v>2</v>
      </c>
      <c r="R1773" s="80" t="str">
        <f>REPLACE(INDEX(GroupVertices[Group],MATCH(Edges[[#This Row],[Vertex 2]],GroupVertices[Vertex],0)),1,1,"")</f>
        <v>2</v>
      </c>
      <c r="S1773" s="34"/>
      <c r="T1773" s="34"/>
      <c r="U1773" s="34"/>
      <c r="V1773" s="34"/>
      <c r="W1773" s="34"/>
      <c r="X1773" s="34"/>
      <c r="Y1773" s="34"/>
      <c r="Z1773" s="34"/>
      <c r="AA1773" s="34"/>
    </row>
    <row r="1774" spans="1:27" ht="15">
      <c r="A1774" s="66" t="s">
        <v>244</v>
      </c>
      <c r="B1774" s="66" t="s">
        <v>217</v>
      </c>
      <c r="C1774" s="67" t="s">
        <v>4454</v>
      </c>
      <c r="D1774" s="68">
        <v>5</v>
      </c>
      <c r="E1774" s="69"/>
      <c r="F1774" s="70">
        <v>20</v>
      </c>
      <c r="G1774" s="67"/>
      <c r="H1774" s="71"/>
      <c r="I1774" s="72"/>
      <c r="J1774" s="72"/>
      <c r="K1774" s="34" t="s">
        <v>65</v>
      </c>
      <c r="L1774" s="79">
        <v>1774</v>
      </c>
      <c r="M1774" s="79"/>
      <c r="N1774" s="74"/>
      <c r="O1774" s="81" t="s">
        <v>944</v>
      </c>
      <c r="P1774">
        <v>1</v>
      </c>
      <c r="Q1774" s="80" t="str">
        <f>REPLACE(INDEX(GroupVertices[Group],MATCH(Edges[[#This Row],[Vertex 1]],GroupVertices[Vertex],0)),1,1,"")</f>
        <v>2</v>
      </c>
      <c r="R1774" s="80" t="str">
        <f>REPLACE(INDEX(GroupVertices[Group],MATCH(Edges[[#This Row],[Vertex 2]],GroupVertices[Vertex],0)),1,1,"")</f>
        <v>4</v>
      </c>
      <c r="S1774" s="34"/>
      <c r="T1774" s="34"/>
      <c r="U1774" s="34"/>
      <c r="V1774" s="34"/>
      <c r="W1774" s="34"/>
      <c r="X1774" s="34"/>
      <c r="Y1774" s="34"/>
      <c r="Z1774" s="34"/>
      <c r="AA1774" s="34"/>
    </row>
    <row r="1775" spans="1:27" ht="15">
      <c r="A1775" s="66" t="s">
        <v>244</v>
      </c>
      <c r="B1775" s="66" t="s">
        <v>220</v>
      </c>
      <c r="C1775" s="67" t="s">
        <v>4454</v>
      </c>
      <c r="D1775" s="68">
        <v>5</v>
      </c>
      <c r="E1775" s="69"/>
      <c r="F1775" s="70">
        <v>20</v>
      </c>
      <c r="G1775" s="67"/>
      <c r="H1775" s="71"/>
      <c r="I1775" s="72"/>
      <c r="J1775" s="72"/>
      <c r="K1775" s="34" t="s">
        <v>66</v>
      </c>
      <c r="L1775" s="79">
        <v>1775</v>
      </c>
      <c r="M1775" s="79"/>
      <c r="N1775" s="74"/>
      <c r="O1775" s="81" t="s">
        <v>944</v>
      </c>
      <c r="P1775">
        <v>1</v>
      </c>
      <c r="Q1775" s="80" t="str">
        <f>REPLACE(INDEX(GroupVertices[Group],MATCH(Edges[[#This Row],[Vertex 1]],GroupVertices[Vertex],0)),1,1,"")</f>
        <v>2</v>
      </c>
      <c r="R1775" s="80" t="str">
        <f>REPLACE(INDEX(GroupVertices[Group],MATCH(Edges[[#This Row],[Vertex 2]],GroupVertices[Vertex],0)),1,1,"")</f>
        <v>2</v>
      </c>
      <c r="S1775" s="34"/>
      <c r="T1775" s="34"/>
      <c r="U1775" s="34"/>
      <c r="V1775" s="34"/>
      <c r="W1775" s="34"/>
      <c r="X1775" s="34"/>
      <c r="Y1775" s="34"/>
      <c r="Z1775" s="34"/>
      <c r="AA1775" s="34"/>
    </row>
    <row r="1776" spans="1:27" ht="15">
      <c r="A1776" s="66" t="s">
        <v>247</v>
      </c>
      <c r="B1776" s="66" t="s">
        <v>244</v>
      </c>
      <c r="C1776" s="67" t="s">
        <v>4454</v>
      </c>
      <c r="D1776" s="68">
        <v>5</v>
      </c>
      <c r="E1776" s="69"/>
      <c r="F1776" s="70">
        <v>20</v>
      </c>
      <c r="G1776" s="67"/>
      <c r="H1776" s="71"/>
      <c r="I1776" s="72"/>
      <c r="J1776" s="72"/>
      <c r="K1776" s="34" t="s">
        <v>66</v>
      </c>
      <c r="L1776" s="79">
        <v>1776</v>
      </c>
      <c r="M1776" s="79"/>
      <c r="N1776" s="74"/>
      <c r="O1776" s="81" t="s">
        <v>944</v>
      </c>
      <c r="P1776">
        <v>1</v>
      </c>
      <c r="Q1776" s="80" t="str">
        <f>REPLACE(INDEX(GroupVertices[Group],MATCH(Edges[[#This Row],[Vertex 1]],GroupVertices[Vertex],0)),1,1,"")</f>
        <v>2</v>
      </c>
      <c r="R1776" s="80" t="str">
        <f>REPLACE(INDEX(GroupVertices[Group],MATCH(Edges[[#This Row],[Vertex 2]],GroupVertices[Vertex],0)),1,1,"")</f>
        <v>2</v>
      </c>
      <c r="S1776" s="34"/>
      <c r="T1776" s="34"/>
      <c r="U1776" s="34"/>
      <c r="V1776" s="34"/>
      <c r="W1776" s="34"/>
      <c r="X1776" s="34"/>
      <c r="Y1776" s="34"/>
      <c r="Z1776" s="34"/>
      <c r="AA1776" s="34"/>
    </row>
    <row r="1777" spans="1:27" ht="15">
      <c r="A1777" s="66" t="s">
        <v>249</v>
      </c>
      <c r="B1777" s="66" t="s">
        <v>244</v>
      </c>
      <c r="C1777" s="67" t="s">
        <v>4454</v>
      </c>
      <c r="D1777" s="68">
        <v>5</v>
      </c>
      <c r="E1777" s="69"/>
      <c r="F1777" s="70">
        <v>20</v>
      </c>
      <c r="G1777" s="67"/>
      <c r="H1777" s="71"/>
      <c r="I1777" s="72"/>
      <c r="J1777" s="72"/>
      <c r="K1777" s="34" t="s">
        <v>66</v>
      </c>
      <c r="L1777" s="79">
        <v>1777</v>
      </c>
      <c r="M1777" s="79"/>
      <c r="N1777" s="74"/>
      <c r="O1777" s="81" t="s">
        <v>944</v>
      </c>
      <c r="P1777">
        <v>1</v>
      </c>
      <c r="Q1777" s="80" t="str">
        <f>REPLACE(INDEX(GroupVertices[Group],MATCH(Edges[[#This Row],[Vertex 1]],GroupVertices[Vertex],0)),1,1,"")</f>
        <v>2</v>
      </c>
      <c r="R1777" s="80" t="str">
        <f>REPLACE(INDEX(GroupVertices[Group],MATCH(Edges[[#This Row],[Vertex 2]],GroupVertices[Vertex],0)),1,1,"")</f>
        <v>2</v>
      </c>
      <c r="S1777" s="34"/>
      <c r="T1777" s="34"/>
      <c r="U1777" s="34"/>
      <c r="V1777" s="34"/>
      <c r="W1777" s="34"/>
      <c r="X1777" s="34"/>
      <c r="Y1777" s="34"/>
      <c r="Z1777" s="34"/>
      <c r="AA1777" s="34"/>
    </row>
    <row r="1778" spans="1:27" ht="15">
      <c r="A1778" s="66" t="s">
        <v>256</v>
      </c>
      <c r="B1778" s="66" t="s">
        <v>244</v>
      </c>
      <c r="C1778" s="67" t="s">
        <v>4454</v>
      </c>
      <c r="D1778" s="68">
        <v>5</v>
      </c>
      <c r="E1778" s="69"/>
      <c r="F1778" s="70">
        <v>20</v>
      </c>
      <c r="G1778" s="67"/>
      <c r="H1778" s="71"/>
      <c r="I1778" s="72"/>
      <c r="J1778" s="72"/>
      <c r="K1778" s="34" t="s">
        <v>65</v>
      </c>
      <c r="L1778" s="79">
        <v>1778</v>
      </c>
      <c r="M1778" s="79"/>
      <c r="N1778" s="74"/>
      <c r="O1778" s="81" t="s">
        <v>944</v>
      </c>
      <c r="P1778">
        <v>1</v>
      </c>
      <c r="Q1778" s="80" t="str">
        <f>REPLACE(INDEX(GroupVertices[Group],MATCH(Edges[[#This Row],[Vertex 1]],GroupVertices[Vertex],0)),1,1,"")</f>
        <v>1</v>
      </c>
      <c r="R1778" s="80" t="str">
        <f>REPLACE(INDEX(GroupVertices[Group],MATCH(Edges[[#This Row],[Vertex 2]],GroupVertices[Vertex],0)),1,1,"")</f>
        <v>2</v>
      </c>
      <c r="S1778" s="34"/>
      <c r="T1778" s="34"/>
      <c r="U1778" s="34"/>
      <c r="V1778" s="34"/>
      <c r="W1778" s="34"/>
      <c r="X1778" s="34"/>
      <c r="Y1778" s="34"/>
      <c r="Z1778" s="34"/>
      <c r="AA1778" s="34"/>
    </row>
    <row r="1779" spans="1:27" ht="15">
      <c r="A1779" s="66" t="s">
        <v>258</v>
      </c>
      <c r="B1779" s="66" t="s">
        <v>244</v>
      </c>
      <c r="C1779" s="67" t="s">
        <v>4454</v>
      </c>
      <c r="D1779" s="68">
        <v>5</v>
      </c>
      <c r="E1779" s="69"/>
      <c r="F1779" s="70">
        <v>20</v>
      </c>
      <c r="G1779" s="67"/>
      <c r="H1779" s="71"/>
      <c r="I1779" s="72"/>
      <c r="J1779" s="72"/>
      <c r="K1779" s="34" t="s">
        <v>65</v>
      </c>
      <c r="L1779" s="79">
        <v>1779</v>
      </c>
      <c r="M1779" s="79"/>
      <c r="N1779" s="74"/>
      <c r="O1779" s="81" t="s">
        <v>944</v>
      </c>
      <c r="P1779">
        <v>1</v>
      </c>
      <c r="Q1779" s="80" t="str">
        <f>REPLACE(INDEX(GroupVertices[Group],MATCH(Edges[[#This Row],[Vertex 1]],GroupVertices[Vertex],0)),1,1,"")</f>
        <v>1</v>
      </c>
      <c r="R1779" s="80" t="str">
        <f>REPLACE(INDEX(GroupVertices[Group],MATCH(Edges[[#This Row],[Vertex 2]],GroupVertices[Vertex],0)),1,1,"")</f>
        <v>2</v>
      </c>
      <c r="S1779" s="34"/>
      <c r="T1779" s="34"/>
      <c r="U1779" s="34"/>
      <c r="V1779" s="34"/>
      <c r="W1779" s="34"/>
      <c r="X1779" s="34"/>
      <c r="Y1779" s="34"/>
      <c r="Z1779" s="34"/>
      <c r="AA1779" s="34"/>
    </row>
    <row r="1780" spans="1:27" ht="15">
      <c r="A1780" s="66" t="s">
        <v>259</v>
      </c>
      <c r="B1780" s="66" t="s">
        <v>893</v>
      </c>
      <c r="C1780" s="67" t="s">
        <v>4454</v>
      </c>
      <c r="D1780" s="68">
        <v>5</v>
      </c>
      <c r="E1780" s="69"/>
      <c r="F1780" s="70">
        <v>20</v>
      </c>
      <c r="G1780" s="67"/>
      <c r="H1780" s="71"/>
      <c r="I1780" s="72"/>
      <c r="J1780" s="72"/>
      <c r="K1780" s="34"/>
      <c r="L1780" s="79">
        <v>1780</v>
      </c>
      <c r="M1780" s="79"/>
      <c r="N1780" s="74"/>
      <c r="O1780" s="81" t="s">
        <v>944</v>
      </c>
      <c r="P1780">
        <v>1</v>
      </c>
      <c r="Q1780" s="80" t="str">
        <f>REPLACE(INDEX(GroupVertices[Group],MATCH(Edges[[#This Row],[Vertex 1]],GroupVertices[Vertex],0)),1,1,"")</f>
        <v>2</v>
      </c>
      <c r="R1780" s="80" t="e">
        <f>REPLACE(INDEX(GroupVertices[Group],MATCH(Edges[[#This Row],[Vertex 2]],GroupVertices[Vertex],0)),1,1,"")</f>
        <v>#N/A</v>
      </c>
      <c r="S1780" s="34"/>
      <c r="T1780" s="34"/>
      <c r="U1780" s="34"/>
      <c r="V1780" s="34"/>
      <c r="W1780" s="34"/>
      <c r="X1780" s="34"/>
      <c r="Y1780" s="34"/>
      <c r="Z1780" s="34"/>
      <c r="AA1780" s="34"/>
    </row>
    <row r="1781" spans="1:27" ht="15">
      <c r="A1781" s="66" t="s">
        <v>259</v>
      </c>
      <c r="B1781" s="66" t="s">
        <v>611</v>
      </c>
      <c r="C1781" s="67" t="s">
        <v>4454</v>
      </c>
      <c r="D1781" s="68">
        <v>5</v>
      </c>
      <c r="E1781" s="69"/>
      <c r="F1781" s="70">
        <v>20</v>
      </c>
      <c r="G1781" s="67"/>
      <c r="H1781" s="71"/>
      <c r="I1781" s="72"/>
      <c r="J1781" s="72"/>
      <c r="K1781" s="34" t="s">
        <v>65</v>
      </c>
      <c r="L1781" s="79">
        <v>1781</v>
      </c>
      <c r="M1781" s="79"/>
      <c r="N1781" s="74"/>
      <c r="O1781" s="81" t="s">
        <v>944</v>
      </c>
      <c r="P1781">
        <v>1</v>
      </c>
      <c r="Q1781" s="80" t="str">
        <f>REPLACE(INDEX(GroupVertices[Group],MATCH(Edges[[#This Row],[Vertex 1]],GroupVertices[Vertex],0)),1,1,"")</f>
        <v>2</v>
      </c>
      <c r="R1781" s="80" t="str">
        <f>REPLACE(INDEX(GroupVertices[Group],MATCH(Edges[[#This Row],[Vertex 2]],GroupVertices[Vertex],0)),1,1,"")</f>
        <v>1</v>
      </c>
      <c r="S1781" s="34"/>
      <c r="T1781" s="34"/>
      <c r="U1781" s="34"/>
      <c r="V1781" s="34"/>
      <c r="W1781" s="34"/>
      <c r="X1781" s="34"/>
      <c r="Y1781" s="34"/>
      <c r="Z1781" s="34"/>
      <c r="AA1781" s="34"/>
    </row>
    <row r="1782" spans="1:27" ht="15">
      <c r="A1782" s="66" t="s">
        <v>259</v>
      </c>
      <c r="B1782" s="66" t="s">
        <v>612</v>
      </c>
      <c r="C1782" s="67" t="s">
        <v>4454</v>
      </c>
      <c r="D1782" s="68">
        <v>5</v>
      </c>
      <c r="E1782" s="69"/>
      <c r="F1782" s="70">
        <v>20</v>
      </c>
      <c r="G1782" s="67"/>
      <c r="H1782" s="71"/>
      <c r="I1782" s="72"/>
      <c r="J1782" s="72"/>
      <c r="K1782" s="34" t="s">
        <v>65</v>
      </c>
      <c r="L1782" s="79">
        <v>1782</v>
      </c>
      <c r="M1782" s="79"/>
      <c r="N1782" s="74"/>
      <c r="O1782" s="81" t="s">
        <v>944</v>
      </c>
      <c r="P1782">
        <v>1</v>
      </c>
      <c r="Q1782" s="80" t="str">
        <f>REPLACE(INDEX(GroupVertices[Group],MATCH(Edges[[#This Row],[Vertex 1]],GroupVertices[Vertex],0)),1,1,"")</f>
        <v>2</v>
      </c>
      <c r="R1782" s="80" t="str">
        <f>REPLACE(INDEX(GroupVertices[Group],MATCH(Edges[[#This Row],[Vertex 2]],GroupVertices[Vertex],0)),1,1,"")</f>
        <v>1</v>
      </c>
      <c r="S1782" s="34"/>
      <c r="T1782" s="34"/>
      <c r="U1782" s="34"/>
      <c r="V1782" s="34"/>
      <c r="W1782" s="34"/>
      <c r="X1782" s="34"/>
      <c r="Y1782" s="34"/>
      <c r="Z1782" s="34"/>
      <c r="AA1782" s="34"/>
    </row>
    <row r="1783" spans="1:27" ht="15">
      <c r="A1783" s="66" t="s">
        <v>259</v>
      </c>
      <c r="B1783" s="66" t="s">
        <v>894</v>
      </c>
      <c r="C1783" s="67" t="s">
        <v>4454</v>
      </c>
      <c r="D1783" s="68">
        <v>5</v>
      </c>
      <c r="E1783" s="69"/>
      <c r="F1783" s="70">
        <v>20</v>
      </c>
      <c r="G1783" s="67"/>
      <c r="H1783" s="71"/>
      <c r="I1783" s="72"/>
      <c r="J1783" s="72"/>
      <c r="K1783" s="34"/>
      <c r="L1783" s="79">
        <v>1783</v>
      </c>
      <c r="M1783" s="79"/>
      <c r="N1783" s="74"/>
      <c r="O1783" s="81" t="s">
        <v>944</v>
      </c>
      <c r="P1783">
        <v>1</v>
      </c>
      <c r="Q1783" s="80" t="str">
        <f>REPLACE(INDEX(GroupVertices[Group],MATCH(Edges[[#This Row],[Vertex 1]],GroupVertices[Vertex],0)),1,1,"")</f>
        <v>2</v>
      </c>
      <c r="R1783" s="80" t="e">
        <f>REPLACE(INDEX(GroupVertices[Group],MATCH(Edges[[#This Row],[Vertex 2]],GroupVertices[Vertex],0)),1,1,"")</f>
        <v>#N/A</v>
      </c>
      <c r="S1783" s="34"/>
      <c r="T1783" s="34"/>
      <c r="U1783" s="34"/>
      <c r="V1783" s="34"/>
      <c r="W1783" s="34"/>
      <c r="X1783" s="34"/>
      <c r="Y1783" s="34"/>
      <c r="Z1783" s="34"/>
      <c r="AA1783" s="34"/>
    </row>
    <row r="1784" spans="1:27" ht="15">
      <c r="A1784" s="66" t="s">
        <v>254</v>
      </c>
      <c r="B1784" s="66" t="s">
        <v>895</v>
      </c>
      <c r="C1784" s="67" t="s">
        <v>4454</v>
      </c>
      <c r="D1784" s="68">
        <v>5</v>
      </c>
      <c r="E1784" s="69"/>
      <c r="F1784" s="70">
        <v>20</v>
      </c>
      <c r="G1784" s="67"/>
      <c r="H1784" s="71"/>
      <c r="I1784" s="72"/>
      <c r="J1784" s="72"/>
      <c r="K1784" s="34" t="s">
        <v>65</v>
      </c>
      <c r="L1784" s="79">
        <v>1784</v>
      </c>
      <c r="M1784" s="79"/>
      <c r="N1784" s="74"/>
      <c r="O1784" s="81" t="s">
        <v>944</v>
      </c>
      <c r="P1784">
        <v>1</v>
      </c>
      <c r="Q1784" s="80" t="str">
        <f>REPLACE(INDEX(GroupVertices[Group],MATCH(Edges[[#This Row],[Vertex 1]],GroupVertices[Vertex],0)),1,1,"")</f>
        <v>3</v>
      </c>
      <c r="R1784" s="80" t="str">
        <f>REPLACE(INDEX(GroupVertices[Group],MATCH(Edges[[#This Row],[Vertex 2]],GroupVertices[Vertex],0)),1,1,"")</f>
        <v>3</v>
      </c>
      <c r="S1784" s="34"/>
      <c r="T1784" s="34"/>
      <c r="U1784" s="34"/>
      <c r="V1784" s="34"/>
      <c r="W1784" s="34"/>
      <c r="X1784" s="34"/>
      <c r="Y1784" s="34"/>
      <c r="Z1784" s="34"/>
      <c r="AA1784" s="34"/>
    </row>
    <row r="1785" spans="1:27" ht="15">
      <c r="A1785" s="66" t="s">
        <v>259</v>
      </c>
      <c r="B1785" s="66" t="s">
        <v>895</v>
      </c>
      <c r="C1785" s="67" t="s">
        <v>4454</v>
      </c>
      <c r="D1785" s="68">
        <v>5</v>
      </c>
      <c r="E1785" s="69"/>
      <c r="F1785" s="70">
        <v>20</v>
      </c>
      <c r="G1785" s="67"/>
      <c r="H1785" s="71"/>
      <c r="I1785" s="72"/>
      <c r="J1785" s="72"/>
      <c r="K1785" s="34" t="s">
        <v>65</v>
      </c>
      <c r="L1785" s="79">
        <v>1785</v>
      </c>
      <c r="M1785" s="79"/>
      <c r="N1785" s="74"/>
      <c r="O1785" s="81" t="s">
        <v>944</v>
      </c>
      <c r="P1785">
        <v>1</v>
      </c>
      <c r="Q1785" s="80" t="str">
        <f>REPLACE(INDEX(GroupVertices[Group],MATCH(Edges[[#This Row],[Vertex 1]],GroupVertices[Vertex],0)),1,1,"")</f>
        <v>2</v>
      </c>
      <c r="R1785" s="80" t="str">
        <f>REPLACE(INDEX(GroupVertices[Group],MATCH(Edges[[#This Row],[Vertex 2]],GroupVertices[Vertex],0)),1,1,"")</f>
        <v>3</v>
      </c>
      <c r="S1785" s="34"/>
      <c r="T1785" s="34"/>
      <c r="U1785" s="34"/>
      <c r="V1785" s="34"/>
      <c r="W1785" s="34"/>
      <c r="X1785" s="34"/>
      <c r="Y1785" s="34"/>
      <c r="Z1785" s="34"/>
      <c r="AA1785" s="34"/>
    </row>
    <row r="1786" spans="1:27" ht="15">
      <c r="A1786" s="66" t="s">
        <v>259</v>
      </c>
      <c r="B1786" s="66" t="s">
        <v>896</v>
      </c>
      <c r="C1786" s="67" t="s">
        <v>4454</v>
      </c>
      <c r="D1786" s="68">
        <v>5</v>
      </c>
      <c r="E1786" s="69"/>
      <c r="F1786" s="70">
        <v>20</v>
      </c>
      <c r="G1786" s="67"/>
      <c r="H1786" s="71"/>
      <c r="I1786" s="72"/>
      <c r="J1786" s="72"/>
      <c r="K1786" s="34"/>
      <c r="L1786" s="79">
        <v>1786</v>
      </c>
      <c r="M1786" s="79"/>
      <c r="N1786" s="74"/>
      <c r="O1786" s="81" t="s">
        <v>944</v>
      </c>
      <c r="P1786">
        <v>1</v>
      </c>
      <c r="Q1786" s="80" t="str">
        <f>REPLACE(INDEX(GroupVertices[Group],MATCH(Edges[[#This Row],[Vertex 1]],GroupVertices[Vertex],0)),1,1,"")</f>
        <v>2</v>
      </c>
      <c r="R1786" s="80" t="e">
        <f>REPLACE(INDEX(GroupVertices[Group],MATCH(Edges[[#This Row],[Vertex 2]],GroupVertices[Vertex],0)),1,1,"")</f>
        <v>#N/A</v>
      </c>
      <c r="S1786" s="34"/>
      <c r="T1786" s="34"/>
      <c r="U1786" s="34"/>
      <c r="V1786" s="34"/>
      <c r="W1786" s="34"/>
      <c r="X1786" s="34"/>
      <c r="Y1786" s="34"/>
      <c r="Z1786" s="34"/>
      <c r="AA1786" s="34"/>
    </row>
    <row r="1787" spans="1:27" ht="15">
      <c r="A1787" s="66" t="s">
        <v>259</v>
      </c>
      <c r="B1787" s="66" t="s">
        <v>897</v>
      </c>
      <c r="C1787" s="67" t="s">
        <v>4454</v>
      </c>
      <c r="D1787" s="68">
        <v>5</v>
      </c>
      <c r="E1787" s="69"/>
      <c r="F1787" s="70">
        <v>20</v>
      </c>
      <c r="G1787" s="67"/>
      <c r="H1787" s="71"/>
      <c r="I1787" s="72"/>
      <c r="J1787" s="72"/>
      <c r="K1787" s="34"/>
      <c r="L1787" s="79">
        <v>1787</v>
      </c>
      <c r="M1787" s="79"/>
      <c r="N1787" s="74"/>
      <c r="O1787" s="81" t="s">
        <v>944</v>
      </c>
      <c r="P1787">
        <v>1</v>
      </c>
      <c r="Q1787" s="80" t="str">
        <f>REPLACE(INDEX(GroupVertices[Group],MATCH(Edges[[#This Row],[Vertex 1]],GroupVertices[Vertex],0)),1,1,"")</f>
        <v>2</v>
      </c>
      <c r="R1787" s="80" t="e">
        <f>REPLACE(INDEX(GroupVertices[Group],MATCH(Edges[[#This Row],[Vertex 2]],GroupVertices[Vertex],0)),1,1,"")</f>
        <v>#N/A</v>
      </c>
      <c r="S1787" s="34"/>
      <c r="T1787" s="34"/>
      <c r="U1787" s="34"/>
      <c r="V1787" s="34"/>
      <c r="W1787" s="34"/>
      <c r="X1787" s="34"/>
      <c r="Y1787" s="34"/>
      <c r="Z1787" s="34"/>
      <c r="AA1787" s="34"/>
    </row>
    <row r="1788" spans="1:27" ht="15">
      <c r="A1788" s="66" t="s">
        <v>259</v>
      </c>
      <c r="B1788" s="66" t="s">
        <v>884</v>
      </c>
      <c r="C1788" s="67" t="s">
        <v>4454</v>
      </c>
      <c r="D1788" s="68">
        <v>5</v>
      </c>
      <c r="E1788" s="69"/>
      <c r="F1788" s="70">
        <v>20</v>
      </c>
      <c r="G1788" s="67"/>
      <c r="H1788" s="71"/>
      <c r="I1788" s="72"/>
      <c r="J1788" s="72"/>
      <c r="K1788" s="34" t="s">
        <v>65</v>
      </c>
      <c r="L1788" s="79">
        <v>1788</v>
      </c>
      <c r="M1788" s="79"/>
      <c r="N1788" s="74"/>
      <c r="O1788" s="81" t="s">
        <v>944</v>
      </c>
      <c r="P1788">
        <v>1</v>
      </c>
      <c r="Q1788" s="80" t="str">
        <f>REPLACE(INDEX(GroupVertices[Group],MATCH(Edges[[#This Row],[Vertex 1]],GroupVertices[Vertex],0)),1,1,"")</f>
        <v>2</v>
      </c>
      <c r="R1788" s="80" t="str">
        <f>REPLACE(INDEX(GroupVertices[Group],MATCH(Edges[[#This Row],[Vertex 2]],GroupVertices[Vertex],0)),1,1,"")</f>
        <v>2</v>
      </c>
      <c r="S1788" s="34"/>
      <c r="T1788" s="34"/>
      <c r="U1788" s="34"/>
      <c r="V1788" s="34"/>
      <c r="W1788" s="34"/>
      <c r="X1788" s="34"/>
      <c r="Y1788" s="34"/>
      <c r="Z1788" s="34"/>
      <c r="AA1788" s="34"/>
    </row>
    <row r="1789" spans="1:27" ht="15">
      <c r="A1789" s="66" t="s">
        <v>217</v>
      </c>
      <c r="B1789" s="66" t="s">
        <v>898</v>
      </c>
      <c r="C1789" s="67" t="s">
        <v>4454</v>
      </c>
      <c r="D1789" s="68">
        <v>5</v>
      </c>
      <c r="E1789" s="69"/>
      <c r="F1789" s="70">
        <v>20</v>
      </c>
      <c r="G1789" s="67"/>
      <c r="H1789" s="71"/>
      <c r="I1789" s="72"/>
      <c r="J1789" s="72"/>
      <c r="K1789" s="34" t="s">
        <v>65</v>
      </c>
      <c r="L1789" s="79">
        <v>1789</v>
      </c>
      <c r="M1789" s="79"/>
      <c r="N1789" s="74"/>
      <c r="O1789" s="81" t="s">
        <v>944</v>
      </c>
      <c r="P1789">
        <v>1</v>
      </c>
      <c r="Q1789" s="80" t="str">
        <f>REPLACE(INDEX(GroupVertices[Group],MATCH(Edges[[#This Row],[Vertex 1]],GroupVertices[Vertex],0)),1,1,"")</f>
        <v>4</v>
      </c>
      <c r="R1789" s="80" t="str">
        <f>REPLACE(INDEX(GroupVertices[Group],MATCH(Edges[[#This Row],[Vertex 2]],GroupVertices[Vertex],0)),1,1,"")</f>
        <v>4</v>
      </c>
      <c r="S1789" s="34"/>
      <c r="T1789" s="34"/>
      <c r="U1789" s="34"/>
      <c r="V1789" s="34"/>
      <c r="W1789" s="34"/>
      <c r="X1789" s="34"/>
      <c r="Y1789" s="34"/>
      <c r="Z1789" s="34"/>
      <c r="AA1789" s="34"/>
    </row>
    <row r="1790" spans="1:27" ht="15">
      <c r="A1790" s="66" t="s">
        <v>259</v>
      </c>
      <c r="B1790" s="66" t="s">
        <v>898</v>
      </c>
      <c r="C1790" s="67" t="s">
        <v>4454</v>
      </c>
      <c r="D1790" s="68">
        <v>5</v>
      </c>
      <c r="E1790" s="69"/>
      <c r="F1790" s="70">
        <v>20</v>
      </c>
      <c r="G1790" s="67"/>
      <c r="H1790" s="71"/>
      <c r="I1790" s="72"/>
      <c r="J1790" s="72"/>
      <c r="K1790" s="34" t="s">
        <v>65</v>
      </c>
      <c r="L1790" s="79">
        <v>1790</v>
      </c>
      <c r="M1790" s="79"/>
      <c r="N1790" s="74"/>
      <c r="O1790" s="81" t="s">
        <v>944</v>
      </c>
      <c r="P1790">
        <v>1</v>
      </c>
      <c r="Q1790" s="80" t="str">
        <f>REPLACE(INDEX(GroupVertices[Group],MATCH(Edges[[#This Row],[Vertex 1]],GroupVertices[Vertex],0)),1,1,"")</f>
        <v>2</v>
      </c>
      <c r="R1790" s="80" t="str">
        <f>REPLACE(INDEX(GroupVertices[Group],MATCH(Edges[[#This Row],[Vertex 2]],GroupVertices[Vertex],0)),1,1,"")</f>
        <v>4</v>
      </c>
      <c r="S1790" s="34"/>
      <c r="T1790" s="34"/>
      <c r="U1790" s="34"/>
      <c r="V1790" s="34"/>
      <c r="W1790" s="34"/>
      <c r="X1790" s="34"/>
      <c r="Y1790" s="34"/>
      <c r="Z1790" s="34"/>
      <c r="AA1790" s="34"/>
    </row>
    <row r="1791" spans="1:27" ht="15">
      <c r="A1791" s="66" t="s">
        <v>259</v>
      </c>
      <c r="B1791" s="66" t="s">
        <v>899</v>
      </c>
      <c r="C1791" s="67" t="s">
        <v>4454</v>
      </c>
      <c r="D1791" s="68">
        <v>5</v>
      </c>
      <c r="E1791" s="69"/>
      <c r="F1791" s="70">
        <v>20</v>
      </c>
      <c r="G1791" s="67"/>
      <c r="H1791" s="71"/>
      <c r="I1791" s="72"/>
      <c r="J1791" s="72"/>
      <c r="K1791" s="34"/>
      <c r="L1791" s="79">
        <v>1791</v>
      </c>
      <c r="M1791" s="79"/>
      <c r="N1791" s="74"/>
      <c r="O1791" s="81" t="s">
        <v>944</v>
      </c>
      <c r="P1791">
        <v>1</v>
      </c>
      <c r="Q1791" s="80" t="str">
        <f>REPLACE(INDEX(GroupVertices[Group],MATCH(Edges[[#This Row],[Vertex 1]],GroupVertices[Vertex],0)),1,1,"")</f>
        <v>2</v>
      </c>
      <c r="R1791" s="80" t="e">
        <f>REPLACE(INDEX(GroupVertices[Group],MATCH(Edges[[#This Row],[Vertex 2]],GroupVertices[Vertex],0)),1,1,"")</f>
        <v>#N/A</v>
      </c>
      <c r="S1791" s="34"/>
      <c r="T1791" s="34"/>
      <c r="U1791" s="34"/>
      <c r="V1791" s="34"/>
      <c r="W1791" s="34"/>
      <c r="X1791" s="34"/>
      <c r="Y1791" s="34"/>
      <c r="Z1791" s="34"/>
      <c r="AA1791" s="34"/>
    </row>
    <row r="1792" spans="1:27" ht="15">
      <c r="A1792" s="66" t="s">
        <v>255</v>
      </c>
      <c r="B1792" s="66" t="s">
        <v>853</v>
      </c>
      <c r="C1792" s="67" t="s">
        <v>4454</v>
      </c>
      <c r="D1792" s="68">
        <v>5</v>
      </c>
      <c r="E1792" s="69"/>
      <c r="F1792" s="70">
        <v>20</v>
      </c>
      <c r="G1792" s="67"/>
      <c r="H1792" s="71"/>
      <c r="I1792" s="72"/>
      <c r="J1792" s="72"/>
      <c r="K1792" s="34" t="s">
        <v>65</v>
      </c>
      <c r="L1792" s="79">
        <v>1792</v>
      </c>
      <c r="M1792" s="79"/>
      <c r="N1792" s="74"/>
      <c r="O1792" s="81" t="s">
        <v>944</v>
      </c>
      <c r="P1792">
        <v>1</v>
      </c>
      <c r="Q1792" s="80" t="str">
        <f>REPLACE(INDEX(GroupVertices[Group],MATCH(Edges[[#This Row],[Vertex 1]],GroupVertices[Vertex],0)),1,1,"")</f>
        <v>4</v>
      </c>
      <c r="R1792" s="80" t="str">
        <f>REPLACE(INDEX(GroupVertices[Group],MATCH(Edges[[#This Row],[Vertex 2]],GroupVertices[Vertex],0)),1,1,"")</f>
        <v>4</v>
      </c>
      <c r="S1792" s="34"/>
      <c r="T1792" s="34"/>
      <c r="U1792" s="34"/>
      <c r="V1792" s="34"/>
      <c r="W1792" s="34"/>
      <c r="X1792" s="34"/>
      <c r="Y1792" s="34"/>
      <c r="Z1792" s="34"/>
      <c r="AA1792" s="34"/>
    </row>
    <row r="1793" spans="1:27" ht="15">
      <c r="A1793" s="66" t="s">
        <v>259</v>
      </c>
      <c r="B1793" s="66" t="s">
        <v>853</v>
      </c>
      <c r="C1793" s="67" t="s">
        <v>4454</v>
      </c>
      <c r="D1793" s="68">
        <v>5</v>
      </c>
      <c r="E1793" s="69"/>
      <c r="F1793" s="70">
        <v>20</v>
      </c>
      <c r="G1793" s="67"/>
      <c r="H1793" s="71"/>
      <c r="I1793" s="72"/>
      <c r="J1793" s="72"/>
      <c r="K1793" s="34" t="s">
        <v>65</v>
      </c>
      <c r="L1793" s="79">
        <v>1793</v>
      </c>
      <c r="M1793" s="79"/>
      <c r="N1793" s="74"/>
      <c r="O1793" s="81" t="s">
        <v>944</v>
      </c>
      <c r="P1793">
        <v>1</v>
      </c>
      <c r="Q1793" s="80" t="str">
        <f>REPLACE(INDEX(GroupVertices[Group],MATCH(Edges[[#This Row],[Vertex 1]],GroupVertices[Vertex],0)),1,1,"")</f>
        <v>2</v>
      </c>
      <c r="R1793" s="80" t="str">
        <f>REPLACE(INDEX(GroupVertices[Group],MATCH(Edges[[#This Row],[Vertex 2]],GroupVertices[Vertex],0)),1,1,"")</f>
        <v>4</v>
      </c>
      <c r="S1793" s="34"/>
      <c r="T1793" s="34"/>
      <c r="U1793" s="34"/>
      <c r="V1793" s="34"/>
      <c r="W1793" s="34"/>
      <c r="X1793" s="34"/>
      <c r="Y1793" s="34"/>
      <c r="Z1793" s="34"/>
      <c r="AA1793" s="34"/>
    </row>
    <row r="1794" spans="1:27" ht="15">
      <c r="A1794" s="66" t="s">
        <v>224</v>
      </c>
      <c r="B1794" s="66" t="s">
        <v>877</v>
      </c>
      <c r="C1794" s="67" t="s">
        <v>4454</v>
      </c>
      <c r="D1794" s="68">
        <v>5</v>
      </c>
      <c r="E1794" s="69"/>
      <c r="F1794" s="70">
        <v>20</v>
      </c>
      <c r="G1794" s="67"/>
      <c r="H1794" s="71"/>
      <c r="I1794" s="72"/>
      <c r="J1794" s="72"/>
      <c r="K1794" s="34" t="s">
        <v>65</v>
      </c>
      <c r="L1794" s="79">
        <v>1794</v>
      </c>
      <c r="M1794" s="79"/>
      <c r="N1794" s="74"/>
      <c r="O1794" s="81" t="s">
        <v>944</v>
      </c>
      <c r="P1794">
        <v>1</v>
      </c>
      <c r="Q1794" s="80" t="str">
        <f>REPLACE(INDEX(GroupVertices[Group],MATCH(Edges[[#This Row],[Vertex 1]],GroupVertices[Vertex],0)),1,1,"")</f>
        <v>2</v>
      </c>
      <c r="R1794" s="80" t="str">
        <f>REPLACE(INDEX(GroupVertices[Group],MATCH(Edges[[#This Row],[Vertex 2]],GroupVertices[Vertex],0)),1,1,"")</f>
        <v>2</v>
      </c>
      <c r="S1794" s="34"/>
      <c r="T1794" s="34"/>
      <c r="U1794" s="34"/>
      <c r="V1794" s="34"/>
      <c r="W1794" s="34"/>
      <c r="X1794" s="34"/>
      <c r="Y1794" s="34"/>
      <c r="Z1794" s="34"/>
      <c r="AA1794" s="34"/>
    </row>
    <row r="1795" spans="1:27" ht="15">
      <c r="A1795" s="66" t="s">
        <v>233</v>
      </c>
      <c r="B1795" s="66" t="s">
        <v>877</v>
      </c>
      <c r="C1795" s="67" t="s">
        <v>4454</v>
      </c>
      <c r="D1795" s="68">
        <v>5</v>
      </c>
      <c r="E1795" s="69"/>
      <c r="F1795" s="70">
        <v>20</v>
      </c>
      <c r="G1795" s="67"/>
      <c r="H1795" s="71"/>
      <c r="I1795" s="72"/>
      <c r="J1795" s="72"/>
      <c r="K1795" s="34" t="s">
        <v>65</v>
      </c>
      <c r="L1795" s="79">
        <v>1795</v>
      </c>
      <c r="M1795" s="79"/>
      <c r="N1795" s="74"/>
      <c r="O1795" s="81" t="s">
        <v>944</v>
      </c>
      <c r="P1795">
        <v>1</v>
      </c>
      <c r="Q1795" s="80" t="str">
        <f>REPLACE(INDEX(GroupVertices[Group],MATCH(Edges[[#This Row],[Vertex 1]],GroupVertices[Vertex],0)),1,1,"")</f>
        <v>2</v>
      </c>
      <c r="R1795" s="80" t="str">
        <f>REPLACE(INDEX(GroupVertices[Group],MATCH(Edges[[#This Row],[Vertex 2]],GroupVertices[Vertex],0)),1,1,"")</f>
        <v>2</v>
      </c>
      <c r="S1795" s="34"/>
      <c r="T1795" s="34"/>
      <c r="U1795" s="34"/>
      <c r="V1795" s="34"/>
      <c r="W1795" s="34"/>
      <c r="X1795" s="34"/>
      <c r="Y1795" s="34"/>
      <c r="Z1795" s="34"/>
      <c r="AA1795" s="34"/>
    </row>
    <row r="1796" spans="1:27" ht="15">
      <c r="A1796" s="66" t="s">
        <v>241</v>
      </c>
      <c r="B1796" s="66" t="s">
        <v>877</v>
      </c>
      <c r="C1796" s="67" t="s">
        <v>4454</v>
      </c>
      <c r="D1796" s="68">
        <v>5</v>
      </c>
      <c r="E1796" s="69"/>
      <c r="F1796" s="70">
        <v>20</v>
      </c>
      <c r="G1796" s="67"/>
      <c r="H1796" s="71"/>
      <c r="I1796" s="72"/>
      <c r="J1796" s="72"/>
      <c r="K1796" s="34" t="s">
        <v>65</v>
      </c>
      <c r="L1796" s="79">
        <v>1796</v>
      </c>
      <c r="M1796" s="79"/>
      <c r="N1796" s="74"/>
      <c r="O1796" s="81" t="s">
        <v>944</v>
      </c>
      <c r="P1796">
        <v>1</v>
      </c>
      <c r="Q1796" s="80" t="str">
        <f>REPLACE(INDEX(GroupVertices[Group],MATCH(Edges[[#This Row],[Vertex 1]],GroupVertices[Vertex],0)),1,1,"")</f>
        <v>2</v>
      </c>
      <c r="R1796" s="80" t="str">
        <f>REPLACE(INDEX(GroupVertices[Group],MATCH(Edges[[#This Row],[Vertex 2]],GroupVertices[Vertex],0)),1,1,"")</f>
        <v>2</v>
      </c>
      <c r="S1796" s="34"/>
      <c r="T1796" s="34"/>
      <c r="U1796" s="34"/>
      <c r="V1796" s="34"/>
      <c r="W1796" s="34"/>
      <c r="X1796" s="34"/>
      <c r="Y1796" s="34"/>
      <c r="Z1796" s="34"/>
      <c r="AA1796" s="34"/>
    </row>
    <row r="1797" spans="1:27" ht="15">
      <c r="A1797" s="66" t="s">
        <v>247</v>
      </c>
      <c r="B1797" s="66" t="s">
        <v>877</v>
      </c>
      <c r="C1797" s="67" t="s">
        <v>4454</v>
      </c>
      <c r="D1797" s="68">
        <v>5</v>
      </c>
      <c r="E1797" s="69"/>
      <c r="F1797" s="70">
        <v>20</v>
      </c>
      <c r="G1797" s="67"/>
      <c r="H1797" s="71"/>
      <c r="I1797" s="72"/>
      <c r="J1797" s="72"/>
      <c r="K1797" s="34" t="s">
        <v>65</v>
      </c>
      <c r="L1797" s="79">
        <v>1797</v>
      </c>
      <c r="M1797" s="79"/>
      <c r="N1797" s="74"/>
      <c r="O1797" s="81" t="s">
        <v>944</v>
      </c>
      <c r="P1797">
        <v>1</v>
      </c>
      <c r="Q1797" s="80" t="str">
        <f>REPLACE(INDEX(GroupVertices[Group],MATCH(Edges[[#This Row],[Vertex 1]],GroupVertices[Vertex],0)),1,1,"")</f>
        <v>2</v>
      </c>
      <c r="R1797" s="80" t="str">
        <f>REPLACE(INDEX(GroupVertices[Group],MATCH(Edges[[#This Row],[Vertex 2]],GroupVertices[Vertex],0)),1,1,"")</f>
        <v>2</v>
      </c>
      <c r="S1797" s="34"/>
      <c r="T1797" s="34"/>
      <c r="U1797" s="34"/>
      <c r="V1797" s="34"/>
      <c r="W1797" s="34"/>
      <c r="X1797" s="34"/>
      <c r="Y1797" s="34"/>
      <c r="Z1797" s="34"/>
      <c r="AA1797" s="34"/>
    </row>
    <row r="1798" spans="1:27" ht="15">
      <c r="A1798" s="66" t="s">
        <v>250</v>
      </c>
      <c r="B1798" s="66" t="s">
        <v>877</v>
      </c>
      <c r="C1798" s="67" t="s">
        <v>4454</v>
      </c>
      <c r="D1798" s="68">
        <v>5</v>
      </c>
      <c r="E1798" s="69"/>
      <c r="F1798" s="70">
        <v>20</v>
      </c>
      <c r="G1798" s="67"/>
      <c r="H1798" s="71"/>
      <c r="I1798" s="72"/>
      <c r="J1798" s="72"/>
      <c r="K1798" s="34" t="s">
        <v>65</v>
      </c>
      <c r="L1798" s="79">
        <v>1798</v>
      </c>
      <c r="M1798" s="79"/>
      <c r="N1798" s="74"/>
      <c r="O1798" s="81" t="s">
        <v>944</v>
      </c>
      <c r="P1798">
        <v>1</v>
      </c>
      <c r="Q1798" s="80" t="str">
        <f>REPLACE(INDEX(GroupVertices[Group],MATCH(Edges[[#This Row],[Vertex 1]],GroupVertices[Vertex],0)),1,1,"")</f>
        <v>2</v>
      </c>
      <c r="R1798" s="80" t="str">
        <f>REPLACE(INDEX(GroupVertices[Group],MATCH(Edges[[#This Row],[Vertex 2]],GroupVertices[Vertex],0)),1,1,"")</f>
        <v>2</v>
      </c>
      <c r="S1798" s="34"/>
      <c r="T1798" s="34"/>
      <c r="U1798" s="34"/>
      <c r="V1798" s="34"/>
      <c r="W1798" s="34"/>
      <c r="X1798" s="34"/>
      <c r="Y1798" s="34"/>
      <c r="Z1798" s="34"/>
      <c r="AA1798" s="34"/>
    </row>
    <row r="1799" spans="1:27" ht="15">
      <c r="A1799" s="66" t="s">
        <v>255</v>
      </c>
      <c r="B1799" s="66" t="s">
        <v>877</v>
      </c>
      <c r="C1799" s="67" t="s">
        <v>4454</v>
      </c>
      <c r="D1799" s="68">
        <v>5</v>
      </c>
      <c r="E1799" s="69"/>
      <c r="F1799" s="70">
        <v>20</v>
      </c>
      <c r="G1799" s="67"/>
      <c r="H1799" s="71"/>
      <c r="I1799" s="72"/>
      <c r="J1799" s="72"/>
      <c r="K1799" s="34" t="s">
        <v>65</v>
      </c>
      <c r="L1799" s="79">
        <v>1799</v>
      </c>
      <c r="M1799" s="79"/>
      <c r="N1799" s="74"/>
      <c r="O1799" s="81" t="s">
        <v>944</v>
      </c>
      <c r="P1799">
        <v>1</v>
      </c>
      <c r="Q1799" s="80" t="str">
        <f>REPLACE(INDEX(GroupVertices[Group],MATCH(Edges[[#This Row],[Vertex 1]],GroupVertices[Vertex],0)),1,1,"")</f>
        <v>4</v>
      </c>
      <c r="R1799" s="80" t="str">
        <f>REPLACE(INDEX(GroupVertices[Group],MATCH(Edges[[#This Row],[Vertex 2]],GroupVertices[Vertex],0)),1,1,"")</f>
        <v>2</v>
      </c>
      <c r="S1799" s="34"/>
      <c r="T1799" s="34"/>
      <c r="U1799" s="34"/>
      <c r="V1799" s="34"/>
      <c r="W1799" s="34"/>
      <c r="X1799" s="34"/>
      <c r="Y1799" s="34"/>
      <c r="Z1799" s="34"/>
      <c r="AA1799" s="34"/>
    </row>
    <row r="1800" spans="1:27" ht="15">
      <c r="A1800" s="66" t="s">
        <v>259</v>
      </c>
      <c r="B1800" s="66" t="s">
        <v>877</v>
      </c>
      <c r="C1800" s="67" t="s">
        <v>4454</v>
      </c>
      <c r="D1800" s="68">
        <v>5</v>
      </c>
      <c r="E1800" s="69"/>
      <c r="F1800" s="70">
        <v>20</v>
      </c>
      <c r="G1800" s="67"/>
      <c r="H1800" s="71"/>
      <c r="I1800" s="72"/>
      <c r="J1800" s="72"/>
      <c r="K1800" s="34" t="s">
        <v>65</v>
      </c>
      <c r="L1800" s="79">
        <v>1800</v>
      </c>
      <c r="M1800" s="79"/>
      <c r="N1800" s="74"/>
      <c r="O1800" s="81" t="s">
        <v>944</v>
      </c>
      <c r="P1800">
        <v>1</v>
      </c>
      <c r="Q1800" s="80" t="str">
        <f>REPLACE(INDEX(GroupVertices[Group],MATCH(Edges[[#This Row],[Vertex 1]],GroupVertices[Vertex],0)),1,1,"")</f>
        <v>2</v>
      </c>
      <c r="R1800" s="80" t="str">
        <f>REPLACE(INDEX(GroupVertices[Group],MATCH(Edges[[#This Row],[Vertex 2]],GroupVertices[Vertex],0)),1,1,"")</f>
        <v>2</v>
      </c>
      <c r="S1800" s="34"/>
      <c r="T1800" s="34"/>
      <c r="U1800" s="34"/>
      <c r="V1800" s="34"/>
      <c r="W1800" s="34"/>
      <c r="X1800" s="34"/>
      <c r="Y1800" s="34"/>
      <c r="Z1800" s="34"/>
      <c r="AA1800" s="34"/>
    </row>
    <row r="1801" spans="1:27" ht="15">
      <c r="A1801" s="66" t="s">
        <v>250</v>
      </c>
      <c r="B1801" s="66" t="s">
        <v>872</v>
      </c>
      <c r="C1801" s="67" t="s">
        <v>4454</v>
      </c>
      <c r="D1801" s="68">
        <v>5</v>
      </c>
      <c r="E1801" s="69"/>
      <c r="F1801" s="70">
        <v>20</v>
      </c>
      <c r="G1801" s="67"/>
      <c r="H1801" s="71"/>
      <c r="I1801" s="72"/>
      <c r="J1801" s="72"/>
      <c r="K1801" s="34" t="s">
        <v>65</v>
      </c>
      <c r="L1801" s="79">
        <v>1801</v>
      </c>
      <c r="M1801" s="79"/>
      <c r="N1801" s="74"/>
      <c r="O1801" s="81" t="s">
        <v>944</v>
      </c>
      <c r="P1801">
        <v>1</v>
      </c>
      <c r="Q1801" s="80" t="str">
        <f>REPLACE(INDEX(GroupVertices[Group],MATCH(Edges[[#This Row],[Vertex 1]],GroupVertices[Vertex],0)),1,1,"")</f>
        <v>2</v>
      </c>
      <c r="R1801" s="80" t="str">
        <f>REPLACE(INDEX(GroupVertices[Group],MATCH(Edges[[#This Row],[Vertex 2]],GroupVertices[Vertex],0)),1,1,"")</f>
        <v>4</v>
      </c>
      <c r="S1801" s="34"/>
      <c r="T1801" s="34"/>
      <c r="U1801" s="34"/>
      <c r="V1801" s="34"/>
      <c r="W1801" s="34"/>
      <c r="X1801" s="34"/>
      <c r="Y1801" s="34"/>
      <c r="Z1801" s="34"/>
      <c r="AA1801" s="34"/>
    </row>
    <row r="1802" spans="1:27" ht="15">
      <c r="A1802" s="66" t="s">
        <v>259</v>
      </c>
      <c r="B1802" s="66" t="s">
        <v>872</v>
      </c>
      <c r="C1802" s="67" t="s">
        <v>4454</v>
      </c>
      <c r="D1802" s="68">
        <v>5</v>
      </c>
      <c r="E1802" s="69"/>
      <c r="F1802" s="70">
        <v>20</v>
      </c>
      <c r="G1802" s="67"/>
      <c r="H1802" s="71"/>
      <c r="I1802" s="72"/>
      <c r="J1802" s="72"/>
      <c r="K1802" s="34" t="s">
        <v>65</v>
      </c>
      <c r="L1802" s="79">
        <v>1802</v>
      </c>
      <c r="M1802" s="79"/>
      <c r="N1802" s="74"/>
      <c r="O1802" s="81" t="s">
        <v>944</v>
      </c>
      <c r="P1802">
        <v>1</v>
      </c>
      <c r="Q1802" s="80" t="str">
        <f>REPLACE(INDEX(GroupVertices[Group],MATCH(Edges[[#This Row],[Vertex 1]],GroupVertices[Vertex],0)),1,1,"")</f>
        <v>2</v>
      </c>
      <c r="R1802" s="80" t="str">
        <f>REPLACE(INDEX(GroupVertices[Group],MATCH(Edges[[#This Row],[Vertex 2]],GroupVertices[Vertex],0)),1,1,"")</f>
        <v>4</v>
      </c>
      <c r="S1802" s="34"/>
      <c r="T1802" s="34"/>
      <c r="U1802" s="34"/>
      <c r="V1802" s="34"/>
      <c r="W1802" s="34"/>
      <c r="X1802" s="34"/>
      <c r="Y1802" s="34"/>
      <c r="Z1802" s="34"/>
      <c r="AA1802" s="34"/>
    </row>
    <row r="1803" spans="1:27" ht="15">
      <c r="A1803" s="66" t="s">
        <v>217</v>
      </c>
      <c r="B1803" s="66" t="s">
        <v>876</v>
      </c>
      <c r="C1803" s="67" t="s">
        <v>4454</v>
      </c>
      <c r="D1803" s="68">
        <v>5</v>
      </c>
      <c r="E1803" s="69"/>
      <c r="F1803" s="70">
        <v>20</v>
      </c>
      <c r="G1803" s="67"/>
      <c r="H1803" s="71"/>
      <c r="I1803" s="72"/>
      <c r="J1803" s="72"/>
      <c r="K1803" s="34" t="s">
        <v>65</v>
      </c>
      <c r="L1803" s="79">
        <v>1803</v>
      </c>
      <c r="M1803" s="79"/>
      <c r="N1803" s="74"/>
      <c r="O1803" s="81" t="s">
        <v>944</v>
      </c>
      <c r="P1803">
        <v>1</v>
      </c>
      <c r="Q1803" s="80" t="str">
        <f>REPLACE(INDEX(GroupVertices[Group],MATCH(Edges[[#This Row],[Vertex 1]],GroupVertices[Vertex],0)),1,1,"")</f>
        <v>4</v>
      </c>
      <c r="R1803" s="80" t="str">
        <f>REPLACE(INDEX(GroupVertices[Group],MATCH(Edges[[#This Row],[Vertex 2]],GroupVertices[Vertex],0)),1,1,"")</f>
        <v>4</v>
      </c>
      <c r="S1803" s="34"/>
      <c r="T1803" s="34"/>
      <c r="U1803" s="34"/>
      <c r="V1803" s="34"/>
      <c r="W1803" s="34"/>
      <c r="X1803" s="34"/>
      <c r="Y1803" s="34"/>
      <c r="Z1803" s="34"/>
      <c r="AA1803" s="34"/>
    </row>
    <row r="1804" spans="1:27" ht="15">
      <c r="A1804" s="66" t="s">
        <v>226</v>
      </c>
      <c r="B1804" s="66" t="s">
        <v>876</v>
      </c>
      <c r="C1804" s="67" t="s">
        <v>4454</v>
      </c>
      <c r="D1804" s="68">
        <v>5</v>
      </c>
      <c r="E1804" s="69"/>
      <c r="F1804" s="70">
        <v>20</v>
      </c>
      <c r="G1804" s="67"/>
      <c r="H1804" s="71"/>
      <c r="I1804" s="72"/>
      <c r="J1804" s="72"/>
      <c r="K1804" s="34" t="s">
        <v>65</v>
      </c>
      <c r="L1804" s="79">
        <v>1804</v>
      </c>
      <c r="M1804" s="79"/>
      <c r="N1804" s="74"/>
      <c r="O1804" s="81" t="s">
        <v>944</v>
      </c>
      <c r="P1804">
        <v>1</v>
      </c>
      <c r="Q1804" s="80" t="str">
        <f>REPLACE(INDEX(GroupVertices[Group],MATCH(Edges[[#This Row],[Vertex 1]],GroupVertices[Vertex],0)),1,1,"")</f>
        <v>4</v>
      </c>
      <c r="R1804" s="80" t="str">
        <f>REPLACE(INDEX(GroupVertices[Group],MATCH(Edges[[#This Row],[Vertex 2]],GroupVertices[Vertex],0)),1,1,"")</f>
        <v>4</v>
      </c>
      <c r="S1804" s="34"/>
      <c r="T1804" s="34"/>
      <c r="U1804" s="34"/>
      <c r="V1804" s="34"/>
      <c r="W1804" s="34"/>
      <c r="X1804" s="34"/>
      <c r="Y1804" s="34"/>
      <c r="Z1804" s="34"/>
      <c r="AA1804" s="34"/>
    </row>
    <row r="1805" spans="1:27" ht="15">
      <c r="A1805" s="66" t="s">
        <v>231</v>
      </c>
      <c r="B1805" s="66" t="s">
        <v>876</v>
      </c>
      <c r="C1805" s="67" t="s">
        <v>4454</v>
      </c>
      <c r="D1805" s="68">
        <v>5</v>
      </c>
      <c r="E1805" s="69"/>
      <c r="F1805" s="70">
        <v>20</v>
      </c>
      <c r="G1805" s="67"/>
      <c r="H1805" s="71"/>
      <c r="I1805" s="72"/>
      <c r="J1805" s="72"/>
      <c r="K1805" s="34" t="s">
        <v>65</v>
      </c>
      <c r="L1805" s="79">
        <v>1805</v>
      </c>
      <c r="M1805" s="79"/>
      <c r="N1805" s="74"/>
      <c r="O1805" s="81" t="s">
        <v>944</v>
      </c>
      <c r="P1805">
        <v>1</v>
      </c>
      <c r="Q1805" s="80" t="str">
        <f>REPLACE(INDEX(GroupVertices[Group],MATCH(Edges[[#This Row],[Vertex 1]],GroupVertices[Vertex],0)),1,1,"")</f>
        <v>1</v>
      </c>
      <c r="R1805" s="80" t="str">
        <f>REPLACE(INDEX(GroupVertices[Group],MATCH(Edges[[#This Row],[Vertex 2]],GroupVertices[Vertex],0)),1,1,"")</f>
        <v>4</v>
      </c>
      <c r="S1805" s="34"/>
      <c r="T1805" s="34"/>
      <c r="U1805" s="34"/>
      <c r="V1805" s="34"/>
      <c r="W1805" s="34"/>
      <c r="X1805" s="34"/>
      <c r="Y1805" s="34"/>
      <c r="Z1805" s="34"/>
      <c r="AA1805" s="34"/>
    </row>
    <row r="1806" spans="1:27" ht="15">
      <c r="A1806" s="66" t="s">
        <v>236</v>
      </c>
      <c r="B1806" s="66" t="s">
        <v>876</v>
      </c>
      <c r="C1806" s="67" t="s">
        <v>4454</v>
      </c>
      <c r="D1806" s="68">
        <v>5</v>
      </c>
      <c r="E1806" s="69"/>
      <c r="F1806" s="70">
        <v>20</v>
      </c>
      <c r="G1806" s="67"/>
      <c r="H1806" s="71"/>
      <c r="I1806" s="72"/>
      <c r="J1806" s="72"/>
      <c r="K1806" s="34" t="s">
        <v>65</v>
      </c>
      <c r="L1806" s="79">
        <v>1806</v>
      </c>
      <c r="M1806" s="79"/>
      <c r="N1806" s="74"/>
      <c r="O1806" s="81" t="s">
        <v>944</v>
      </c>
      <c r="P1806">
        <v>1</v>
      </c>
      <c r="Q1806" s="80" t="str">
        <f>REPLACE(INDEX(GroupVertices[Group],MATCH(Edges[[#This Row],[Vertex 1]],GroupVertices[Vertex],0)),1,1,"")</f>
        <v>1</v>
      </c>
      <c r="R1806" s="80" t="str">
        <f>REPLACE(INDEX(GroupVertices[Group],MATCH(Edges[[#This Row],[Vertex 2]],GroupVertices[Vertex],0)),1,1,"")</f>
        <v>4</v>
      </c>
      <c r="S1806" s="34"/>
      <c r="T1806" s="34"/>
      <c r="U1806" s="34"/>
      <c r="V1806" s="34"/>
      <c r="W1806" s="34"/>
      <c r="X1806" s="34"/>
      <c r="Y1806" s="34"/>
      <c r="Z1806" s="34"/>
      <c r="AA1806" s="34"/>
    </row>
    <row r="1807" spans="1:27" ht="15">
      <c r="A1807" s="66" t="s">
        <v>254</v>
      </c>
      <c r="B1807" s="66" t="s">
        <v>876</v>
      </c>
      <c r="C1807" s="67" t="s">
        <v>4454</v>
      </c>
      <c r="D1807" s="68">
        <v>5</v>
      </c>
      <c r="E1807" s="69"/>
      <c r="F1807" s="70">
        <v>20</v>
      </c>
      <c r="G1807" s="67"/>
      <c r="H1807" s="71"/>
      <c r="I1807" s="72"/>
      <c r="J1807" s="72"/>
      <c r="K1807" s="34" t="s">
        <v>65</v>
      </c>
      <c r="L1807" s="79">
        <v>1807</v>
      </c>
      <c r="M1807" s="79"/>
      <c r="N1807" s="74"/>
      <c r="O1807" s="81" t="s">
        <v>944</v>
      </c>
      <c r="P1807">
        <v>1</v>
      </c>
      <c r="Q1807" s="80" t="str">
        <f>REPLACE(INDEX(GroupVertices[Group],MATCH(Edges[[#This Row],[Vertex 1]],GroupVertices[Vertex],0)),1,1,"")</f>
        <v>3</v>
      </c>
      <c r="R1807" s="80" t="str">
        <f>REPLACE(INDEX(GroupVertices[Group],MATCH(Edges[[#This Row],[Vertex 2]],GroupVertices[Vertex],0)),1,1,"")</f>
        <v>4</v>
      </c>
      <c r="S1807" s="34"/>
      <c r="T1807" s="34"/>
      <c r="U1807" s="34"/>
      <c r="V1807" s="34"/>
      <c r="W1807" s="34"/>
      <c r="X1807" s="34"/>
      <c r="Y1807" s="34"/>
      <c r="Z1807" s="34"/>
      <c r="AA1807" s="34"/>
    </row>
    <row r="1808" spans="1:27" ht="15">
      <c r="A1808" s="66" t="s">
        <v>255</v>
      </c>
      <c r="B1808" s="66" t="s">
        <v>876</v>
      </c>
      <c r="C1808" s="67" t="s">
        <v>4454</v>
      </c>
      <c r="D1808" s="68">
        <v>5</v>
      </c>
      <c r="E1808" s="69"/>
      <c r="F1808" s="70">
        <v>20</v>
      </c>
      <c r="G1808" s="67"/>
      <c r="H1808" s="71"/>
      <c r="I1808" s="72"/>
      <c r="J1808" s="72"/>
      <c r="K1808" s="34" t="s">
        <v>65</v>
      </c>
      <c r="L1808" s="79">
        <v>1808</v>
      </c>
      <c r="M1808" s="79"/>
      <c r="N1808" s="74"/>
      <c r="O1808" s="81" t="s">
        <v>944</v>
      </c>
      <c r="P1808">
        <v>1</v>
      </c>
      <c r="Q1808" s="80" t="str">
        <f>REPLACE(INDEX(GroupVertices[Group],MATCH(Edges[[#This Row],[Vertex 1]],GroupVertices[Vertex],0)),1,1,"")</f>
        <v>4</v>
      </c>
      <c r="R1808" s="80" t="str">
        <f>REPLACE(INDEX(GroupVertices[Group],MATCH(Edges[[#This Row],[Vertex 2]],GroupVertices[Vertex],0)),1,1,"")</f>
        <v>4</v>
      </c>
      <c r="S1808" s="34"/>
      <c r="T1808" s="34"/>
      <c r="U1808" s="34"/>
      <c r="V1808" s="34"/>
      <c r="W1808" s="34"/>
      <c r="X1808" s="34"/>
      <c r="Y1808" s="34"/>
      <c r="Z1808" s="34"/>
      <c r="AA1808" s="34"/>
    </row>
    <row r="1809" spans="1:27" ht="15">
      <c r="A1809" s="66" t="s">
        <v>259</v>
      </c>
      <c r="B1809" s="66" t="s">
        <v>876</v>
      </c>
      <c r="C1809" s="67" t="s">
        <v>4454</v>
      </c>
      <c r="D1809" s="68">
        <v>5</v>
      </c>
      <c r="E1809" s="69"/>
      <c r="F1809" s="70">
        <v>20</v>
      </c>
      <c r="G1809" s="67"/>
      <c r="H1809" s="71"/>
      <c r="I1809" s="72"/>
      <c r="J1809" s="72"/>
      <c r="K1809" s="34" t="s">
        <v>65</v>
      </c>
      <c r="L1809" s="79">
        <v>1809</v>
      </c>
      <c r="M1809" s="79"/>
      <c r="N1809" s="74"/>
      <c r="O1809" s="81" t="s">
        <v>944</v>
      </c>
      <c r="P1809">
        <v>1</v>
      </c>
      <c r="Q1809" s="80" t="str">
        <f>REPLACE(INDEX(GroupVertices[Group],MATCH(Edges[[#This Row],[Vertex 1]],GroupVertices[Vertex],0)),1,1,"")</f>
        <v>2</v>
      </c>
      <c r="R1809" s="80" t="str">
        <f>REPLACE(INDEX(GroupVertices[Group],MATCH(Edges[[#This Row],[Vertex 2]],GroupVertices[Vertex],0)),1,1,"")</f>
        <v>4</v>
      </c>
      <c r="S1809" s="34"/>
      <c r="T1809" s="34"/>
      <c r="U1809" s="34"/>
      <c r="V1809" s="34"/>
      <c r="W1809" s="34"/>
      <c r="X1809" s="34"/>
      <c r="Y1809" s="34"/>
      <c r="Z1809" s="34"/>
      <c r="AA1809" s="34"/>
    </row>
    <row r="1810" spans="1:27" ht="15">
      <c r="A1810" s="66" t="s">
        <v>259</v>
      </c>
      <c r="B1810" s="66" t="s">
        <v>613</v>
      </c>
      <c r="C1810" s="67" t="s">
        <v>4454</v>
      </c>
      <c r="D1810" s="68">
        <v>5</v>
      </c>
      <c r="E1810" s="69"/>
      <c r="F1810" s="70">
        <v>20</v>
      </c>
      <c r="G1810" s="67"/>
      <c r="H1810" s="71"/>
      <c r="I1810" s="72"/>
      <c r="J1810" s="72"/>
      <c r="K1810" s="34" t="s">
        <v>65</v>
      </c>
      <c r="L1810" s="79">
        <v>1810</v>
      </c>
      <c r="M1810" s="79"/>
      <c r="N1810" s="74"/>
      <c r="O1810" s="81" t="s">
        <v>944</v>
      </c>
      <c r="P1810">
        <v>1</v>
      </c>
      <c r="Q1810" s="80" t="str">
        <f>REPLACE(INDEX(GroupVertices[Group],MATCH(Edges[[#This Row],[Vertex 1]],GroupVertices[Vertex],0)),1,1,"")</f>
        <v>2</v>
      </c>
      <c r="R1810" s="80" t="str">
        <f>REPLACE(INDEX(GroupVertices[Group],MATCH(Edges[[#This Row],[Vertex 2]],GroupVertices[Vertex],0)),1,1,"")</f>
        <v>1</v>
      </c>
      <c r="S1810" s="34"/>
      <c r="T1810" s="34"/>
      <c r="U1810" s="34"/>
      <c r="V1810" s="34"/>
      <c r="W1810" s="34"/>
      <c r="X1810" s="34"/>
      <c r="Y1810" s="34"/>
      <c r="Z1810" s="34"/>
      <c r="AA1810" s="34"/>
    </row>
    <row r="1811" spans="1:27" ht="15">
      <c r="A1811" s="66" t="s">
        <v>220</v>
      </c>
      <c r="B1811" s="66" t="s">
        <v>241</v>
      </c>
      <c r="C1811" s="67" t="s">
        <v>4454</v>
      </c>
      <c r="D1811" s="68">
        <v>5</v>
      </c>
      <c r="E1811" s="69"/>
      <c r="F1811" s="70">
        <v>20</v>
      </c>
      <c r="G1811" s="67"/>
      <c r="H1811" s="71"/>
      <c r="I1811" s="72"/>
      <c r="J1811" s="72"/>
      <c r="K1811" s="34" t="s">
        <v>66</v>
      </c>
      <c r="L1811" s="79">
        <v>1811</v>
      </c>
      <c r="M1811" s="79"/>
      <c r="N1811" s="74"/>
      <c r="O1811" s="81" t="s">
        <v>944</v>
      </c>
      <c r="P1811">
        <v>1</v>
      </c>
      <c r="Q1811" s="80" t="str">
        <f>REPLACE(INDEX(GroupVertices[Group],MATCH(Edges[[#This Row],[Vertex 1]],GroupVertices[Vertex],0)),1,1,"")</f>
        <v>2</v>
      </c>
      <c r="R1811" s="80" t="str">
        <f>REPLACE(INDEX(GroupVertices[Group],MATCH(Edges[[#This Row],[Vertex 2]],GroupVertices[Vertex],0)),1,1,"")</f>
        <v>2</v>
      </c>
      <c r="S1811" s="34"/>
      <c r="T1811" s="34"/>
      <c r="U1811" s="34"/>
      <c r="V1811" s="34"/>
      <c r="W1811" s="34"/>
      <c r="X1811" s="34"/>
      <c r="Y1811" s="34"/>
      <c r="Z1811" s="34"/>
      <c r="AA1811" s="34"/>
    </row>
    <row r="1812" spans="1:27" ht="15">
      <c r="A1812" s="66" t="s">
        <v>221</v>
      </c>
      <c r="B1812" s="66" t="s">
        <v>241</v>
      </c>
      <c r="C1812" s="67" t="s">
        <v>4454</v>
      </c>
      <c r="D1812" s="68">
        <v>5</v>
      </c>
      <c r="E1812" s="69"/>
      <c r="F1812" s="70">
        <v>20</v>
      </c>
      <c r="G1812" s="67"/>
      <c r="H1812" s="71"/>
      <c r="I1812" s="72"/>
      <c r="J1812" s="72"/>
      <c r="K1812" s="34" t="s">
        <v>66</v>
      </c>
      <c r="L1812" s="79">
        <v>1812</v>
      </c>
      <c r="M1812" s="79"/>
      <c r="N1812" s="74"/>
      <c r="O1812" s="81" t="s">
        <v>944</v>
      </c>
      <c r="P1812">
        <v>1</v>
      </c>
      <c r="Q1812" s="80" t="str">
        <f>REPLACE(INDEX(GroupVertices[Group],MATCH(Edges[[#This Row],[Vertex 1]],GroupVertices[Vertex],0)),1,1,"")</f>
        <v>2</v>
      </c>
      <c r="R1812" s="80" t="str">
        <f>REPLACE(INDEX(GroupVertices[Group],MATCH(Edges[[#This Row],[Vertex 2]],GroupVertices[Vertex],0)),1,1,"")</f>
        <v>2</v>
      </c>
      <c r="S1812" s="34"/>
      <c r="T1812" s="34"/>
      <c r="U1812" s="34"/>
      <c r="V1812" s="34"/>
      <c r="W1812" s="34"/>
      <c r="X1812" s="34"/>
      <c r="Y1812" s="34"/>
      <c r="Z1812" s="34"/>
      <c r="AA1812" s="34"/>
    </row>
    <row r="1813" spans="1:27" ht="15">
      <c r="A1813" s="66" t="s">
        <v>224</v>
      </c>
      <c r="B1813" s="66" t="s">
        <v>241</v>
      </c>
      <c r="C1813" s="67" t="s">
        <v>4454</v>
      </c>
      <c r="D1813" s="68">
        <v>5</v>
      </c>
      <c r="E1813" s="69"/>
      <c r="F1813" s="70">
        <v>20</v>
      </c>
      <c r="G1813" s="67"/>
      <c r="H1813" s="71"/>
      <c r="I1813" s="72"/>
      <c r="J1813" s="72"/>
      <c r="K1813" s="34" t="s">
        <v>66</v>
      </c>
      <c r="L1813" s="79">
        <v>1813</v>
      </c>
      <c r="M1813" s="79"/>
      <c r="N1813" s="74"/>
      <c r="O1813" s="81" t="s">
        <v>944</v>
      </c>
      <c r="P1813">
        <v>1</v>
      </c>
      <c r="Q1813" s="80" t="str">
        <f>REPLACE(INDEX(GroupVertices[Group],MATCH(Edges[[#This Row],[Vertex 1]],GroupVertices[Vertex],0)),1,1,"")</f>
        <v>2</v>
      </c>
      <c r="R1813" s="80" t="str">
        <f>REPLACE(INDEX(GroupVertices[Group],MATCH(Edges[[#This Row],[Vertex 2]],GroupVertices[Vertex],0)),1,1,"")</f>
        <v>2</v>
      </c>
      <c r="S1813" s="34"/>
      <c r="T1813" s="34"/>
      <c r="U1813" s="34"/>
      <c r="V1813" s="34"/>
      <c r="W1813" s="34"/>
      <c r="X1813" s="34"/>
      <c r="Y1813" s="34"/>
      <c r="Z1813" s="34"/>
      <c r="AA1813" s="34"/>
    </row>
    <row r="1814" spans="1:27" ht="15">
      <c r="A1814" s="66" t="s">
        <v>233</v>
      </c>
      <c r="B1814" s="66" t="s">
        <v>241</v>
      </c>
      <c r="C1814" s="67" t="s">
        <v>4454</v>
      </c>
      <c r="D1814" s="68">
        <v>5</v>
      </c>
      <c r="E1814" s="69"/>
      <c r="F1814" s="70">
        <v>20</v>
      </c>
      <c r="G1814" s="67"/>
      <c r="H1814" s="71"/>
      <c r="I1814" s="72"/>
      <c r="J1814" s="72"/>
      <c r="K1814" s="34" t="s">
        <v>66</v>
      </c>
      <c r="L1814" s="79">
        <v>1814</v>
      </c>
      <c r="M1814" s="79"/>
      <c r="N1814" s="74"/>
      <c r="O1814" s="81" t="s">
        <v>944</v>
      </c>
      <c r="P1814">
        <v>1</v>
      </c>
      <c r="Q1814" s="80" t="str">
        <f>REPLACE(INDEX(GroupVertices[Group],MATCH(Edges[[#This Row],[Vertex 1]],GroupVertices[Vertex],0)),1,1,"")</f>
        <v>2</v>
      </c>
      <c r="R1814" s="80" t="str">
        <f>REPLACE(INDEX(GroupVertices[Group],MATCH(Edges[[#This Row],[Vertex 2]],GroupVertices[Vertex],0)),1,1,"")</f>
        <v>2</v>
      </c>
      <c r="S1814" s="34"/>
      <c r="T1814" s="34"/>
      <c r="U1814" s="34"/>
      <c r="V1814" s="34"/>
      <c r="W1814" s="34"/>
      <c r="X1814" s="34"/>
      <c r="Y1814" s="34"/>
      <c r="Z1814" s="34"/>
      <c r="AA1814" s="34"/>
    </row>
    <row r="1815" spans="1:27" ht="15">
      <c r="A1815" s="66" t="s">
        <v>241</v>
      </c>
      <c r="B1815" s="66" t="s">
        <v>616</v>
      </c>
      <c r="C1815" s="67" t="s">
        <v>4454</v>
      </c>
      <c r="D1815" s="68">
        <v>5</v>
      </c>
      <c r="E1815" s="69"/>
      <c r="F1815" s="70">
        <v>20</v>
      </c>
      <c r="G1815" s="67"/>
      <c r="H1815" s="71"/>
      <c r="I1815" s="72"/>
      <c r="J1815" s="72"/>
      <c r="K1815" s="34" t="s">
        <v>65</v>
      </c>
      <c r="L1815" s="79">
        <v>1815</v>
      </c>
      <c r="M1815" s="79"/>
      <c r="N1815" s="74"/>
      <c r="O1815" s="81" t="s">
        <v>944</v>
      </c>
      <c r="P1815">
        <v>1</v>
      </c>
      <c r="Q1815" s="80" t="str">
        <f>REPLACE(INDEX(GroupVertices[Group],MATCH(Edges[[#This Row],[Vertex 1]],GroupVertices[Vertex],0)),1,1,"")</f>
        <v>2</v>
      </c>
      <c r="R1815" s="80" t="str">
        <f>REPLACE(INDEX(GroupVertices[Group],MATCH(Edges[[#This Row],[Vertex 2]],GroupVertices[Vertex],0)),1,1,"")</f>
        <v>1</v>
      </c>
      <c r="S1815" s="34"/>
      <c r="T1815" s="34"/>
      <c r="U1815" s="34"/>
      <c r="V1815" s="34"/>
      <c r="W1815" s="34"/>
      <c r="X1815" s="34"/>
      <c r="Y1815" s="34"/>
      <c r="Z1815" s="34"/>
      <c r="AA1815" s="34"/>
    </row>
    <row r="1816" spans="1:27" ht="15">
      <c r="A1816" s="66" t="s">
        <v>241</v>
      </c>
      <c r="B1816" s="66" t="s">
        <v>226</v>
      </c>
      <c r="C1816" s="67" t="s">
        <v>4454</v>
      </c>
      <c r="D1816" s="68">
        <v>5</v>
      </c>
      <c r="E1816" s="69"/>
      <c r="F1816" s="70">
        <v>20</v>
      </c>
      <c r="G1816" s="67"/>
      <c r="H1816" s="71"/>
      <c r="I1816" s="72"/>
      <c r="J1816" s="72"/>
      <c r="K1816" s="34" t="s">
        <v>65</v>
      </c>
      <c r="L1816" s="79">
        <v>1816</v>
      </c>
      <c r="M1816" s="79"/>
      <c r="N1816" s="74"/>
      <c r="O1816" s="81" t="s">
        <v>944</v>
      </c>
      <c r="P1816">
        <v>1</v>
      </c>
      <c r="Q1816" s="80" t="str">
        <f>REPLACE(INDEX(GroupVertices[Group],MATCH(Edges[[#This Row],[Vertex 1]],GroupVertices[Vertex],0)),1,1,"")</f>
        <v>2</v>
      </c>
      <c r="R1816" s="80" t="str">
        <f>REPLACE(INDEX(GroupVertices[Group],MATCH(Edges[[#This Row],[Vertex 2]],GroupVertices[Vertex],0)),1,1,"")</f>
        <v>4</v>
      </c>
      <c r="S1816" s="34"/>
      <c r="T1816" s="34"/>
      <c r="U1816" s="34"/>
      <c r="V1816" s="34"/>
      <c r="W1816" s="34"/>
      <c r="X1816" s="34"/>
      <c r="Y1816" s="34"/>
      <c r="Z1816" s="34"/>
      <c r="AA1816" s="34"/>
    </row>
    <row r="1817" spans="1:27" ht="15">
      <c r="A1817" s="66" t="s">
        <v>241</v>
      </c>
      <c r="B1817" s="66" t="s">
        <v>242</v>
      </c>
      <c r="C1817" s="67" t="s">
        <v>4454</v>
      </c>
      <c r="D1817" s="68">
        <v>5</v>
      </c>
      <c r="E1817" s="69"/>
      <c r="F1817" s="70">
        <v>20</v>
      </c>
      <c r="G1817" s="67"/>
      <c r="H1817" s="71"/>
      <c r="I1817" s="72"/>
      <c r="J1817" s="72"/>
      <c r="K1817" s="34" t="s">
        <v>66</v>
      </c>
      <c r="L1817" s="79">
        <v>1817</v>
      </c>
      <c r="M1817" s="79"/>
      <c r="N1817" s="74"/>
      <c r="O1817" s="81" t="s">
        <v>944</v>
      </c>
      <c r="P1817">
        <v>1</v>
      </c>
      <c r="Q1817" s="80" t="str">
        <f>REPLACE(INDEX(GroupVertices[Group],MATCH(Edges[[#This Row],[Vertex 1]],GroupVertices[Vertex],0)),1,1,"")</f>
        <v>2</v>
      </c>
      <c r="R1817" s="80" t="str">
        <f>REPLACE(INDEX(GroupVertices[Group],MATCH(Edges[[#This Row],[Vertex 2]],GroupVertices[Vertex],0)),1,1,"")</f>
        <v>1</v>
      </c>
      <c r="S1817" s="34"/>
      <c r="T1817" s="34"/>
      <c r="U1817" s="34"/>
      <c r="V1817" s="34"/>
      <c r="W1817" s="34"/>
      <c r="X1817" s="34"/>
      <c r="Y1817" s="34"/>
      <c r="Z1817" s="34"/>
      <c r="AA1817" s="34"/>
    </row>
    <row r="1818" spans="1:27" ht="15">
      <c r="A1818" s="66" t="s">
        <v>241</v>
      </c>
      <c r="B1818" s="66" t="s">
        <v>900</v>
      </c>
      <c r="C1818" s="67" t="s">
        <v>4454</v>
      </c>
      <c r="D1818" s="68">
        <v>5</v>
      </c>
      <c r="E1818" s="69"/>
      <c r="F1818" s="70">
        <v>20</v>
      </c>
      <c r="G1818" s="67"/>
      <c r="H1818" s="71"/>
      <c r="I1818" s="72"/>
      <c r="J1818" s="72"/>
      <c r="K1818" s="34" t="s">
        <v>65</v>
      </c>
      <c r="L1818" s="79">
        <v>1818</v>
      </c>
      <c r="M1818" s="79"/>
      <c r="N1818" s="74"/>
      <c r="O1818" s="81" t="s">
        <v>944</v>
      </c>
      <c r="P1818">
        <v>1</v>
      </c>
      <c r="Q1818" s="80" t="str">
        <f>REPLACE(INDEX(GroupVertices[Group],MATCH(Edges[[#This Row],[Vertex 1]],GroupVertices[Vertex],0)),1,1,"")</f>
        <v>2</v>
      </c>
      <c r="R1818" s="80" t="str">
        <f>REPLACE(INDEX(GroupVertices[Group],MATCH(Edges[[#This Row],[Vertex 2]],GroupVertices[Vertex],0)),1,1,"")</f>
        <v>2</v>
      </c>
      <c r="S1818" s="34"/>
      <c r="T1818" s="34"/>
      <c r="U1818" s="34"/>
      <c r="V1818" s="34"/>
      <c r="W1818" s="34"/>
      <c r="X1818" s="34"/>
      <c r="Y1818" s="34"/>
      <c r="Z1818" s="34"/>
      <c r="AA1818" s="34"/>
    </row>
    <row r="1819" spans="1:27" ht="15">
      <c r="A1819" s="66" t="s">
        <v>241</v>
      </c>
      <c r="B1819" s="66" t="s">
        <v>246</v>
      </c>
      <c r="C1819" s="67" t="s">
        <v>4454</v>
      </c>
      <c r="D1819" s="68">
        <v>5</v>
      </c>
      <c r="E1819" s="69"/>
      <c r="F1819" s="70">
        <v>20</v>
      </c>
      <c r="G1819" s="67"/>
      <c r="H1819" s="71"/>
      <c r="I1819" s="72"/>
      <c r="J1819" s="72"/>
      <c r="K1819" s="34" t="s">
        <v>66</v>
      </c>
      <c r="L1819" s="79">
        <v>1819</v>
      </c>
      <c r="M1819" s="79"/>
      <c r="N1819" s="74"/>
      <c r="O1819" s="81" t="s">
        <v>944</v>
      </c>
      <c r="P1819">
        <v>1</v>
      </c>
      <c r="Q1819" s="80" t="str">
        <f>REPLACE(INDEX(GroupVertices[Group],MATCH(Edges[[#This Row],[Vertex 1]],GroupVertices[Vertex],0)),1,1,"")</f>
        <v>2</v>
      </c>
      <c r="R1819" s="80" t="str">
        <f>REPLACE(INDEX(GroupVertices[Group],MATCH(Edges[[#This Row],[Vertex 2]],GroupVertices[Vertex],0)),1,1,"")</f>
        <v>2</v>
      </c>
      <c r="S1819" s="34"/>
      <c r="T1819" s="34"/>
      <c r="U1819" s="34"/>
      <c r="V1819" s="34"/>
      <c r="W1819" s="34"/>
      <c r="X1819" s="34"/>
      <c r="Y1819" s="34"/>
      <c r="Z1819" s="34"/>
      <c r="AA1819" s="34"/>
    </row>
    <row r="1820" spans="1:27" ht="15">
      <c r="A1820" s="66" t="s">
        <v>241</v>
      </c>
      <c r="B1820" s="66" t="s">
        <v>247</v>
      </c>
      <c r="C1820" s="67" t="s">
        <v>4454</v>
      </c>
      <c r="D1820" s="68">
        <v>5</v>
      </c>
      <c r="E1820" s="69"/>
      <c r="F1820" s="70">
        <v>20</v>
      </c>
      <c r="G1820" s="67"/>
      <c r="H1820" s="71"/>
      <c r="I1820" s="72"/>
      <c r="J1820" s="72"/>
      <c r="K1820" s="34" t="s">
        <v>66</v>
      </c>
      <c r="L1820" s="79">
        <v>1820</v>
      </c>
      <c r="M1820" s="79"/>
      <c r="N1820" s="74"/>
      <c r="O1820" s="81" t="s">
        <v>944</v>
      </c>
      <c r="P1820">
        <v>1</v>
      </c>
      <c r="Q1820" s="80" t="str">
        <f>REPLACE(INDEX(GroupVertices[Group],MATCH(Edges[[#This Row],[Vertex 1]],GroupVertices[Vertex],0)),1,1,"")</f>
        <v>2</v>
      </c>
      <c r="R1820" s="80" t="str">
        <f>REPLACE(INDEX(GroupVertices[Group],MATCH(Edges[[#This Row],[Vertex 2]],GroupVertices[Vertex],0)),1,1,"")</f>
        <v>2</v>
      </c>
      <c r="S1820" s="34"/>
      <c r="T1820" s="34"/>
      <c r="U1820" s="34"/>
      <c r="V1820" s="34"/>
      <c r="W1820" s="34"/>
      <c r="X1820" s="34"/>
      <c r="Y1820" s="34"/>
      <c r="Z1820" s="34"/>
      <c r="AA1820" s="34"/>
    </row>
    <row r="1821" spans="1:27" ht="15">
      <c r="A1821" s="66" t="s">
        <v>241</v>
      </c>
      <c r="B1821" s="66" t="s">
        <v>238</v>
      </c>
      <c r="C1821" s="67" t="s">
        <v>4454</v>
      </c>
      <c r="D1821" s="68">
        <v>5</v>
      </c>
      <c r="E1821" s="69"/>
      <c r="F1821" s="70">
        <v>20</v>
      </c>
      <c r="G1821" s="67"/>
      <c r="H1821" s="71"/>
      <c r="I1821" s="72"/>
      <c r="J1821" s="72"/>
      <c r="K1821" s="34" t="s">
        <v>65</v>
      </c>
      <c r="L1821" s="79">
        <v>1821</v>
      </c>
      <c r="M1821" s="79"/>
      <c r="N1821" s="74"/>
      <c r="O1821" s="81" t="s">
        <v>944</v>
      </c>
      <c r="P1821">
        <v>1</v>
      </c>
      <c r="Q1821" s="80" t="str">
        <f>REPLACE(INDEX(GroupVertices[Group],MATCH(Edges[[#This Row],[Vertex 1]],GroupVertices[Vertex],0)),1,1,"")</f>
        <v>2</v>
      </c>
      <c r="R1821" s="80" t="str">
        <f>REPLACE(INDEX(GroupVertices[Group],MATCH(Edges[[#This Row],[Vertex 2]],GroupVertices[Vertex],0)),1,1,"")</f>
        <v>2</v>
      </c>
      <c r="S1821" s="34"/>
      <c r="T1821" s="34"/>
      <c r="U1821" s="34"/>
      <c r="V1821" s="34"/>
      <c r="W1821" s="34"/>
      <c r="X1821" s="34"/>
      <c r="Y1821" s="34"/>
      <c r="Z1821" s="34"/>
      <c r="AA1821" s="34"/>
    </row>
    <row r="1822" spans="1:27" ht="15">
      <c r="A1822" s="66" t="s">
        <v>241</v>
      </c>
      <c r="B1822" s="66" t="s">
        <v>510</v>
      </c>
      <c r="C1822" s="67" t="s">
        <v>4454</v>
      </c>
      <c r="D1822" s="68">
        <v>5</v>
      </c>
      <c r="E1822" s="69"/>
      <c r="F1822" s="70">
        <v>20</v>
      </c>
      <c r="G1822" s="67"/>
      <c r="H1822" s="71"/>
      <c r="I1822" s="72"/>
      <c r="J1822" s="72"/>
      <c r="K1822" s="34" t="s">
        <v>65</v>
      </c>
      <c r="L1822" s="79">
        <v>1822</v>
      </c>
      <c r="M1822" s="79"/>
      <c r="N1822" s="74"/>
      <c r="O1822" s="81" t="s">
        <v>944</v>
      </c>
      <c r="P1822">
        <v>1</v>
      </c>
      <c r="Q1822" s="80" t="str">
        <f>REPLACE(INDEX(GroupVertices[Group],MATCH(Edges[[#This Row],[Vertex 1]],GroupVertices[Vertex],0)),1,1,"")</f>
        <v>2</v>
      </c>
      <c r="R1822" s="80" t="str">
        <f>REPLACE(INDEX(GroupVertices[Group],MATCH(Edges[[#This Row],[Vertex 2]],GroupVertices[Vertex],0)),1,1,"")</f>
        <v>2</v>
      </c>
      <c r="S1822" s="34"/>
      <c r="T1822" s="34"/>
      <c r="U1822" s="34"/>
      <c r="V1822" s="34"/>
      <c r="W1822" s="34"/>
      <c r="X1822" s="34"/>
      <c r="Y1822" s="34"/>
      <c r="Z1822" s="34"/>
      <c r="AA1822" s="34"/>
    </row>
    <row r="1823" spans="1:27" ht="15">
      <c r="A1823" s="66" t="s">
        <v>241</v>
      </c>
      <c r="B1823" s="66" t="s">
        <v>224</v>
      </c>
      <c r="C1823" s="67" t="s">
        <v>4454</v>
      </c>
      <c r="D1823" s="68">
        <v>5</v>
      </c>
      <c r="E1823" s="69"/>
      <c r="F1823" s="70">
        <v>20</v>
      </c>
      <c r="G1823" s="67"/>
      <c r="H1823" s="71"/>
      <c r="I1823" s="72"/>
      <c r="J1823" s="72"/>
      <c r="K1823" s="34" t="s">
        <v>66</v>
      </c>
      <c r="L1823" s="79">
        <v>1823</v>
      </c>
      <c r="M1823" s="79"/>
      <c r="N1823" s="74"/>
      <c r="O1823" s="81" t="s">
        <v>944</v>
      </c>
      <c r="P1823">
        <v>1</v>
      </c>
      <c r="Q1823" s="80" t="str">
        <f>REPLACE(INDEX(GroupVertices[Group],MATCH(Edges[[#This Row],[Vertex 1]],GroupVertices[Vertex],0)),1,1,"")</f>
        <v>2</v>
      </c>
      <c r="R1823" s="80" t="str">
        <f>REPLACE(INDEX(GroupVertices[Group],MATCH(Edges[[#This Row],[Vertex 2]],GroupVertices[Vertex],0)),1,1,"")</f>
        <v>2</v>
      </c>
      <c r="S1823" s="34"/>
      <c r="T1823" s="34"/>
      <c r="U1823" s="34"/>
      <c r="V1823" s="34"/>
      <c r="W1823" s="34"/>
      <c r="X1823" s="34"/>
      <c r="Y1823" s="34"/>
      <c r="Z1823" s="34"/>
      <c r="AA1823" s="34"/>
    </row>
    <row r="1824" spans="1:27" ht="15">
      <c r="A1824" s="66" t="s">
        <v>241</v>
      </c>
      <c r="B1824" s="66" t="s">
        <v>260</v>
      </c>
      <c r="C1824" s="67" t="s">
        <v>4454</v>
      </c>
      <c r="D1824" s="68">
        <v>5</v>
      </c>
      <c r="E1824" s="69"/>
      <c r="F1824" s="70">
        <v>20</v>
      </c>
      <c r="G1824" s="67"/>
      <c r="H1824" s="71"/>
      <c r="I1824" s="72"/>
      <c r="J1824" s="72"/>
      <c r="K1824" s="34" t="s">
        <v>65</v>
      </c>
      <c r="L1824" s="79">
        <v>1824</v>
      </c>
      <c r="M1824" s="79"/>
      <c r="N1824" s="74"/>
      <c r="O1824" s="81" t="s">
        <v>944</v>
      </c>
      <c r="P1824">
        <v>1</v>
      </c>
      <c r="Q1824" s="80" t="str">
        <f>REPLACE(INDEX(GroupVertices[Group],MATCH(Edges[[#This Row],[Vertex 1]],GroupVertices[Vertex],0)),1,1,"")</f>
        <v>2</v>
      </c>
      <c r="R1824" s="80" t="str">
        <f>REPLACE(INDEX(GroupVertices[Group],MATCH(Edges[[#This Row],[Vertex 2]],GroupVertices[Vertex],0)),1,1,"")</f>
        <v>2</v>
      </c>
      <c r="S1824" s="34"/>
      <c r="T1824" s="34"/>
      <c r="U1824" s="34"/>
      <c r="V1824" s="34"/>
      <c r="W1824" s="34"/>
      <c r="X1824" s="34"/>
      <c r="Y1824" s="34"/>
      <c r="Z1824" s="34"/>
      <c r="AA1824" s="34"/>
    </row>
    <row r="1825" spans="1:27" ht="15">
      <c r="A1825" s="66" t="s">
        <v>241</v>
      </c>
      <c r="B1825" s="66" t="s">
        <v>619</v>
      </c>
      <c r="C1825" s="67" t="s">
        <v>4454</v>
      </c>
      <c r="D1825" s="68">
        <v>5</v>
      </c>
      <c r="E1825" s="69"/>
      <c r="F1825" s="70">
        <v>20</v>
      </c>
      <c r="G1825" s="67"/>
      <c r="H1825" s="71"/>
      <c r="I1825" s="72"/>
      <c r="J1825" s="72"/>
      <c r="K1825" s="34" t="s">
        <v>65</v>
      </c>
      <c r="L1825" s="79">
        <v>1825</v>
      </c>
      <c r="M1825" s="79"/>
      <c r="N1825" s="74"/>
      <c r="O1825" s="81" t="s">
        <v>944</v>
      </c>
      <c r="P1825">
        <v>1</v>
      </c>
      <c r="Q1825" s="80" t="str">
        <f>REPLACE(INDEX(GroupVertices[Group],MATCH(Edges[[#This Row],[Vertex 1]],GroupVertices[Vertex],0)),1,1,"")</f>
        <v>2</v>
      </c>
      <c r="R1825" s="80" t="str">
        <f>REPLACE(INDEX(GroupVertices[Group],MATCH(Edges[[#This Row],[Vertex 2]],GroupVertices[Vertex],0)),1,1,"")</f>
        <v>2</v>
      </c>
      <c r="S1825" s="34"/>
      <c r="T1825" s="34"/>
      <c r="U1825" s="34"/>
      <c r="V1825" s="34"/>
      <c r="W1825" s="34"/>
      <c r="X1825" s="34"/>
      <c r="Y1825" s="34"/>
      <c r="Z1825" s="34"/>
      <c r="AA1825" s="34"/>
    </row>
    <row r="1826" spans="1:27" ht="15">
      <c r="A1826" s="66" t="s">
        <v>241</v>
      </c>
      <c r="B1826" s="66" t="s">
        <v>602</v>
      </c>
      <c r="C1826" s="67" t="s">
        <v>4454</v>
      </c>
      <c r="D1826" s="68">
        <v>5</v>
      </c>
      <c r="E1826" s="69"/>
      <c r="F1826" s="70">
        <v>20</v>
      </c>
      <c r="G1826" s="67"/>
      <c r="H1826" s="71"/>
      <c r="I1826" s="72"/>
      <c r="J1826" s="72"/>
      <c r="K1826" s="34" t="s">
        <v>65</v>
      </c>
      <c r="L1826" s="79">
        <v>1826</v>
      </c>
      <c r="M1826" s="79"/>
      <c r="N1826" s="74"/>
      <c r="O1826" s="81" t="s">
        <v>944</v>
      </c>
      <c r="P1826">
        <v>1</v>
      </c>
      <c r="Q1826" s="80" t="str">
        <f>REPLACE(INDEX(GroupVertices[Group],MATCH(Edges[[#This Row],[Vertex 1]],GroupVertices[Vertex],0)),1,1,"")</f>
        <v>2</v>
      </c>
      <c r="R1826" s="80" t="str">
        <f>REPLACE(INDEX(GroupVertices[Group],MATCH(Edges[[#This Row],[Vertex 2]],GroupVertices[Vertex],0)),1,1,"")</f>
        <v>2</v>
      </c>
      <c r="S1826" s="34"/>
      <c r="T1826" s="34"/>
      <c r="U1826" s="34"/>
      <c r="V1826" s="34"/>
      <c r="W1826" s="34"/>
      <c r="X1826" s="34"/>
      <c r="Y1826" s="34"/>
      <c r="Z1826" s="34"/>
      <c r="AA1826" s="34"/>
    </row>
    <row r="1827" spans="1:27" ht="15">
      <c r="A1827" s="66" t="s">
        <v>241</v>
      </c>
      <c r="B1827" s="66" t="s">
        <v>252</v>
      </c>
      <c r="C1827" s="67" t="s">
        <v>4454</v>
      </c>
      <c r="D1827" s="68">
        <v>5</v>
      </c>
      <c r="E1827" s="69"/>
      <c r="F1827" s="70">
        <v>20</v>
      </c>
      <c r="G1827" s="67"/>
      <c r="H1827" s="71"/>
      <c r="I1827" s="72"/>
      <c r="J1827" s="72"/>
      <c r="K1827" s="34" t="s">
        <v>65</v>
      </c>
      <c r="L1827" s="79">
        <v>1827</v>
      </c>
      <c r="M1827" s="79"/>
      <c r="N1827" s="74"/>
      <c r="O1827" s="81" t="s">
        <v>944</v>
      </c>
      <c r="P1827">
        <v>1</v>
      </c>
      <c r="Q1827" s="80" t="str">
        <f>REPLACE(INDEX(GroupVertices[Group],MATCH(Edges[[#This Row],[Vertex 1]],GroupVertices[Vertex],0)),1,1,"")</f>
        <v>2</v>
      </c>
      <c r="R1827" s="80" t="str">
        <f>REPLACE(INDEX(GroupVertices[Group],MATCH(Edges[[#This Row],[Vertex 2]],GroupVertices[Vertex],0)),1,1,"")</f>
        <v>1</v>
      </c>
      <c r="S1827" s="34"/>
      <c r="T1827" s="34"/>
      <c r="U1827" s="34"/>
      <c r="V1827" s="34"/>
      <c r="W1827" s="34"/>
      <c r="X1827" s="34"/>
      <c r="Y1827" s="34"/>
      <c r="Z1827" s="34"/>
      <c r="AA1827" s="34"/>
    </row>
    <row r="1828" spans="1:27" ht="15">
      <c r="A1828" s="66" t="s">
        <v>241</v>
      </c>
      <c r="B1828" s="66" t="s">
        <v>255</v>
      </c>
      <c r="C1828" s="67" t="s">
        <v>4454</v>
      </c>
      <c r="D1828" s="68">
        <v>5</v>
      </c>
      <c r="E1828" s="69"/>
      <c r="F1828" s="70">
        <v>20</v>
      </c>
      <c r="G1828" s="67"/>
      <c r="H1828" s="71"/>
      <c r="I1828" s="72"/>
      <c r="J1828" s="72"/>
      <c r="K1828" s="34" t="s">
        <v>65</v>
      </c>
      <c r="L1828" s="79">
        <v>1828</v>
      </c>
      <c r="M1828" s="79"/>
      <c r="N1828" s="74"/>
      <c r="O1828" s="81" t="s">
        <v>944</v>
      </c>
      <c r="P1828">
        <v>1</v>
      </c>
      <c r="Q1828" s="80" t="str">
        <f>REPLACE(INDEX(GroupVertices[Group],MATCH(Edges[[#This Row],[Vertex 1]],GroupVertices[Vertex],0)),1,1,"")</f>
        <v>2</v>
      </c>
      <c r="R1828" s="80" t="str">
        <f>REPLACE(INDEX(GroupVertices[Group],MATCH(Edges[[#This Row],[Vertex 2]],GroupVertices[Vertex],0)),1,1,"")</f>
        <v>4</v>
      </c>
      <c r="S1828" s="34"/>
      <c r="T1828" s="34"/>
      <c r="U1828" s="34"/>
      <c r="V1828" s="34"/>
      <c r="W1828" s="34"/>
      <c r="X1828" s="34"/>
      <c r="Y1828" s="34"/>
      <c r="Z1828" s="34"/>
      <c r="AA1828" s="34"/>
    </row>
    <row r="1829" spans="1:27" ht="15">
      <c r="A1829" s="66" t="s">
        <v>241</v>
      </c>
      <c r="B1829" s="66" t="s">
        <v>217</v>
      </c>
      <c r="C1829" s="67" t="s">
        <v>4454</v>
      </c>
      <c r="D1829" s="68">
        <v>5</v>
      </c>
      <c r="E1829" s="69"/>
      <c r="F1829" s="70">
        <v>20</v>
      </c>
      <c r="G1829" s="67"/>
      <c r="H1829" s="71"/>
      <c r="I1829" s="72"/>
      <c r="J1829" s="72"/>
      <c r="K1829" s="34" t="s">
        <v>65</v>
      </c>
      <c r="L1829" s="79">
        <v>1829</v>
      </c>
      <c r="M1829" s="79"/>
      <c r="N1829" s="74"/>
      <c r="O1829" s="81" t="s">
        <v>944</v>
      </c>
      <c r="P1829">
        <v>1</v>
      </c>
      <c r="Q1829" s="80" t="str">
        <f>REPLACE(INDEX(GroupVertices[Group],MATCH(Edges[[#This Row],[Vertex 1]],GroupVertices[Vertex],0)),1,1,"")</f>
        <v>2</v>
      </c>
      <c r="R1829" s="80" t="str">
        <f>REPLACE(INDEX(GroupVertices[Group],MATCH(Edges[[#This Row],[Vertex 2]],GroupVertices[Vertex],0)),1,1,"")</f>
        <v>4</v>
      </c>
      <c r="S1829" s="34"/>
      <c r="T1829" s="34"/>
      <c r="U1829" s="34"/>
      <c r="V1829" s="34"/>
      <c r="W1829" s="34"/>
      <c r="X1829" s="34"/>
      <c r="Y1829" s="34"/>
      <c r="Z1829" s="34"/>
      <c r="AA1829" s="34"/>
    </row>
    <row r="1830" spans="1:27" ht="15">
      <c r="A1830" s="66" t="s">
        <v>241</v>
      </c>
      <c r="B1830" s="66" t="s">
        <v>233</v>
      </c>
      <c r="C1830" s="67" t="s">
        <v>4454</v>
      </c>
      <c r="D1830" s="68">
        <v>5</v>
      </c>
      <c r="E1830" s="69"/>
      <c r="F1830" s="70">
        <v>20</v>
      </c>
      <c r="G1830" s="67"/>
      <c r="H1830" s="71"/>
      <c r="I1830" s="72"/>
      <c r="J1830" s="72"/>
      <c r="K1830" s="34" t="s">
        <v>66</v>
      </c>
      <c r="L1830" s="79">
        <v>1830</v>
      </c>
      <c r="M1830" s="79"/>
      <c r="N1830" s="74"/>
      <c r="O1830" s="81" t="s">
        <v>944</v>
      </c>
      <c r="P1830">
        <v>1</v>
      </c>
      <c r="Q1830" s="80" t="str">
        <f>REPLACE(INDEX(GroupVertices[Group],MATCH(Edges[[#This Row],[Vertex 1]],GroupVertices[Vertex],0)),1,1,"")</f>
        <v>2</v>
      </c>
      <c r="R1830" s="80" t="str">
        <f>REPLACE(INDEX(GroupVertices[Group],MATCH(Edges[[#This Row],[Vertex 2]],GroupVertices[Vertex],0)),1,1,"")</f>
        <v>2</v>
      </c>
      <c r="S1830" s="34"/>
      <c r="T1830" s="34"/>
      <c r="U1830" s="34"/>
      <c r="V1830" s="34"/>
      <c r="W1830" s="34"/>
      <c r="X1830" s="34"/>
      <c r="Y1830" s="34"/>
      <c r="Z1830" s="34"/>
      <c r="AA1830" s="34"/>
    </row>
    <row r="1831" spans="1:27" ht="15">
      <c r="A1831" s="66" t="s">
        <v>241</v>
      </c>
      <c r="B1831" s="66" t="s">
        <v>878</v>
      </c>
      <c r="C1831" s="67" t="s">
        <v>4454</v>
      </c>
      <c r="D1831" s="68">
        <v>5</v>
      </c>
      <c r="E1831" s="69"/>
      <c r="F1831" s="70">
        <v>20</v>
      </c>
      <c r="G1831" s="67"/>
      <c r="H1831" s="71"/>
      <c r="I1831" s="72"/>
      <c r="J1831" s="72"/>
      <c r="K1831" s="34" t="s">
        <v>65</v>
      </c>
      <c r="L1831" s="79">
        <v>1831</v>
      </c>
      <c r="M1831" s="79"/>
      <c r="N1831" s="74"/>
      <c r="O1831" s="81" t="s">
        <v>944</v>
      </c>
      <c r="P1831">
        <v>1</v>
      </c>
      <c r="Q1831" s="80" t="str">
        <f>REPLACE(INDEX(GroupVertices[Group],MATCH(Edges[[#This Row],[Vertex 1]],GroupVertices[Vertex],0)),1,1,"")</f>
        <v>2</v>
      </c>
      <c r="R1831" s="80" t="str">
        <f>REPLACE(INDEX(GroupVertices[Group],MATCH(Edges[[#This Row],[Vertex 2]],GroupVertices[Vertex],0)),1,1,"")</f>
        <v>2</v>
      </c>
      <c r="S1831" s="34"/>
      <c r="T1831" s="34"/>
      <c r="U1831" s="34"/>
      <c r="V1831" s="34"/>
      <c r="W1831" s="34"/>
      <c r="X1831" s="34"/>
      <c r="Y1831" s="34"/>
      <c r="Z1831" s="34"/>
      <c r="AA1831" s="34"/>
    </row>
    <row r="1832" spans="1:27" ht="15">
      <c r="A1832" s="66" t="s">
        <v>241</v>
      </c>
      <c r="B1832" s="66" t="s">
        <v>512</v>
      </c>
      <c r="C1832" s="67" t="s">
        <v>4454</v>
      </c>
      <c r="D1832" s="68">
        <v>5</v>
      </c>
      <c r="E1832" s="69"/>
      <c r="F1832" s="70">
        <v>20</v>
      </c>
      <c r="G1832" s="67"/>
      <c r="H1832" s="71"/>
      <c r="I1832" s="72"/>
      <c r="J1832" s="72"/>
      <c r="K1832" s="34" t="s">
        <v>65</v>
      </c>
      <c r="L1832" s="79">
        <v>1832</v>
      </c>
      <c r="M1832" s="79"/>
      <c r="N1832" s="74"/>
      <c r="O1832" s="81" t="s">
        <v>944</v>
      </c>
      <c r="P1832">
        <v>1</v>
      </c>
      <c r="Q1832" s="80" t="str">
        <f>REPLACE(INDEX(GroupVertices[Group],MATCH(Edges[[#This Row],[Vertex 1]],GroupVertices[Vertex],0)),1,1,"")</f>
        <v>2</v>
      </c>
      <c r="R1832" s="80" t="str">
        <f>REPLACE(INDEX(GroupVertices[Group],MATCH(Edges[[#This Row],[Vertex 2]],GroupVertices[Vertex],0)),1,1,"")</f>
        <v>2</v>
      </c>
      <c r="S1832" s="34"/>
      <c r="T1832" s="34"/>
      <c r="U1832" s="34"/>
      <c r="V1832" s="34"/>
      <c r="W1832" s="34"/>
      <c r="X1832" s="34"/>
      <c r="Y1832" s="34"/>
      <c r="Z1832" s="34"/>
      <c r="AA1832" s="34"/>
    </row>
    <row r="1833" spans="1:27" ht="15">
      <c r="A1833" s="66" t="s">
        <v>241</v>
      </c>
      <c r="B1833" s="66" t="s">
        <v>254</v>
      </c>
      <c r="C1833" s="67" t="s">
        <v>4454</v>
      </c>
      <c r="D1833" s="68">
        <v>5</v>
      </c>
      <c r="E1833" s="69"/>
      <c r="F1833" s="70">
        <v>20</v>
      </c>
      <c r="G1833" s="67"/>
      <c r="H1833" s="71"/>
      <c r="I1833" s="72"/>
      <c r="J1833" s="72"/>
      <c r="K1833" s="34" t="s">
        <v>65</v>
      </c>
      <c r="L1833" s="79">
        <v>1833</v>
      </c>
      <c r="M1833" s="79"/>
      <c r="N1833" s="74"/>
      <c r="O1833" s="81" t="s">
        <v>944</v>
      </c>
      <c r="P1833">
        <v>1</v>
      </c>
      <c r="Q1833" s="80" t="str">
        <f>REPLACE(INDEX(GroupVertices[Group],MATCH(Edges[[#This Row],[Vertex 1]],GroupVertices[Vertex],0)),1,1,"")</f>
        <v>2</v>
      </c>
      <c r="R1833" s="80" t="str">
        <f>REPLACE(INDEX(GroupVertices[Group],MATCH(Edges[[#This Row],[Vertex 2]],GroupVertices[Vertex],0)),1,1,"")</f>
        <v>3</v>
      </c>
      <c r="S1833" s="34"/>
      <c r="T1833" s="34"/>
      <c r="U1833" s="34"/>
      <c r="V1833" s="34"/>
      <c r="W1833" s="34"/>
      <c r="X1833" s="34"/>
      <c r="Y1833" s="34"/>
      <c r="Z1833" s="34"/>
      <c r="AA1833" s="34"/>
    </row>
    <row r="1834" spans="1:27" ht="15">
      <c r="A1834" s="66" t="s">
        <v>241</v>
      </c>
      <c r="B1834" s="66" t="s">
        <v>221</v>
      </c>
      <c r="C1834" s="67" t="s">
        <v>4454</v>
      </c>
      <c r="D1834" s="68">
        <v>5</v>
      </c>
      <c r="E1834" s="69"/>
      <c r="F1834" s="70">
        <v>20</v>
      </c>
      <c r="G1834" s="67"/>
      <c r="H1834" s="71"/>
      <c r="I1834" s="72"/>
      <c r="J1834" s="72"/>
      <c r="K1834" s="34" t="s">
        <v>66</v>
      </c>
      <c r="L1834" s="79">
        <v>1834</v>
      </c>
      <c r="M1834" s="79"/>
      <c r="N1834" s="74"/>
      <c r="O1834" s="81" t="s">
        <v>944</v>
      </c>
      <c r="P1834">
        <v>1</v>
      </c>
      <c r="Q1834" s="80" t="str">
        <f>REPLACE(INDEX(GroupVertices[Group],MATCH(Edges[[#This Row],[Vertex 1]],GroupVertices[Vertex],0)),1,1,"")</f>
        <v>2</v>
      </c>
      <c r="R1834" s="80" t="str">
        <f>REPLACE(INDEX(GroupVertices[Group],MATCH(Edges[[#This Row],[Vertex 2]],GroupVertices[Vertex],0)),1,1,"")</f>
        <v>2</v>
      </c>
      <c r="S1834" s="34"/>
      <c r="T1834" s="34"/>
      <c r="U1834" s="34"/>
      <c r="V1834" s="34"/>
      <c r="W1834" s="34"/>
      <c r="X1834" s="34"/>
      <c r="Y1834" s="34"/>
      <c r="Z1834" s="34"/>
      <c r="AA1834" s="34"/>
    </row>
    <row r="1835" spans="1:27" ht="15">
      <c r="A1835" s="66" t="s">
        <v>241</v>
      </c>
      <c r="B1835" s="66" t="s">
        <v>253</v>
      </c>
      <c r="C1835" s="67" t="s">
        <v>4454</v>
      </c>
      <c r="D1835" s="68">
        <v>5</v>
      </c>
      <c r="E1835" s="69"/>
      <c r="F1835" s="70">
        <v>20</v>
      </c>
      <c r="G1835" s="67"/>
      <c r="H1835" s="71"/>
      <c r="I1835" s="72"/>
      <c r="J1835" s="72"/>
      <c r="K1835" s="34" t="s">
        <v>65</v>
      </c>
      <c r="L1835" s="79">
        <v>1835</v>
      </c>
      <c r="M1835" s="79"/>
      <c r="N1835" s="74"/>
      <c r="O1835" s="81" t="s">
        <v>944</v>
      </c>
      <c r="P1835">
        <v>1</v>
      </c>
      <c r="Q1835" s="80" t="str">
        <f>REPLACE(INDEX(GroupVertices[Group],MATCH(Edges[[#This Row],[Vertex 1]],GroupVertices[Vertex],0)),1,1,"")</f>
        <v>2</v>
      </c>
      <c r="R1835" s="80" t="str">
        <f>REPLACE(INDEX(GroupVertices[Group],MATCH(Edges[[#This Row],[Vertex 2]],GroupVertices[Vertex],0)),1,1,"")</f>
        <v>1</v>
      </c>
      <c r="S1835" s="34"/>
      <c r="T1835" s="34"/>
      <c r="U1835" s="34"/>
      <c r="V1835" s="34"/>
      <c r="W1835" s="34"/>
      <c r="X1835" s="34"/>
      <c r="Y1835" s="34"/>
      <c r="Z1835" s="34"/>
      <c r="AA1835" s="34"/>
    </row>
    <row r="1836" spans="1:27" ht="15">
      <c r="A1836" s="66" t="s">
        <v>241</v>
      </c>
      <c r="B1836" s="66" t="s">
        <v>737</v>
      </c>
      <c r="C1836" s="67" t="s">
        <v>4454</v>
      </c>
      <c r="D1836" s="68">
        <v>5</v>
      </c>
      <c r="E1836" s="69"/>
      <c r="F1836" s="70">
        <v>20</v>
      </c>
      <c r="G1836" s="67"/>
      <c r="H1836" s="71"/>
      <c r="I1836" s="72"/>
      <c r="J1836" s="72"/>
      <c r="K1836" s="34" t="s">
        <v>65</v>
      </c>
      <c r="L1836" s="79">
        <v>1836</v>
      </c>
      <c r="M1836" s="79"/>
      <c r="N1836" s="74"/>
      <c r="O1836" s="81" t="s">
        <v>944</v>
      </c>
      <c r="P1836">
        <v>1</v>
      </c>
      <c r="Q1836" s="80" t="str">
        <f>REPLACE(INDEX(GroupVertices[Group],MATCH(Edges[[#This Row],[Vertex 1]],GroupVertices[Vertex],0)),1,1,"")</f>
        <v>2</v>
      </c>
      <c r="R1836" s="80" t="str">
        <f>REPLACE(INDEX(GroupVertices[Group],MATCH(Edges[[#This Row],[Vertex 2]],GroupVertices[Vertex],0)),1,1,"")</f>
        <v>1</v>
      </c>
      <c r="S1836" s="34"/>
      <c r="T1836" s="34"/>
      <c r="U1836" s="34"/>
      <c r="V1836" s="34"/>
      <c r="W1836" s="34"/>
      <c r="X1836" s="34"/>
      <c r="Y1836" s="34"/>
      <c r="Z1836" s="34"/>
      <c r="AA1836" s="34"/>
    </row>
    <row r="1837" spans="1:27" ht="15">
      <c r="A1837" s="66" t="s">
        <v>241</v>
      </c>
      <c r="B1837" s="66" t="s">
        <v>261</v>
      </c>
      <c r="C1837" s="67" t="s">
        <v>4454</v>
      </c>
      <c r="D1837" s="68">
        <v>5</v>
      </c>
      <c r="E1837" s="69"/>
      <c r="F1837" s="70">
        <v>20</v>
      </c>
      <c r="G1837" s="67"/>
      <c r="H1837" s="71"/>
      <c r="I1837" s="72"/>
      <c r="J1837" s="72"/>
      <c r="K1837" s="34" t="s">
        <v>65</v>
      </c>
      <c r="L1837" s="79">
        <v>1837</v>
      </c>
      <c r="M1837" s="79"/>
      <c r="N1837" s="74"/>
      <c r="O1837" s="81" t="s">
        <v>944</v>
      </c>
      <c r="P1837">
        <v>1</v>
      </c>
      <c r="Q1837" s="80" t="str">
        <f>REPLACE(INDEX(GroupVertices[Group],MATCH(Edges[[#This Row],[Vertex 1]],GroupVertices[Vertex],0)),1,1,"")</f>
        <v>2</v>
      </c>
      <c r="R1837" s="80" t="str">
        <f>REPLACE(INDEX(GroupVertices[Group],MATCH(Edges[[#This Row],[Vertex 2]],GroupVertices[Vertex],0)),1,1,"")</f>
        <v>1</v>
      </c>
      <c r="S1837" s="34"/>
      <c r="T1837" s="34"/>
      <c r="U1837" s="34"/>
      <c r="V1837" s="34"/>
      <c r="W1837" s="34"/>
      <c r="X1837" s="34"/>
      <c r="Y1837" s="34"/>
      <c r="Z1837" s="34"/>
      <c r="AA1837" s="34"/>
    </row>
    <row r="1838" spans="1:27" ht="15">
      <c r="A1838" s="66" t="s">
        <v>241</v>
      </c>
      <c r="B1838" s="66" t="s">
        <v>220</v>
      </c>
      <c r="C1838" s="67" t="s">
        <v>4454</v>
      </c>
      <c r="D1838" s="68">
        <v>5</v>
      </c>
      <c r="E1838" s="69"/>
      <c r="F1838" s="70">
        <v>20</v>
      </c>
      <c r="G1838" s="67"/>
      <c r="H1838" s="71"/>
      <c r="I1838" s="72"/>
      <c r="J1838" s="72"/>
      <c r="K1838" s="34" t="s">
        <v>66</v>
      </c>
      <c r="L1838" s="79">
        <v>1838</v>
      </c>
      <c r="M1838" s="79"/>
      <c r="N1838" s="74"/>
      <c r="O1838" s="81" t="s">
        <v>944</v>
      </c>
      <c r="P1838">
        <v>1</v>
      </c>
      <c r="Q1838" s="80" t="str">
        <f>REPLACE(INDEX(GroupVertices[Group],MATCH(Edges[[#This Row],[Vertex 1]],GroupVertices[Vertex],0)),1,1,"")</f>
        <v>2</v>
      </c>
      <c r="R1838" s="80" t="str">
        <f>REPLACE(INDEX(GroupVertices[Group],MATCH(Edges[[#This Row],[Vertex 2]],GroupVertices[Vertex],0)),1,1,"")</f>
        <v>2</v>
      </c>
      <c r="S1838" s="34"/>
      <c r="T1838" s="34"/>
      <c r="U1838" s="34"/>
      <c r="V1838" s="34"/>
      <c r="W1838" s="34"/>
      <c r="X1838" s="34"/>
      <c r="Y1838" s="34"/>
      <c r="Z1838" s="34"/>
      <c r="AA1838" s="34"/>
    </row>
    <row r="1839" spans="1:27" ht="15">
      <c r="A1839" s="66" t="s">
        <v>241</v>
      </c>
      <c r="B1839" s="66" t="s">
        <v>259</v>
      </c>
      <c r="C1839" s="67" t="s">
        <v>4454</v>
      </c>
      <c r="D1839" s="68">
        <v>5</v>
      </c>
      <c r="E1839" s="69"/>
      <c r="F1839" s="70">
        <v>20</v>
      </c>
      <c r="G1839" s="67"/>
      <c r="H1839" s="71"/>
      <c r="I1839" s="72"/>
      <c r="J1839" s="72"/>
      <c r="K1839" s="34" t="s">
        <v>66</v>
      </c>
      <c r="L1839" s="79">
        <v>1839</v>
      </c>
      <c r="M1839" s="79"/>
      <c r="N1839" s="74"/>
      <c r="O1839" s="81" t="s">
        <v>944</v>
      </c>
      <c r="P1839">
        <v>1</v>
      </c>
      <c r="Q1839" s="80" t="str">
        <f>REPLACE(INDEX(GroupVertices[Group],MATCH(Edges[[#This Row],[Vertex 1]],GroupVertices[Vertex],0)),1,1,"")</f>
        <v>2</v>
      </c>
      <c r="R1839" s="80" t="str">
        <f>REPLACE(INDEX(GroupVertices[Group],MATCH(Edges[[#This Row],[Vertex 2]],GroupVertices[Vertex],0)),1,1,"")</f>
        <v>2</v>
      </c>
      <c r="S1839" s="34"/>
      <c r="T1839" s="34"/>
      <c r="U1839" s="34"/>
      <c r="V1839" s="34"/>
      <c r="W1839" s="34"/>
      <c r="X1839" s="34"/>
      <c r="Y1839" s="34"/>
      <c r="Z1839" s="34"/>
      <c r="AA1839" s="34"/>
    </row>
    <row r="1840" spans="1:27" ht="15">
      <c r="A1840" s="66" t="s">
        <v>241</v>
      </c>
      <c r="B1840" s="66" t="s">
        <v>249</v>
      </c>
      <c r="C1840" s="67" t="s">
        <v>4454</v>
      </c>
      <c r="D1840" s="68">
        <v>5</v>
      </c>
      <c r="E1840" s="69"/>
      <c r="F1840" s="70">
        <v>20</v>
      </c>
      <c r="G1840" s="67"/>
      <c r="H1840" s="71"/>
      <c r="I1840" s="72"/>
      <c r="J1840" s="72"/>
      <c r="K1840" s="34" t="s">
        <v>66</v>
      </c>
      <c r="L1840" s="79">
        <v>1840</v>
      </c>
      <c r="M1840" s="79"/>
      <c r="N1840" s="74"/>
      <c r="O1840" s="81" t="s">
        <v>944</v>
      </c>
      <c r="P1840">
        <v>1</v>
      </c>
      <c r="Q1840" s="80" t="str">
        <f>REPLACE(INDEX(GroupVertices[Group],MATCH(Edges[[#This Row],[Vertex 1]],GroupVertices[Vertex],0)),1,1,"")</f>
        <v>2</v>
      </c>
      <c r="R1840" s="80" t="str">
        <f>REPLACE(INDEX(GroupVertices[Group],MATCH(Edges[[#This Row],[Vertex 2]],GroupVertices[Vertex],0)),1,1,"")</f>
        <v>2</v>
      </c>
      <c r="S1840" s="34"/>
      <c r="T1840" s="34"/>
      <c r="U1840" s="34"/>
      <c r="V1840" s="34"/>
      <c r="W1840" s="34"/>
      <c r="X1840" s="34"/>
      <c r="Y1840" s="34"/>
      <c r="Z1840" s="34"/>
      <c r="AA1840" s="34"/>
    </row>
    <row r="1841" spans="1:27" ht="15">
      <c r="A1841" s="66" t="s">
        <v>241</v>
      </c>
      <c r="B1841" s="66" t="s">
        <v>250</v>
      </c>
      <c r="C1841" s="67" t="s">
        <v>4454</v>
      </c>
      <c r="D1841" s="68">
        <v>5</v>
      </c>
      <c r="E1841" s="69"/>
      <c r="F1841" s="70">
        <v>20</v>
      </c>
      <c r="G1841" s="67"/>
      <c r="H1841" s="71"/>
      <c r="I1841" s="72"/>
      <c r="J1841" s="72"/>
      <c r="K1841" s="34" t="s">
        <v>66</v>
      </c>
      <c r="L1841" s="79">
        <v>1841</v>
      </c>
      <c r="M1841" s="79"/>
      <c r="N1841" s="74"/>
      <c r="O1841" s="81" t="s">
        <v>944</v>
      </c>
      <c r="P1841">
        <v>1</v>
      </c>
      <c r="Q1841" s="80" t="str">
        <f>REPLACE(INDEX(GroupVertices[Group],MATCH(Edges[[#This Row],[Vertex 1]],GroupVertices[Vertex],0)),1,1,"")</f>
        <v>2</v>
      </c>
      <c r="R1841" s="80" t="str">
        <f>REPLACE(INDEX(GroupVertices[Group],MATCH(Edges[[#This Row],[Vertex 2]],GroupVertices[Vertex],0)),1,1,"")</f>
        <v>2</v>
      </c>
      <c r="S1841" s="34"/>
      <c r="T1841" s="34"/>
      <c r="U1841" s="34"/>
      <c r="V1841" s="34"/>
      <c r="W1841" s="34"/>
      <c r="X1841" s="34"/>
      <c r="Y1841" s="34"/>
      <c r="Z1841" s="34"/>
      <c r="AA1841" s="34"/>
    </row>
    <row r="1842" spans="1:27" ht="15">
      <c r="A1842" s="66" t="s">
        <v>242</v>
      </c>
      <c r="B1842" s="66" t="s">
        <v>241</v>
      </c>
      <c r="C1842" s="67" t="s">
        <v>4454</v>
      </c>
      <c r="D1842" s="68">
        <v>5</v>
      </c>
      <c r="E1842" s="69"/>
      <c r="F1842" s="70">
        <v>20</v>
      </c>
      <c r="G1842" s="67"/>
      <c r="H1842" s="71"/>
      <c r="I1842" s="72"/>
      <c r="J1842" s="72"/>
      <c r="K1842" s="34" t="s">
        <v>66</v>
      </c>
      <c r="L1842" s="79">
        <v>1842</v>
      </c>
      <c r="M1842" s="79"/>
      <c r="N1842" s="74"/>
      <c r="O1842" s="81" t="s">
        <v>944</v>
      </c>
      <c r="P1842">
        <v>1</v>
      </c>
      <c r="Q1842" s="80" t="str">
        <f>REPLACE(INDEX(GroupVertices[Group],MATCH(Edges[[#This Row],[Vertex 1]],GroupVertices[Vertex],0)),1,1,"")</f>
        <v>1</v>
      </c>
      <c r="R1842" s="80" t="str">
        <f>REPLACE(INDEX(GroupVertices[Group],MATCH(Edges[[#This Row],[Vertex 2]],GroupVertices[Vertex],0)),1,1,"")</f>
        <v>2</v>
      </c>
      <c r="S1842" s="34"/>
      <c r="T1842" s="34"/>
      <c r="U1842" s="34"/>
      <c r="V1842" s="34"/>
      <c r="W1842" s="34"/>
      <c r="X1842" s="34"/>
      <c r="Y1842" s="34"/>
      <c r="Z1842" s="34"/>
      <c r="AA1842" s="34"/>
    </row>
    <row r="1843" spans="1:27" ht="15">
      <c r="A1843" s="66" t="s">
        <v>246</v>
      </c>
      <c r="B1843" s="66" t="s">
        <v>241</v>
      </c>
      <c r="C1843" s="67" t="s">
        <v>4454</v>
      </c>
      <c r="D1843" s="68">
        <v>5</v>
      </c>
      <c r="E1843" s="69"/>
      <c r="F1843" s="70">
        <v>20</v>
      </c>
      <c r="G1843" s="67"/>
      <c r="H1843" s="71"/>
      <c r="I1843" s="72"/>
      <c r="J1843" s="72"/>
      <c r="K1843" s="34" t="s">
        <v>66</v>
      </c>
      <c r="L1843" s="79">
        <v>1843</v>
      </c>
      <c r="M1843" s="79"/>
      <c r="N1843" s="74"/>
      <c r="O1843" s="81" t="s">
        <v>944</v>
      </c>
      <c r="P1843">
        <v>1</v>
      </c>
      <c r="Q1843" s="80" t="str">
        <f>REPLACE(INDEX(GroupVertices[Group],MATCH(Edges[[#This Row],[Vertex 1]],GroupVertices[Vertex],0)),1,1,"")</f>
        <v>2</v>
      </c>
      <c r="R1843" s="80" t="str">
        <f>REPLACE(INDEX(GroupVertices[Group],MATCH(Edges[[#This Row],[Vertex 2]],GroupVertices[Vertex],0)),1,1,"")</f>
        <v>2</v>
      </c>
      <c r="S1843" s="34"/>
      <c r="T1843" s="34"/>
      <c r="U1843" s="34"/>
      <c r="V1843" s="34"/>
      <c r="W1843" s="34"/>
      <c r="X1843" s="34"/>
      <c r="Y1843" s="34"/>
      <c r="Z1843" s="34"/>
      <c r="AA1843" s="34"/>
    </row>
    <row r="1844" spans="1:27" ht="15">
      <c r="A1844" s="66" t="s">
        <v>247</v>
      </c>
      <c r="B1844" s="66" t="s">
        <v>241</v>
      </c>
      <c r="C1844" s="67" t="s">
        <v>4454</v>
      </c>
      <c r="D1844" s="68">
        <v>5</v>
      </c>
      <c r="E1844" s="69"/>
      <c r="F1844" s="70">
        <v>20</v>
      </c>
      <c r="G1844" s="67"/>
      <c r="H1844" s="71"/>
      <c r="I1844" s="72"/>
      <c r="J1844" s="72"/>
      <c r="K1844" s="34" t="s">
        <v>66</v>
      </c>
      <c r="L1844" s="79">
        <v>1844</v>
      </c>
      <c r="M1844" s="79"/>
      <c r="N1844" s="74"/>
      <c r="O1844" s="81" t="s">
        <v>944</v>
      </c>
      <c r="P1844">
        <v>1</v>
      </c>
      <c r="Q1844" s="80" t="str">
        <f>REPLACE(INDEX(GroupVertices[Group],MATCH(Edges[[#This Row],[Vertex 1]],GroupVertices[Vertex],0)),1,1,"")</f>
        <v>2</v>
      </c>
      <c r="R1844" s="80" t="str">
        <f>REPLACE(INDEX(GroupVertices[Group],MATCH(Edges[[#This Row],[Vertex 2]],GroupVertices[Vertex],0)),1,1,"")</f>
        <v>2</v>
      </c>
      <c r="S1844" s="34"/>
      <c r="T1844" s="34"/>
      <c r="U1844" s="34"/>
      <c r="V1844" s="34"/>
      <c r="W1844" s="34"/>
      <c r="X1844" s="34"/>
      <c r="Y1844" s="34"/>
      <c r="Z1844" s="34"/>
      <c r="AA1844" s="34"/>
    </row>
    <row r="1845" spans="1:27" ht="15">
      <c r="A1845" s="66" t="s">
        <v>249</v>
      </c>
      <c r="B1845" s="66" t="s">
        <v>241</v>
      </c>
      <c r="C1845" s="67" t="s">
        <v>4454</v>
      </c>
      <c r="D1845" s="68">
        <v>5</v>
      </c>
      <c r="E1845" s="69"/>
      <c r="F1845" s="70">
        <v>20</v>
      </c>
      <c r="G1845" s="67"/>
      <c r="H1845" s="71"/>
      <c r="I1845" s="72"/>
      <c r="J1845" s="72"/>
      <c r="K1845" s="34" t="s">
        <v>66</v>
      </c>
      <c r="L1845" s="79">
        <v>1845</v>
      </c>
      <c r="M1845" s="79"/>
      <c r="N1845" s="74"/>
      <c r="O1845" s="81" t="s">
        <v>944</v>
      </c>
      <c r="P1845">
        <v>1</v>
      </c>
      <c r="Q1845" s="80" t="str">
        <f>REPLACE(INDEX(GroupVertices[Group],MATCH(Edges[[#This Row],[Vertex 1]],GroupVertices[Vertex],0)),1,1,"")</f>
        <v>2</v>
      </c>
      <c r="R1845" s="80" t="str">
        <f>REPLACE(INDEX(GroupVertices[Group],MATCH(Edges[[#This Row],[Vertex 2]],GroupVertices[Vertex],0)),1,1,"")</f>
        <v>2</v>
      </c>
      <c r="S1845" s="34"/>
      <c r="T1845" s="34"/>
      <c r="U1845" s="34"/>
      <c r="V1845" s="34"/>
      <c r="W1845" s="34"/>
      <c r="X1845" s="34"/>
      <c r="Y1845" s="34"/>
      <c r="Z1845" s="34"/>
      <c r="AA1845" s="34"/>
    </row>
    <row r="1846" spans="1:27" ht="15">
      <c r="A1846" s="66" t="s">
        <v>250</v>
      </c>
      <c r="B1846" s="66" t="s">
        <v>241</v>
      </c>
      <c r="C1846" s="67" t="s">
        <v>4454</v>
      </c>
      <c r="D1846" s="68">
        <v>5</v>
      </c>
      <c r="E1846" s="69"/>
      <c r="F1846" s="70">
        <v>20</v>
      </c>
      <c r="G1846" s="67"/>
      <c r="H1846" s="71"/>
      <c r="I1846" s="72"/>
      <c r="J1846" s="72"/>
      <c r="K1846" s="34" t="s">
        <v>66</v>
      </c>
      <c r="L1846" s="79">
        <v>1846</v>
      </c>
      <c r="M1846" s="79"/>
      <c r="N1846" s="74"/>
      <c r="O1846" s="81" t="s">
        <v>944</v>
      </c>
      <c r="P1846">
        <v>1</v>
      </c>
      <c r="Q1846" s="80" t="str">
        <f>REPLACE(INDEX(GroupVertices[Group],MATCH(Edges[[#This Row],[Vertex 1]],GroupVertices[Vertex],0)),1,1,"")</f>
        <v>2</v>
      </c>
      <c r="R1846" s="80" t="str">
        <f>REPLACE(INDEX(GroupVertices[Group],MATCH(Edges[[#This Row],[Vertex 2]],GroupVertices[Vertex],0)),1,1,"")</f>
        <v>2</v>
      </c>
      <c r="S1846" s="34"/>
      <c r="T1846" s="34"/>
      <c r="U1846" s="34"/>
      <c r="V1846" s="34"/>
      <c r="W1846" s="34"/>
      <c r="X1846" s="34"/>
      <c r="Y1846" s="34"/>
      <c r="Z1846" s="34"/>
      <c r="AA1846" s="34"/>
    </row>
    <row r="1847" spans="1:27" ht="15">
      <c r="A1847" s="66" t="s">
        <v>259</v>
      </c>
      <c r="B1847" s="66" t="s">
        <v>241</v>
      </c>
      <c r="C1847" s="67" t="s">
        <v>4454</v>
      </c>
      <c r="D1847" s="68">
        <v>5</v>
      </c>
      <c r="E1847" s="69"/>
      <c r="F1847" s="70">
        <v>20</v>
      </c>
      <c r="G1847" s="67"/>
      <c r="H1847" s="71"/>
      <c r="I1847" s="72"/>
      <c r="J1847" s="72"/>
      <c r="K1847" s="34" t="s">
        <v>66</v>
      </c>
      <c r="L1847" s="79">
        <v>1847</v>
      </c>
      <c r="M1847" s="79"/>
      <c r="N1847" s="74"/>
      <c r="O1847" s="81" t="s">
        <v>944</v>
      </c>
      <c r="P1847">
        <v>1</v>
      </c>
      <c r="Q1847" s="80" t="str">
        <f>REPLACE(INDEX(GroupVertices[Group],MATCH(Edges[[#This Row],[Vertex 1]],GroupVertices[Vertex],0)),1,1,"")</f>
        <v>2</v>
      </c>
      <c r="R1847" s="80" t="str">
        <f>REPLACE(INDEX(GroupVertices[Group],MATCH(Edges[[#This Row],[Vertex 2]],GroupVertices[Vertex],0)),1,1,"")</f>
        <v>2</v>
      </c>
      <c r="S1847" s="34"/>
      <c r="T1847" s="34"/>
      <c r="U1847" s="34"/>
      <c r="V1847" s="34"/>
      <c r="W1847" s="34"/>
      <c r="X1847" s="34"/>
      <c r="Y1847" s="34"/>
      <c r="Z1847" s="34"/>
      <c r="AA1847" s="34"/>
    </row>
    <row r="1848" spans="1:27" ht="15">
      <c r="A1848" s="66" t="s">
        <v>217</v>
      </c>
      <c r="B1848" s="66" t="s">
        <v>512</v>
      </c>
      <c r="C1848" s="67" t="s">
        <v>4454</v>
      </c>
      <c r="D1848" s="68">
        <v>5</v>
      </c>
      <c r="E1848" s="69"/>
      <c r="F1848" s="70">
        <v>20</v>
      </c>
      <c r="G1848" s="67"/>
      <c r="H1848" s="71"/>
      <c r="I1848" s="72"/>
      <c r="J1848" s="72"/>
      <c r="K1848" s="34" t="s">
        <v>65</v>
      </c>
      <c r="L1848" s="79">
        <v>1848</v>
      </c>
      <c r="M1848" s="79"/>
      <c r="N1848" s="74"/>
      <c r="O1848" s="81" t="s">
        <v>944</v>
      </c>
      <c r="P1848">
        <v>1</v>
      </c>
      <c r="Q1848" s="80" t="str">
        <f>REPLACE(INDEX(GroupVertices[Group],MATCH(Edges[[#This Row],[Vertex 1]],GroupVertices[Vertex],0)),1,1,"")</f>
        <v>4</v>
      </c>
      <c r="R1848" s="80" t="str">
        <f>REPLACE(INDEX(GroupVertices[Group],MATCH(Edges[[#This Row],[Vertex 2]],GroupVertices[Vertex],0)),1,1,"")</f>
        <v>2</v>
      </c>
      <c r="S1848" s="34"/>
      <c r="T1848" s="34"/>
      <c r="U1848" s="34"/>
      <c r="V1848" s="34"/>
      <c r="W1848" s="34"/>
      <c r="X1848" s="34"/>
      <c r="Y1848" s="34"/>
      <c r="Z1848" s="34"/>
      <c r="AA1848" s="34"/>
    </row>
    <row r="1849" spans="1:27" ht="15">
      <c r="A1849" s="66" t="s">
        <v>232</v>
      </c>
      <c r="B1849" s="66" t="s">
        <v>512</v>
      </c>
      <c r="C1849" s="67" t="s">
        <v>4454</v>
      </c>
      <c r="D1849" s="68">
        <v>5</v>
      </c>
      <c r="E1849" s="69"/>
      <c r="F1849" s="70">
        <v>20</v>
      </c>
      <c r="G1849" s="67"/>
      <c r="H1849" s="71"/>
      <c r="I1849" s="72"/>
      <c r="J1849" s="72"/>
      <c r="K1849" s="34" t="s">
        <v>65</v>
      </c>
      <c r="L1849" s="79">
        <v>1849</v>
      </c>
      <c r="M1849" s="79"/>
      <c r="N1849" s="74"/>
      <c r="O1849" s="81" t="s">
        <v>944</v>
      </c>
      <c r="P1849">
        <v>1</v>
      </c>
      <c r="Q1849" s="80" t="str">
        <f>REPLACE(INDEX(GroupVertices[Group],MATCH(Edges[[#This Row],[Vertex 1]],GroupVertices[Vertex],0)),1,1,"")</f>
        <v>1</v>
      </c>
      <c r="R1849" s="80" t="str">
        <f>REPLACE(INDEX(GroupVertices[Group],MATCH(Edges[[#This Row],[Vertex 2]],GroupVertices[Vertex],0)),1,1,"")</f>
        <v>2</v>
      </c>
      <c r="S1849" s="34"/>
      <c r="T1849" s="34"/>
      <c r="U1849" s="34"/>
      <c r="V1849" s="34"/>
      <c r="W1849" s="34"/>
      <c r="X1849" s="34"/>
      <c r="Y1849" s="34"/>
      <c r="Z1849" s="34"/>
      <c r="AA1849" s="34"/>
    </row>
    <row r="1850" spans="1:27" ht="15">
      <c r="A1850" s="66" t="s">
        <v>250</v>
      </c>
      <c r="B1850" s="66" t="s">
        <v>512</v>
      </c>
      <c r="C1850" s="67" t="s">
        <v>4454</v>
      </c>
      <c r="D1850" s="68">
        <v>5</v>
      </c>
      <c r="E1850" s="69"/>
      <c r="F1850" s="70">
        <v>20</v>
      </c>
      <c r="G1850" s="67"/>
      <c r="H1850" s="71"/>
      <c r="I1850" s="72"/>
      <c r="J1850" s="72"/>
      <c r="K1850" s="34" t="s">
        <v>65</v>
      </c>
      <c r="L1850" s="79">
        <v>1850</v>
      </c>
      <c r="M1850" s="79"/>
      <c r="N1850" s="74"/>
      <c r="O1850" s="81" t="s">
        <v>944</v>
      </c>
      <c r="P1850">
        <v>1</v>
      </c>
      <c r="Q1850" s="80" t="str">
        <f>REPLACE(INDEX(GroupVertices[Group],MATCH(Edges[[#This Row],[Vertex 1]],GroupVertices[Vertex],0)),1,1,"")</f>
        <v>2</v>
      </c>
      <c r="R1850" s="80" t="str">
        <f>REPLACE(INDEX(GroupVertices[Group],MATCH(Edges[[#This Row],[Vertex 2]],GroupVertices[Vertex],0)),1,1,"")</f>
        <v>2</v>
      </c>
      <c r="S1850" s="34"/>
      <c r="T1850" s="34"/>
      <c r="U1850" s="34"/>
      <c r="V1850" s="34"/>
      <c r="W1850" s="34"/>
      <c r="X1850" s="34"/>
      <c r="Y1850" s="34"/>
      <c r="Z1850" s="34"/>
      <c r="AA1850" s="34"/>
    </row>
    <row r="1851" spans="1:27" ht="15">
      <c r="A1851" s="66" t="s">
        <v>252</v>
      </c>
      <c r="B1851" s="66" t="s">
        <v>512</v>
      </c>
      <c r="C1851" s="67" t="s">
        <v>4454</v>
      </c>
      <c r="D1851" s="68">
        <v>5</v>
      </c>
      <c r="E1851" s="69"/>
      <c r="F1851" s="70">
        <v>20</v>
      </c>
      <c r="G1851" s="67"/>
      <c r="H1851" s="71"/>
      <c r="I1851" s="72"/>
      <c r="J1851" s="72"/>
      <c r="K1851" s="34" t="s">
        <v>65</v>
      </c>
      <c r="L1851" s="79">
        <v>1851</v>
      </c>
      <c r="M1851" s="79"/>
      <c r="N1851" s="74"/>
      <c r="O1851" s="81" t="s">
        <v>944</v>
      </c>
      <c r="P1851">
        <v>1</v>
      </c>
      <c r="Q1851" s="80" t="str">
        <f>REPLACE(INDEX(GroupVertices[Group],MATCH(Edges[[#This Row],[Vertex 1]],GroupVertices[Vertex],0)),1,1,"")</f>
        <v>1</v>
      </c>
      <c r="R1851" s="80" t="str">
        <f>REPLACE(INDEX(GroupVertices[Group],MATCH(Edges[[#This Row],[Vertex 2]],GroupVertices[Vertex],0)),1,1,"")</f>
        <v>2</v>
      </c>
      <c r="S1851" s="34"/>
      <c r="T1851" s="34"/>
      <c r="U1851" s="34"/>
      <c r="V1851" s="34"/>
      <c r="W1851" s="34"/>
      <c r="X1851" s="34"/>
      <c r="Y1851" s="34"/>
      <c r="Z1851" s="34"/>
      <c r="AA1851" s="34"/>
    </row>
    <row r="1852" spans="1:27" ht="15">
      <c r="A1852" s="66" t="s">
        <v>255</v>
      </c>
      <c r="B1852" s="66" t="s">
        <v>512</v>
      </c>
      <c r="C1852" s="67" t="s">
        <v>4454</v>
      </c>
      <c r="D1852" s="68">
        <v>5</v>
      </c>
      <c r="E1852" s="69"/>
      <c r="F1852" s="70">
        <v>20</v>
      </c>
      <c r="G1852" s="67"/>
      <c r="H1852" s="71"/>
      <c r="I1852" s="72"/>
      <c r="J1852" s="72"/>
      <c r="K1852" s="34" t="s">
        <v>65</v>
      </c>
      <c r="L1852" s="79">
        <v>1852</v>
      </c>
      <c r="M1852" s="79"/>
      <c r="N1852" s="74"/>
      <c r="O1852" s="81" t="s">
        <v>944</v>
      </c>
      <c r="P1852">
        <v>1</v>
      </c>
      <c r="Q1852" s="80" t="str">
        <f>REPLACE(INDEX(GroupVertices[Group],MATCH(Edges[[#This Row],[Vertex 1]],GroupVertices[Vertex],0)),1,1,"")</f>
        <v>4</v>
      </c>
      <c r="R1852" s="80" t="str">
        <f>REPLACE(INDEX(GroupVertices[Group],MATCH(Edges[[#This Row],[Vertex 2]],GroupVertices[Vertex],0)),1,1,"")</f>
        <v>2</v>
      </c>
      <c r="S1852" s="34"/>
      <c r="T1852" s="34"/>
      <c r="U1852" s="34"/>
      <c r="V1852" s="34"/>
      <c r="W1852" s="34"/>
      <c r="X1852" s="34"/>
      <c r="Y1852" s="34"/>
      <c r="Z1852" s="34"/>
      <c r="AA1852" s="34"/>
    </row>
    <row r="1853" spans="1:27" ht="15">
      <c r="A1853" s="66" t="s">
        <v>259</v>
      </c>
      <c r="B1853" s="66" t="s">
        <v>512</v>
      </c>
      <c r="C1853" s="67" t="s">
        <v>4454</v>
      </c>
      <c r="D1853" s="68">
        <v>5</v>
      </c>
      <c r="E1853" s="69"/>
      <c r="F1853" s="70">
        <v>20</v>
      </c>
      <c r="G1853" s="67"/>
      <c r="H1853" s="71"/>
      <c r="I1853" s="72"/>
      <c r="J1853" s="72"/>
      <c r="K1853" s="34" t="s">
        <v>65</v>
      </c>
      <c r="L1853" s="79">
        <v>1853</v>
      </c>
      <c r="M1853" s="79"/>
      <c r="N1853" s="74"/>
      <c r="O1853" s="81" t="s">
        <v>944</v>
      </c>
      <c r="P1853">
        <v>1</v>
      </c>
      <c r="Q1853" s="80" t="str">
        <f>REPLACE(INDEX(GroupVertices[Group],MATCH(Edges[[#This Row],[Vertex 1]],GroupVertices[Vertex],0)),1,1,"")</f>
        <v>2</v>
      </c>
      <c r="R1853" s="80" t="str">
        <f>REPLACE(INDEX(GroupVertices[Group],MATCH(Edges[[#This Row],[Vertex 2]],GroupVertices[Vertex],0)),1,1,"")</f>
        <v>2</v>
      </c>
      <c r="S1853" s="34"/>
      <c r="T1853" s="34"/>
      <c r="U1853" s="34"/>
      <c r="V1853" s="34"/>
      <c r="W1853" s="34"/>
      <c r="X1853" s="34"/>
      <c r="Y1853" s="34"/>
      <c r="Z1853" s="34"/>
      <c r="AA1853" s="34"/>
    </row>
    <row r="1854" spans="1:27" ht="15">
      <c r="A1854" s="66" t="s">
        <v>231</v>
      </c>
      <c r="B1854" s="66" t="s">
        <v>812</v>
      </c>
      <c r="C1854" s="67" t="s">
        <v>4454</v>
      </c>
      <c r="D1854" s="68">
        <v>5</v>
      </c>
      <c r="E1854" s="69"/>
      <c r="F1854" s="70">
        <v>20</v>
      </c>
      <c r="G1854" s="67"/>
      <c r="H1854" s="71"/>
      <c r="I1854" s="72"/>
      <c r="J1854" s="72"/>
      <c r="K1854" s="34" t="s">
        <v>65</v>
      </c>
      <c r="L1854" s="79">
        <v>1854</v>
      </c>
      <c r="M1854" s="79"/>
      <c r="N1854" s="74"/>
      <c r="O1854" s="81" t="s">
        <v>944</v>
      </c>
      <c r="P1854">
        <v>1</v>
      </c>
      <c r="Q1854" s="80" t="str">
        <f>REPLACE(INDEX(GroupVertices[Group],MATCH(Edges[[#This Row],[Vertex 1]],GroupVertices[Vertex],0)),1,1,"")</f>
        <v>1</v>
      </c>
      <c r="R1854" s="80" t="str">
        <f>REPLACE(INDEX(GroupVertices[Group],MATCH(Edges[[#This Row],[Vertex 2]],GroupVertices[Vertex],0)),1,1,"")</f>
        <v>3</v>
      </c>
      <c r="S1854" s="34"/>
      <c r="T1854" s="34"/>
      <c r="U1854" s="34"/>
      <c r="V1854" s="34"/>
      <c r="W1854" s="34"/>
      <c r="X1854" s="34"/>
      <c r="Y1854" s="34"/>
      <c r="Z1854" s="34"/>
      <c r="AA1854" s="34"/>
    </row>
    <row r="1855" spans="1:27" ht="15">
      <c r="A1855" s="66" t="s">
        <v>236</v>
      </c>
      <c r="B1855" s="66" t="s">
        <v>812</v>
      </c>
      <c r="C1855" s="67" t="s">
        <v>4454</v>
      </c>
      <c r="D1855" s="68">
        <v>5</v>
      </c>
      <c r="E1855" s="69"/>
      <c r="F1855" s="70">
        <v>20</v>
      </c>
      <c r="G1855" s="67"/>
      <c r="H1855" s="71"/>
      <c r="I1855" s="72"/>
      <c r="J1855" s="72"/>
      <c r="K1855" s="34" t="s">
        <v>65</v>
      </c>
      <c r="L1855" s="79">
        <v>1855</v>
      </c>
      <c r="M1855" s="79"/>
      <c r="N1855" s="74"/>
      <c r="O1855" s="81" t="s">
        <v>944</v>
      </c>
      <c r="P1855">
        <v>1</v>
      </c>
      <c r="Q1855" s="80" t="str">
        <f>REPLACE(INDEX(GroupVertices[Group],MATCH(Edges[[#This Row],[Vertex 1]],GroupVertices[Vertex],0)),1,1,"")</f>
        <v>1</v>
      </c>
      <c r="R1855" s="80" t="str">
        <f>REPLACE(INDEX(GroupVertices[Group],MATCH(Edges[[#This Row],[Vertex 2]],GroupVertices[Vertex],0)),1,1,"")</f>
        <v>3</v>
      </c>
      <c r="S1855" s="34"/>
      <c r="T1855" s="34"/>
      <c r="U1855" s="34"/>
      <c r="V1855" s="34"/>
      <c r="W1855" s="34"/>
      <c r="X1855" s="34"/>
      <c r="Y1855" s="34"/>
      <c r="Z1855" s="34"/>
      <c r="AA1855" s="34"/>
    </row>
    <row r="1856" spans="1:27" ht="15">
      <c r="A1856" s="66" t="s">
        <v>249</v>
      </c>
      <c r="B1856" s="66" t="s">
        <v>812</v>
      </c>
      <c r="C1856" s="67" t="s">
        <v>4454</v>
      </c>
      <c r="D1856" s="68">
        <v>5</v>
      </c>
      <c r="E1856" s="69"/>
      <c r="F1856" s="70">
        <v>20</v>
      </c>
      <c r="G1856" s="67"/>
      <c r="H1856" s="71"/>
      <c r="I1856" s="72"/>
      <c r="J1856" s="72"/>
      <c r="K1856" s="34" t="s">
        <v>65</v>
      </c>
      <c r="L1856" s="79">
        <v>1856</v>
      </c>
      <c r="M1856" s="79"/>
      <c r="N1856" s="74"/>
      <c r="O1856" s="81" t="s">
        <v>944</v>
      </c>
      <c r="P1856">
        <v>1</v>
      </c>
      <c r="Q1856" s="80" t="str">
        <f>REPLACE(INDEX(GroupVertices[Group],MATCH(Edges[[#This Row],[Vertex 1]],GroupVertices[Vertex],0)),1,1,"")</f>
        <v>2</v>
      </c>
      <c r="R1856" s="80" t="str">
        <f>REPLACE(INDEX(GroupVertices[Group],MATCH(Edges[[#This Row],[Vertex 2]],GroupVertices[Vertex],0)),1,1,"")</f>
        <v>3</v>
      </c>
      <c r="S1856" s="34"/>
      <c r="T1856" s="34"/>
      <c r="U1856" s="34"/>
      <c r="V1856" s="34"/>
      <c r="W1856" s="34"/>
      <c r="X1856" s="34"/>
      <c r="Y1856" s="34"/>
      <c r="Z1856" s="34"/>
      <c r="AA1856" s="34"/>
    </row>
    <row r="1857" spans="1:27" ht="15">
      <c r="A1857" s="66" t="s">
        <v>253</v>
      </c>
      <c r="B1857" s="66" t="s">
        <v>812</v>
      </c>
      <c r="C1857" s="67" t="s">
        <v>4454</v>
      </c>
      <c r="D1857" s="68">
        <v>5</v>
      </c>
      <c r="E1857" s="69"/>
      <c r="F1857" s="70">
        <v>20</v>
      </c>
      <c r="G1857" s="67"/>
      <c r="H1857" s="71"/>
      <c r="I1857" s="72"/>
      <c r="J1857" s="72"/>
      <c r="K1857" s="34" t="s">
        <v>65</v>
      </c>
      <c r="L1857" s="79">
        <v>1857</v>
      </c>
      <c r="M1857" s="79"/>
      <c r="N1857" s="74"/>
      <c r="O1857" s="81" t="s">
        <v>944</v>
      </c>
      <c r="P1857">
        <v>1</v>
      </c>
      <c r="Q1857" s="80" t="str">
        <f>REPLACE(INDEX(GroupVertices[Group],MATCH(Edges[[#This Row],[Vertex 1]],GroupVertices[Vertex],0)),1,1,"")</f>
        <v>1</v>
      </c>
      <c r="R1857" s="80" t="str">
        <f>REPLACE(INDEX(GroupVertices[Group],MATCH(Edges[[#This Row],[Vertex 2]],GroupVertices[Vertex],0)),1,1,"")</f>
        <v>3</v>
      </c>
      <c r="S1857" s="34"/>
      <c r="T1857" s="34"/>
      <c r="U1857" s="34"/>
      <c r="V1857" s="34"/>
      <c r="W1857" s="34"/>
      <c r="X1857" s="34"/>
      <c r="Y1857" s="34"/>
      <c r="Z1857" s="34"/>
      <c r="AA1857" s="34"/>
    </row>
    <row r="1858" spans="1:27" ht="15">
      <c r="A1858" s="66" t="s">
        <v>254</v>
      </c>
      <c r="B1858" s="66" t="s">
        <v>812</v>
      </c>
      <c r="C1858" s="67" t="s">
        <v>4454</v>
      </c>
      <c r="D1858" s="68">
        <v>5</v>
      </c>
      <c r="E1858" s="69"/>
      <c r="F1858" s="70">
        <v>20</v>
      </c>
      <c r="G1858" s="67"/>
      <c r="H1858" s="71"/>
      <c r="I1858" s="72"/>
      <c r="J1858" s="72"/>
      <c r="K1858" s="34" t="s">
        <v>65</v>
      </c>
      <c r="L1858" s="79">
        <v>1858</v>
      </c>
      <c r="M1858" s="79"/>
      <c r="N1858" s="74"/>
      <c r="O1858" s="81" t="s">
        <v>944</v>
      </c>
      <c r="P1858">
        <v>1</v>
      </c>
      <c r="Q1858" s="80" t="str">
        <f>REPLACE(INDEX(GroupVertices[Group],MATCH(Edges[[#This Row],[Vertex 1]],GroupVertices[Vertex],0)),1,1,"")</f>
        <v>3</v>
      </c>
      <c r="R1858" s="80" t="str">
        <f>REPLACE(INDEX(GroupVertices[Group],MATCH(Edges[[#This Row],[Vertex 2]],GroupVertices[Vertex],0)),1,1,"")</f>
        <v>3</v>
      </c>
      <c r="S1858" s="34"/>
      <c r="T1858" s="34"/>
      <c r="U1858" s="34"/>
      <c r="V1858" s="34"/>
      <c r="W1858" s="34"/>
      <c r="X1858" s="34"/>
      <c r="Y1858" s="34"/>
      <c r="Z1858" s="34"/>
      <c r="AA1858" s="34"/>
    </row>
    <row r="1859" spans="1:27" ht="15">
      <c r="A1859" s="66" t="s">
        <v>259</v>
      </c>
      <c r="B1859" s="66" t="s">
        <v>812</v>
      </c>
      <c r="C1859" s="67" t="s">
        <v>4454</v>
      </c>
      <c r="D1859" s="68">
        <v>5</v>
      </c>
      <c r="E1859" s="69"/>
      <c r="F1859" s="70">
        <v>20</v>
      </c>
      <c r="G1859" s="67"/>
      <c r="H1859" s="71"/>
      <c r="I1859" s="72"/>
      <c r="J1859" s="72"/>
      <c r="K1859" s="34" t="s">
        <v>65</v>
      </c>
      <c r="L1859" s="79">
        <v>1859</v>
      </c>
      <c r="M1859" s="79"/>
      <c r="N1859" s="74"/>
      <c r="O1859" s="81" t="s">
        <v>944</v>
      </c>
      <c r="P1859">
        <v>1</v>
      </c>
      <c r="Q1859" s="80" t="str">
        <f>REPLACE(INDEX(GroupVertices[Group],MATCH(Edges[[#This Row],[Vertex 1]],GroupVertices[Vertex],0)),1,1,"")</f>
        <v>2</v>
      </c>
      <c r="R1859" s="80" t="str">
        <f>REPLACE(INDEX(GroupVertices[Group],MATCH(Edges[[#This Row],[Vertex 2]],GroupVertices[Vertex],0)),1,1,"")</f>
        <v>3</v>
      </c>
      <c r="S1859" s="34"/>
      <c r="T1859" s="34"/>
      <c r="U1859" s="34"/>
      <c r="V1859" s="34"/>
      <c r="W1859" s="34"/>
      <c r="X1859" s="34"/>
      <c r="Y1859" s="34"/>
      <c r="Z1859" s="34"/>
      <c r="AA1859" s="34"/>
    </row>
    <row r="1860" spans="1:27" ht="15">
      <c r="A1860" s="66" t="s">
        <v>259</v>
      </c>
      <c r="B1860" s="66" t="s">
        <v>901</v>
      </c>
      <c r="C1860" s="67" t="s">
        <v>4454</v>
      </c>
      <c r="D1860" s="68">
        <v>5</v>
      </c>
      <c r="E1860" s="69"/>
      <c r="F1860" s="70">
        <v>20</v>
      </c>
      <c r="G1860" s="67"/>
      <c r="H1860" s="71"/>
      <c r="I1860" s="72"/>
      <c r="J1860" s="72"/>
      <c r="K1860" s="34"/>
      <c r="L1860" s="79">
        <v>1860</v>
      </c>
      <c r="M1860" s="79"/>
      <c r="N1860" s="74"/>
      <c r="O1860" s="81" t="s">
        <v>944</v>
      </c>
      <c r="P1860">
        <v>1</v>
      </c>
      <c r="Q1860" s="80" t="str">
        <f>REPLACE(INDEX(GroupVertices[Group],MATCH(Edges[[#This Row],[Vertex 1]],GroupVertices[Vertex],0)),1,1,"")</f>
        <v>2</v>
      </c>
      <c r="R1860" s="80" t="e">
        <f>REPLACE(INDEX(GroupVertices[Group],MATCH(Edges[[#This Row],[Vertex 2]],GroupVertices[Vertex],0)),1,1,"")</f>
        <v>#N/A</v>
      </c>
      <c r="S1860" s="34"/>
      <c r="T1860" s="34"/>
      <c r="U1860" s="34"/>
      <c r="V1860" s="34"/>
      <c r="W1860" s="34"/>
      <c r="X1860" s="34"/>
      <c r="Y1860" s="34"/>
      <c r="Z1860" s="34"/>
      <c r="AA1860" s="34"/>
    </row>
    <row r="1861" spans="1:27" ht="15">
      <c r="A1861" s="66" t="s">
        <v>254</v>
      </c>
      <c r="B1861" s="66" t="s">
        <v>902</v>
      </c>
      <c r="C1861" s="67" t="s">
        <v>4454</v>
      </c>
      <c r="D1861" s="68">
        <v>5</v>
      </c>
      <c r="E1861" s="69"/>
      <c r="F1861" s="70">
        <v>20</v>
      </c>
      <c r="G1861" s="67"/>
      <c r="H1861" s="71"/>
      <c r="I1861" s="72"/>
      <c r="J1861" s="72"/>
      <c r="K1861" s="34" t="s">
        <v>65</v>
      </c>
      <c r="L1861" s="79">
        <v>1861</v>
      </c>
      <c r="M1861" s="79"/>
      <c r="N1861" s="74"/>
      <c r="O1861" s="81" t="s">
        <v>944</v>
      </c>
      <c r="P1861">
        <v>1</v>
      </c>
      <c r="Q1861" s="80" t="str">
        <f>REPLACE(INDEX(GroupVertices[Group],MATCH(Edges[[#This Row],[Vertex 1]],GroupVertices[Vertex],0)),1,1,"")</f>
        <v>3</v>
      </c>
      <c r="R1861" s="80" t="str">
        <f>REPLACE(INDEX(GroupVertices[Group],MATCH(Edges[[#This Row],[Vertex 2]],GroupVertices[Vertex],0)),1,1,"")</f>
        <v>3</v>
      </c>
      <c r="S1861" s="34"/>
      <c r="T1861" s="34"/>
      <c r="U1861" s="34"/>
      <c r="V1861" s="34"/>
      <c r="W1861" s="34"/>
      <c r="X1861" s="34"/>
      <c r="Y1861" s="34"/>
      <c r="Z1861" s="34"/>
      <c r="AA1861" s="34"/>
    </row>
    <row r="1862" spans="1:27" ht="15">
      <c r="A1862" s="66" t="s">
        <v>259</v>
      </c>
      <c r="B1862" s="66" t="s">
        <v>902</v>
      </c>
      <c r="C1862" s="67" t="s">
        <v>4454</v>
      </c>
      <c r="D1862" s="68">
        <v>5</v>
      </c>
      <c r="E1862" s="69"/>
      <c r="F1862" s="70">
        <v>20</v>
      </c>
      <c r="G1862" s="67"/>
      <c r="H1862" s="71"/>
      <c r="I1862" s="72"/>
      <c r="J1862" s="72"/>
      <c r="K1862" s="34" t="s">
        <v>65</v>
      </c>
      <c r="L1862" s="79">
        <v>1862</v>
      </c>
      <c r="M1862" s="79"/>
      <c r="N1862" s="74"/>
      <c r="O1862" s="81" t="s">
        <v>944</v>
      </c>
      <c r="P1862">
        <v>1</v>
      </c>
      <c r="Q1862" s="80" t="str">
        <f>REPLACE(INDEX(GroupVertices[Group],MATCH(Edges[[#This Row],[Vertex 1]],GroupVertices[Vertex],0)),1,1,"")</f>
        <v>2</v>
      </c>
      <c r="R1862" s="80" t="str">
        <f>REPLACE(INDEX(GroupVertices[Group],MATCH(Edges[[#This Row],[Vertex 2]],GroupVertices[Vertex],0)),1,1,"")</f>
        <v>3</v>
      </c>
      <c r="S1862" s="34"/>
      <c r="T1862" s="34"/>
      <c r="U1862" s="34"/>
      <c r="V1862" s="34"/>
      <c r="W1862" s="34"/>
      <c r="X1862" s="34"/>
      <c r="Y1862" s="34"/>
      <c r="Z1862" s="34"/>
      <c r="AA1862" s="34"/>
    </row>
    <row r="1863" spans="1:27" ht="15">
      <c r="A1863" s="66" t="s">
        <v>259</v>
      </c>
      <c r="B1863" s="66" t="s">
        <v>903</v>
      </c>
      <c r="C1863" s="67" t="s">
        <v>4454</v>
      </c>
      <c r="D1863" s="68">
        <v>5</v>
      </c>
      <c r="E1863" s="69"/>
      <c r="F1863" s="70">
        <v>20</v>
      </c>
      <c r="G1863" s="67"/>
      <c r="H1863" s="71"/>
      <c r="I1863" s="72"/>
      <c r="J1863" s="72"/>
      <c r="K1863" s="34"/>
      <c r="L1863" s="79">
        <v>1863</v>
      </c>
      <c r="M1863" s="79"/>
      <c r="N1863" s="74"/>
      <c r="O1863" s="81" t="s">
        <v>944</v>
      </c>
      <c r="P1863">
        <v>1</v>
      </c>
      <c r="Q1863" s="80" t="str">
        <f>REPLACE(INDEX(GroupVertices[Group],MATCH(Edges[[#This Row],[Vertex 1]],GroupVertices[Vertex],0)),1,1,"")</f>
        <v>2</v>
      </c>
      <c r="R1863" s="80" t="e">
        <f>REPLACE(INDEX(GroupVertices[Group],MATCH(Edges[[#This Row],[Vertex 2]],GroupVertices[Vertex],0)),1,1,"")</f>
        <v>#N/A</v>
      </c>
      <c r="S1863" s="34"/>
      <c r="T1863" s="34"/>
      <c r="U1863" s="34"/>
      <c r="V1863" s="34"/>
      <c r="W1863" s="34"/>
      <c r="X1863" s="34"/>
      <c r="Y1863" s="34"/>
      <c r="Z1863" s="34"/>
      <c r="AA1863" s="34"/>
    </row>
    <row r="1864" spans="1:27" ht="15">
      <c r="A1864" s="66" t="s">
        <v>259</v>
      </c>
      <c r="B1864" s="66" t="s">
        <v>904</v>
      </c>
      <c r="C1864" s="67" t="s">
        <v>4454</v>
      </c>
      <c r="D1864" s="68">
        <v>5</v>
      </c>
      <c r="E1864" s="69"/>
      <c r="F1864" s="70">
        <v>20</v>
      </c>
      <c r="G1864" s="67"/>
      <c r="H1864" s="71"/>
      <c r="I1864" s="72"/>
      <c r="J1864" s="72"/>
      <c r="K1864" s="34"/>
      <c r="L1864" s="79">
        <v>1864</v>
      </c>
      <c r="M1864" s="79"/>
      <c r="N1864" s="74"/>
      <c r="O1864" s="81" t="s">
        <v>944</v>
      </c>
      <c r="P1864">
        <v>1</v>
      </c>
      <c r="Q1864" s="80" t="str">
        <f>REPLACE(INDEX(GroupVertices[Group],MATCH(Edges[[#This Row],[Vertex 1]],GroupVertices[Vertex],0)),1,1,"")</f>
        <v>2</v>
      </c>
      <c r="R1864" s="80" t="e">
        <f>REPLACE(INDEX(GroupVertices[Group],MATCH(Edges[[#This Row],[Vertex 2]],GroupVertices[Vertex],0)),1,1,"")</f>
        <v>#N/A</v>
      </c>
      <c r="S1864" s="34"/>
      <c r="T1864" s="34"/>
      <c r="U1864" s="34"/>
      <c r="V1864" s="34"/>
      <c r="W1864" s="34"/>
      <c r="X1864" s="34"/>
      <c r="Y1864" s="34"/>
      <c r="Z1864" s="34"/>
      <c r="AA1864" s="34"/>
    </row>
    <row r="1865" spans="1:27" ht="15">
      <c r="A1865" s="66" t="s">
        <v>259</v>
      </c>
      <c r="B1865" s="66" t="s">
        <v>905</v>
      </c>
      <c r="C1865" s="67" t="s">
        <v>4454</v>
      </c>
      <c r="D1865" s="68">
        <v>5</v>
      </c>
      <c r="E1865" s="69"/>
      <c r="F1865" s="70">
        <v>20</v>
      </c>
      <c r="G1865" s="67"/>
      <c r="H1865" s="71"/>
      <c r="I1865" s="72"/>
      <c r="J1865" s="72"/>
      <c r="K1865" s="34"/>
      <c r="L1865" s="79">
        <v>1865</v>
      </c>
      <c r="M1865" s="79"/>
      <c r="N1865" s="74"/>
      <c r="O1865" s="81" t="s">
        <v>944</v>
      </c>
      <c r="P1865">
        <v>1</v>
      </c>
      <c r="Q1865" s="80" t="str">
        <f>REPLACE(INDEX(GroupVertices[Group],MATCH(Edges[[#This Row],[Vertex 1]],GroupVertices[Vertex],0)),1,1,"")</f>
        <v>2</v>
      </c>
      <c r="R1865" s="80" t="e">
        <f>REPLACE(INDEX(GroupVertices[Group],MATCH(Edges[[#This Row],[Vertex 2]],GroupVertices[Vertex],0)),1,1,"")</f>
        <v>#N/A</v>
      </c>
      <c r="S1865" s="34"/>
      <c r="T1865" s="34"/>
      <c r="U1865" s="34"/>
      <c r="V1865" s="34"/>
      <c r="W1865" s="34"/>
      <c r="X1865" s="34"/>
      <c r="Y1865" s="34"/>
      <c r="Z1865" s="34"/>
      <c r="AA1865" s="34"/>
    </row>
    <row r="1866" spans="1:27" ht="15">
      <c r="A1866" s="66" t="s">
        <v>259</v>
      </c>
      <c r="B1866" s="66" t="s">
        <v>906</v>
      </c>
      <c r="C1866" s="67" t="s">
        <v>4454</v>
      </c>
      <c r="D1866" s="68">
        <v>5</v>
      </c>
      <c r="E1866" s="69"/>
      <c r="F1866" s="70">
        <v>20</v>
      </c>
      <c r="G1866" s="67"/>
      <c r="H1866" s="71"/>
      <c r="I1866" s="72"/>
      <c r="J1866" s="72"/>
      <c r="K1866" s="34"/>
      <c r="L1866" s="79">
        <v>1866</v>
      </c>
      <c r="M1866" s="79"/>
      <c r="N1866" s="74"/>
      <c r="O1866" s="81" t="s">
        <v>944</v>
      </c>
      <c r="P1866">
        <v>1</v>
      </c>
      <c r="Q1866" s="80" t="str">
        <f>REPLACE(INDEX(GroupVertices[Group],MATCH(Edges[[#This Row],[Vertex 1]],GroupVertices[Vertex],0)),1,1,"")</f>
        <v>2</v>
      </c>
      <c r="R1866" s="80" t="e">
        <f>REPLACE(INDEX(GroupVertices[Group],MATCH(Edges[[#This Row],[Vertex 2]],GroupVertices[Vertex],0)),1,1,"")</f>
        <v>#N/A</v>
      </c>
      <c r="S1866" s="34"/>
      <c r="T1866" s="34"/>
      <c r="U1866" s="34"/>
      <c r="V1866" s="34"/>
      <c r="W1866" s="34"/>
      <c r="X1866" s="34"/>
      <c r="Y1866" s="34"/>
      <c r="Z1866" s="34"/>
      <c r="AA1866" s="34"/>
    </row>
    <row r="1867" spans="1:27" ht="15">
      <c r="A1867" s="66" t="s">
        <v>259</v>
      </c>
      <c r="B1867" s="66" t="s">
        <v>907</v>
      </c>
      <c r="C1867" s="67" t="s">
        <v>4454</v>
      </c>
      <c r="D1867" s="68">
        <v>5</v>
      </c>
      <c r="E1867" s="69"/>
      <c r="F1867" s="70">
        <v>20</v>
      </c>
      <c r="G1867" s="67"/>
      <c r="H1867" s="71"/>
      <c r="I1867" s="72"/>
      <c r="J1867" s="72"/>
      <c r="K1867" s="34"/>
      <c r="L1867" s="79">
        <v>1867</v>
      </c>
      <c r="M1867" s="79"/>
      <c r="N1867" s="74"/>
      <c r="O1867" s="81" t="s">
        <v>944</v>
      </c>
      <c r="P1867">
        <v>1</v>
      </c>
      <c r="Q1867" s="80" t="str">
        <f>REPLACE(INDEX(GroupVertices[Group],MATCH(Edges[[#This Row],[Vertex 1]],GroupVertices[Vertex],0)),1,1,"")</f>
        <v>2</v>
      </c>
      <c r="R1867" s="80" t="e">
        <f>REPLACE(INDEX(GroupVertices[Group],MATCH(Edges[[#This Row],[Vertex 2]],GroupVertices[Vertex],0)),1,1,"")</f>
        <v>#N/A</v>
      </c>
      <c r="S1867" s="34"/>
      <c r="T1867" s="34"/>
      <c r="U1867" s="34"/>
      <c r="V1867" s="34"/>
      <c r="W1867" s="34"/>
      <c r="X1867" s="34"/>
      <c r="Y1867" s="34"/>
      <c r="Z1867" s="34"/>
      <c r="AA1867" s="34"/>
    </row>
    <row r="1868" spans="1:27" ht="15">
      <c r="A1868" s="66" t="s">
        <v>231</v>
      </c>
      <c r="B1868" s="66" t="s">
        <v>671</v>
      </c>
      <c r="C1868" s="67" t="s">
        <v>4454</v>
      </c>
      <c r="D1868" s="68">
        <v>5</v>
      </c>
      <c r="E1868" s="69"/>
      <c r="F1868" s="70">
        <v>20</v>
      </c>
      <c r="G1868" s="67"/>
      <c r="H1868" s="71"/>
      <c r="I1868" s="72"/>
      <c r="J1868" s="72"/>
      <c r="K1868" s="34" t="s">
        <v>65</v>
      </c>
      <c r="L1868" s="79">
        <v>1868</v>
      </c>
      <c r="M1868" s="79"/>
      <c r="N1868" s="74"/>
      <c r="O1868" s="81" t="s">
        <v>944</v>
      </c>
      <c r="P1868">
        <v>1</v>
      </c>
      <c r="Q1868" s="80" t="str">
        <f>REPLACE(INDEX(GroupVertices[Group],MATCH(Edges[[#This Row],[Vertex 1]],GroupVertices[Vertex],0)),1,1,"")</f>
        <v>1</v>
      </c>
      <c r="R1868" s="80" t="str">
        <f>REPLACE(INDEX(GroupVertices[Group],MATCH(Edges[[#This Row],[Vertex 2]],GroupVertices[Vertex],0)),1,1,"")</f>
        <v>1</v>
      </c>
      <c r="S1868" s="34"/>
      <c r="T1868" s="34"/>
      <c r="U1868" s="34"/>
      <c r="V1868" s="34"/>
      <c r="W1868" s="34"/>
      <c r="X1868" s="34"/>
      <c r="Y1868" s="34"/>
      <c r="Z1868" s="34"/>
      <c r="AA1868" s="34"/>
    </row>
    <row r="1869" spans="1:27" ht="15">
      <c r="A1869" s="66" t="s">
        <v>236</v>
      </c>
      <c r="B1869" s="66" t="s">
        <v>671</v>
      </c>
      <c r="C1869" s="67" t="s">
        <v>4454</v>
      </c>
      <c r="D1869" s="68">
        <v>5</v>
      </c>
      <c r="E1869" s="69"/>
      <c r="F1869" s="70">
        <v>20</v>
      </c>
      <c r="G1869" s="67"/>
      <c r="H1869" s="71"/>
      <c r="I1869" s="72"/>
      <c r="J1869" s="72"/>
      <c r="K1869" s="34" t="s">
        <v>65</v>
      </c>
      <c r="L1869" s="79">
        <v>1869</v>
      </c>
      <c r="M1869" s="79"/>
      <c r="N1869" s="74"/>
      <c r="O1869" s="81" t="s">
        <v>944</v>
      </c>
      <c r="P1869">
        <v>1</v>
      </c>
      <c r="Q1869" s="80" t="str">
        <f>REPLACE(INDEX(GroupVertices[Group],MATCH(Edges[[#This Row],[Vertex 1]],GroupVertices[Vertex],0)),1,1,"")</f>
        <v>1</v>
      </c>
      <c r="R1869" s="80" t="str">
        <f>REPLACE(INDEX(GroupVertices[Group],MATCH(Edges[[#This Row],[Vertex 2]],GroupVertices[Vertex],0)),1,1,"")</f>
        <v>1</v>
      </c>
      <c r="S1869" s="34"/>
      <c r="T1869" s="34"/>
      <c r="U1869" s="34"/>
      <c r="V1869" s="34"/>
      <c r="W1869" s="34"/>
      <c r="X1869" s="34"/>
      <c r="Y1869" s="34"/>
      <c r="Z1869" s="34"/>
      <c r="AA1869" s="34"/>
    </row>
    <row r="1870" spans="1:27" ht="15">
      <c r="A1870" s="66" t="s">
        <v>259</v>
      </c>
      <c r="B1870" s="66" t="s">
        <v>671</v>
      </c>
      <c r="C1870" s="67" t="s">
        <v>4454</v>
      </c>
      <c r="D1870" s="68">
        <v>5</v>
      </c>
      <c r="E1870" s="69"/>
      <c r="F1870" s="70">
        <v>20</v>
      </c>
      <c r="G1870" s="67"/>
      <c r="H1870" s="71"/>
      <c r="I1870" s="72"/>
      <c r="J1870" s="72"/>
      <c r="K1870" s="34" t="s">
        <v>65</v>
      </c>
      <c r="L1870" s="79">
        <v>1870</v>
      </c>
      <c r="M1870" s="79"/>
      <c r="N1870" s="74"/>
      <c r="O1870" s="81" t="s">
        <v>944</v>
      </c>
      <c r="P1870">
        <v>1</v>
      </c>
      <c r="Q1870" s="80" t="str">
        <f>REPLACE(INDEX(GroupVertices[Group],MATCH(Edges[[#This Row],[Vertex 1]],GroupVertices[Vertex],0)),1,1,"")</f>
        <v>2</v>
      </c>
      <c r="R1870" s="80" t="str">
        <f>REPLACE(INDEX(GroupVertices[Group],MATCH(Edges[[#This Row],[Vertex 2]],GroupVertices[Vertex],0)),1,1,"")</f>
        <v>1</v>
      </c>
      <c r="S1870" s="34"/>
      <c r="T1870" s="34"/>
      <c r="U1870" s="34"/>
      <c r="V1870" s="34"/>
      <c r="W1870" s="34"/>
      <c r="X1870" s="34"/>
      <c r="Y1870" s="34"/>
      <c r="Z1870" s="34"/>
      <c r="AA1870" s="34"/>
    </row>
    <row r="1871" spans="1:27" ht="15">
      <c r="A1871" s="66" t="s">
        <v>220</v>
      </c>
      <c r="B1871" s="66" t="s">
        <v>885</v>
      </c>
      <c r="C1871" s="67" t="s">
        <v>4454</v>
      </c>
      <c r="D1871" s="68">
        <v>5</v>
      </c>
      <c r="E1871" s="69"/>
      <c r="F1871" s="70">
        <v>20</v>
      </c>
      <c r="G1871" s="67"/>
      <c r="H1871" s="71"/>
      <c r="I1871" s="72"/>
      <c r="J1871" s="72"/>
      <c r="K1871" s="34" t="s">
        <v>65</v>
      </c>
      <c r="L1871" s="79">
        <v>1871</v>
      </c>
      <c r="M1871" s="79"/>
      <c r="N1871" s="74"/>
      <c r="O1871" s="81" t="s">
        <v>944</v>
      </c>
      <c r="P1871">
        <v>1</v>
      </c>
      <c r="Q1871" s="80" t="str">
        <f>REPLACE(INDEX(GroupVertices[Group],MATCH(Edges[[#This Row],[Vertex 1]],GroupVertices[Vertex],0)),1,1,"")</f>
        <v>2</v>
      </c>
      <c r="R1871" s="80" t="str">
        <f>REPLACE(INDEX(GroupVertices[Group],MATCH(Edges[[#This Row],[Vertex 2]],GroupVertices[Vertex],0)),1,1,"")</f>
        <v>2</v>
      </c>
      <c r="S1871" s="34"/>
      <c r="T1871" s="34"/>
      <c r="U1871" s="34"/>
      <c r="V1871" s="34"/>
      <c r="W1871" s="34"/>
      <c r="X1871" s="34"/>
      <c r="Y1871" s="34"/>
      <c r="Z1871" s="34"/>
      <c r="AA1871" s="34"/>
    </row>
    <row r="1872" spans="1:27" ht="15">
      <c r="A1872" s="66" t="s">
        <v>246</v>
      </c>
      <c r="B1872" s="66" t="s">
        <v>885</v>
      </c>
      <c r="C1872" s="67" t="s">
        <v>4454</v>
      </c>
      <c r="D1872" s="68">
        <v>5</v>
      </c>
      <c r="E1872" s="69"/>
      <c r="F1872" s="70">
        <v>20</v>
      </c>
      <c r="G1872" s="67"/>
      <c r="H1872" s="71"/>
      <c r="I1872" s="72"/>
      <c r="J1872" s="72"/>
      <c r="K1872" s="34" t="s">
        <v>65</v>
      </c>
      <c r="L1872" s="79">
        <v>1872</v>
      </c>
      <c r="M1872" s="79"/>
      <c r="N1872" s="74"/>
      <c r="O1872" s="81" t="s">
        <v>944</v>
      </c>
      <c r="P1872">
        <v>1</v>
      </c>
      <c r="Q1872" s="80" t="str">
        <f>REPLACE(INDEX(GroupVertices[Group],MATCH(Edges[[#This Row],[Vertex 1]],GroupVertices[Vertex],0)),1,1,"")</f>
        <v>2</v>
      </c>
      <c r="R1872" s="80" t="str">
        <f>REPLACE(INDEX(GroupVertices[Group],MATCH(Edges[[#This Row],[Vertex 2]],GroupVertices[Vertex],0)),1,1,"")</f>
        <v>2</v>
      </c>
      <c r="S1872" s="34"/>
      <c r="T1872" s="34"/>
      <c r="U1872" s="34"/>
      <c r="V1872" s="34"/>
      <c r="W1872" s="34"/>
      <c r="X1872" s="34"/>
      <c r="Y1872" s="34"/>
      <c r="Z1872" s="34"/>
      <c r="AA1872" s="34"/>
    </row>
    <row r="1873" spans="1:27" ht="15">
      <c r="A1873" s="66" t="s">
        <v>249</v>
      </c>
      <c r="B1873" s="66" t="s">
        <v>885</v>
      </c>
      <c r="C1873" s="67" t="s">
        <v>4454</v>
      </c>
      <c r="D1873" s="68">
        <v>5</v>
      </c>
      <c r="E1873" s="69"/>
      <c r="F1873" s="70">
        <v>20</v>
      </c>
      <c r="G1873" s="67"/>
      <c r="H1873" s="71"/>
      <c r="I1873" s="72"/>
      <c r="J1873" s="72"/>
      <c r="K1873" s="34" t="s">
        <v>65</v>
      </c>
      <c r="L1873" s="79">
        <v>1873</v>
      </c>
      <c r="M1873" s="79"/>
      <c r="N1873" s="74"/>
      <c r="O1873" s="81" t="s">
        <v>944</v>
      </c>
      <c r="P1873">
        <v>1</v>
      </c>
      <c r="Q1873" s="80" t="str">
        <f>REPLACE(INDEX(GroupVertices[Group],MATCH(Edges[[#This Row],[Vertex 1]],GroupVertices[Vertex],0)),1,1,"")</f>
        <v>2</v>
      </c>
      <c r="R1873" s="80" t="str">
        <f>REPLACE(INDEX(GroupVertices[Group],MATCH(Edges[[#This Row],[Vertex 2]],GroupVertices[Vertex],0)),1,1,"")</f>
        <v>2</v>
      </c>
      <c r="S1873" s="34"/>
      <c r="T1873" s="34"/>
      <c r="U1873" s="34"/>
      <c r="V1873" s="34"/>
      <c r="W1873" s="34"/>
      <c r="X1873" s="34"/>
      <c r="Y1873" s="34"/>
      <c r="Z1873" s="34"/>
      <c r="AA1873" s="34"/>
    </row>
    <row r="1874" spans="1:27" ht="15">
      <c r="A1874" s="66" t="s">
        <v>259</v>
      </c>
      <c r="B1874" s="66" t="s">
        <v>885</v>
      </c>
      <c r="C1874" s="67" t="s">
        <v>4454</v>
      </c>
      <c r="D1874" s="68">
        <v>5</v>
      </c>
      <c r="E1874" s="69"/>
      <c r="F1874" s="70">
        <v>20</v>
      </c>
      <c r="G1874" s="67"/>
      <c r="H1874" s="71"/>
      <c r="I1874" s="72"/>
      <c r="J1874" s="72"/>
      <c r="K1874" s="34" t="s">
        <v>65</v>
      </c>
      <c r="L1874" s="79">
        <v>1874</v>
      </c>
      <c r="M1874" s="79"/>
      <c r="N1874" s="74"/>
      <c r="O1874" s="81" t="s">
        <v>944</v>
      </c>
      <c r="P1874">
        <v>1</v>
      </c>
      <c r="Q1874" s="80" t="str">
        <f>REPLACE(INDEX(GroupVertices[Group],MATCH(Edges[[#This Row],[Vertex 1]],GroupVertices[Vertex],0)),1,1,"")</f>
        <v>2</v>
      </c>
      <c r="R1874" s="80" t="str">
        <f>REPLACE(INDEX(GroupVertices[Group],MATCH(Edges[[#This Row],[Vertex 2]],GroupVertices[Vertex],0)),1,1,"")</f>
        <v>2</v>
      </c>
      <c r="S1874" s="34"/>
      <c r="T1874" s="34"/>
      <c r="U1874" s="34"/>
      <c r="V1874" s="34"/>
      <c r="W1874" s="34"/>
      <c r="X1874" s="34"/>
      <c r="Y1874" s="34"/>
      <c r="Z1874" s="34"/>
      <c r="AA1874" s="34"/>
    </row>
    <row r="1875" spans="1:27" ht="15">
      <c r="A1875" s="66" t="s">
        <v>233</v>
      </c>
      <c r="B1875" s="66" t="s">
        <v>878</v>
      </c>
      <c r="C1875" s="67" t="s">
        <v>4454</v>
      </c>
      <c r="D1875" s="68">
        <v>5</v>
      </c>
      <c r="E1875" s="69"/>
      <c r="F1875" s="70">
        <v>20</v>
      </c>
      <c r="G1875" s="67"/>
      <c r="H1875" s="71"/>
      <c r="I1875" s="72"/>
      <c r="J1875" s="72"/>
      <c r="K1875" s="34" t="s">
        <v>65</v>
      </c>
      <c r="L1875" s="79">
        <v>1875</v>
      </c>
      <c r="M1875" s="79"/>
      <c r="N1875" s="74"/>
      <c r="O1875" s="81" t="s">
        <v>944</v>
      </c>
      <c r="P1875">
        <v>1</v>
      </c>
      <c r="Q1875" s="80" t="str">
        <f>REPLACE(INDEX(GroupVertices[Group],MATCH(Edges[[#This Row],[Vertex 1]],GroupVertices[Vertex],0)),1,1,"")</f>
        <v>2</v>
      </c>
      <c r="R1875" s="80" t="str">
        <f>REPLACE(INDEX(GroupVertices[Group],MATCH(Edges[[#This Row],[Vertex 2]],GroupVertices[Vertex],0)),1,1,"")</f>
        <v>2</v>
      </c>
      <c r="S1875" s="34"/>
      <c r="T1875" s="34"/>
      <c r="U1875" s="34"/>
      <c r="V1875" s="34"/>
      <c r="W1875" s="34"/>
      <c r="X1875" s="34"/>
      <c r="Y1875" s="34"/>
      <c r="Z1875" s="34"/>
      <c r="AA1875" s="34"/>
    </row>
    <row r="1876" spans="1:27" ht="15">
      <c r="A1876" s="66" t="s">
        <v>247</v>
      </c>
      <c r="B1876" s="66" t="s">
        <v>878</v>
      </c>
      <c r="C1876" s="67" t="s">
        <v>4454</v>
      </c>
      <c r="D1876" s="68">
        <v>5</v>
      </c>
      <c r="E1876" s="69"/>
      <c r="F1876" s="70">
        <v>20</v>
      </c>
      <c r="G1876" s="67"/>
      <c r="H1876" s="71"/>
      <c r="I1876" s="72"/>
      <c r="J1876" s="72"/>
      <c r="K1876" s="34" t="s">
        <v>65</v>
      </c>
      <c r="L1876" s="79">
        <v>1876</v>
      </c>
      <c r="M1876" s="79"/>
      <c r="N1876" s="74"/>
      <c r="O1876" s="81" t="s">
        <v>944</v>
      </c>
      <c r="P1876">
        <v>1</v>
      </c>
      <c r="Q1876" s="80" t="str">
        <f>REPLACE(INDEX(GroupVertices[Group],MATCH(Edges[[#This Row],[Vertex 1]],GroupVertices[Vertex],0)),1,1,"")</f>
        <v>2</v>
      </c>
      <c r="R1876" s="80" t="str">
        <f>REPLACE(INDEX(GroupVertices[Group],MATCH(Edges[[#This Row],[Vertex 2]],GroupVertices[Vertex],0)),1,1,"")</f>
        <v>2</v>
      </c>
      <c r="S1876" s="34"/>
      <c r="T1876" s="34"/>
      <c r="U1876" s="34"/>
      <c r="V1876" s="34"/>
      <c r="W1876" s="34"/>
      <c r="X1876" s="34"/>
      <c r="Y1876" s="34"/>
      <c r="Z1876" s="34"/>
      <c r="AA1876" s="34"/>
    </row>
    <row r="1877" spans="1:27" ht="15">
      <c r="A1877" s="66" t="s">
        <v>250</v>
      </c>
      <c r="B1877" s="66" t="s">
        <v>878</v>
      </c>
      <c r="C1877" s="67" t="s">
        <v>4454</v>
      </c>
      <c r="D1877" s="68">
        <v>5</v>
      </c>
      <c r="E1877" s="69"/>
      <c r="F1877" s="70">
        <v>20</v>
      </c>
      <c r="G1877" s="67"/>
      <c r="H1877" s="71"/>
      <c r="I1877" s="72"/>
      <c r="J1877" s="72"/>
      <c r="K1877" s="34" t="s">
        <v>65</v>
      </c>
      <c r="L1877" s="79">
        <v>1877</v>
      </c>
      <c r="M1877" s="79"/>
      <c r="N1877" s="74"/>
      <c r="O1877" s="81" t="s">
        <v>944</v>
      </c>
      <c r="P1877">
        <v>1</v>
      </c>
      <c r="Q1877" s="80" t="str">
        <f>REPLACE(INDEX(GroupVertices[Group],MATCH(Edges[[#This Row],[Vertex 1]],GroupVertices[Vertex],0)),1,1,"")</f>
        <v>2</v>
      </c>
      <c r="R1877" s="80" t="str">
        <f>REPLACE(INDEX(GroupVertices[Group],MATCH(Edges[[#This Row],[Vertex 2]],GroupVertices[Vertex],0)),1,1,"")</f>
        <v>2</v>
      </c>
      <c r="S1877" s="34"/>
      <c r="T1877" s="34"/>
      <c r="U1877" s="34"/>
      <c r="V1877" s="34"/>
      <c r="W1877" s="34"/>
      <c r="X1877" s="34"/>
      <c r="Y1877" s="34"/>
      <c r="Z1877" s="34"/>
      <c r="AA1877" s="34"/>
    </row>
    <row r="1878" spans="1:27" ht="15">
      <c r="A1878" s="66" t="s">
        <v>259</v>
      </c>
      <c r="B1878" s="66" t="s">
        <v>878</v>
      </c>
      <c r="C1878" s="67" t="s">
        <v>4454</v>
      </c>
      <c r="D1878" s="68">
        <v>5</v>
      </c>
      <c r="E1878" s="69"/>
      <c r="F1878" s="70">
        <v>20</v>
      </c>
      <c r="G1878" s="67"/>
      <c r="H1878" s="71"/>
      <c r="I1878" s="72"/>
      <c r="J1878" s="72"/>
      <c r="K1878" s="34" t="s">
        <v>65</v>
      </c>
      <c r="L1878" s="79">
        <v>1878</v>
      </c>
      <c r="M1878" s="79"/>
      <c r="N1878" s="74"/>
      <c r="O1878" s="81" t="s">
        <v>944</v>
      </c>
      <c r="P1878">
        <v>1</v>
      </c>
      <c r="Q1878" s="80" t="str">
        <f>REPLACE(INDEX(GroupVertices[Group],MATCH(Edges[[#This Row],[Vertex 1]],GroupVertices[Vertex],0)),1,1,"")</f>
        <v>2</v>
      </c>
      <c r="R1878" s="80" t="str">
        <f>REPLACE(INDEX(GroupVertices[Group],MATCH(Edges[[#This Row],[Vertex 2]],GroupVertices[Vertex],0)),1,1,"")</f>
        <v>2</v>
      </c>
      <c r="S1878" s="34"/>
      <c r="T1878" s="34"/>
      <c r="U1878" s="34"/>
      <c r="V1878" s="34"/>
      <c r="W1878" s="34"/>
      <c r="X1878" s="34"/>
      <c r="Y1878" s="34"/>
      <c r="Z1878" s="34"/>
      <c r="AA1878" s="34"/>
    </row>
    <row r="1879" spans="1:27" ht="15">
      <c r="A1879" s="66" t="s">
        <v>253</v>
      </c>
      <c r="B1879" s="66" t="s">
        <v>847</v>
      </c>
      <c r="C1879" s="67" t="s">
        <v>4454</v>
      </c>
      <c r="D1879" s="68">
        <v>5</v>
      </c>
      <c r="E1879" s="69"/>
      <c r="F1879" s="70">
        <v>20</v>
      </c>
      <c r="G1879" s="67"/>
      <c r="H1879" s="71"/>
      <c r="I1879" s="72"/>
      <c r="J1879" s="72"/>
      <c r="K1879" s="34" t="s">
        <v>65</v>
      </c>
      <c r="L1879" s="79">
        <v>1879</v>
      </c>
      <c r="M1879" s="79"/>
      <c r="N1879" s="74"/>
      <c r="O1879" s="81" t="s">
        <v>944</v>
      </c>
      <c r="P1879">
        <v>1</v>
      </c>
      <c r="Q1879" s="80" t="str">
        <f>REPLACE(INDEX(GroupVertices[Group],MATCH(Edges[[#This Row],[Vertex 1]],GroupVertices[Vertex],0)),1,1,"")</f>
        <v>1</v>
      </c>
      <c r="R1879" s="80" t="str">
        <f>REPLACE(INDEX(GroupVertices[Group],MATCH(Edges[[#This Row],[Vertex 2]],GroupVertices[Vertex],0)),1,1,"")</f>
        <v>3</v>
      </c>
      <c r="S1879" s="34"/>
      <c r="T1879" s="34"/>
      <c r="U1879" s="34"/>
      <c r="V1879" s="34"/>
      <c r="W1879" s="34"/>
      <c r="X1879" s="34"/>
      <c r="Y1879" s="34"/>
      <c r="Z1879" s="34"/>
      <c r="AA1879" s="34"/>
    </row>
    <row r="1880" spans="1:27" ht="15">
      <c r="A1880" s="66" t="s">
        <v>259</v>
      </c>
      <c r="B1880" s="66" t="s">
        <v>847</v>
      </c>
      <c r="C1880" s="67" t="s">
        <v>4454</v>
      </c>
      <c r="D1880" s="68">
        <v>5</v>
      </c>
      <c r="E1880" s="69"/>
      <c r="F1880" s="70">
        <v>20</v>
      </c>
      <c r="G1880" s="67"/>
      <c r="H1880" s="71"/>
      <c r="I1880" s="72"/>
      <c r="J1880" s="72"/>
      <c r="K1880" s="34" t="s">
        <v>65</v>
      </c>
      <c r="L1880" s="79">
        <v>1880</v>
      </c>
      <c r="M1880" s="79"/>
      <c r="N1880" s="74"/>
      <c r="O1880" s="81" t="s">
        <v>944</v>
      </c>
      <c r="P1880">
        <v>1</v>
      </c>
      <c r="Q1880" s="80" t="str">
        <f>REPLACE(INDEX(GroupVertices[Group],MATCH(Edges[[#This Row],[Vertex 1]],GroupVertices[Vertex],0)),1,1,"")</f>
        <v>2</v>
      </c>
      <c r="R1880" s="80" t="str">
        <f>REPLACE(INDEX(GroupVertices[Group],MATCH(Edges[[#This Row],[Vertex 2]],GroupVertices[Vertex],0)),1,1,"")</f>
        <v>3</v>
      </c>
      <c r="S1880" s="34"/>
      <c r="T1880" s="34"/>
      <c r="U1880" s="34"/>
      <c r="V1880" s="34"/>
      <c r="W1880" s="34"/>
      <c r="X1880" s="34"/>
      <c r="Y1880" s="34"/>
      <c r="Z1880" s="34"/>
      <c r="AA1880" s="34"/>
    </row>
    <row r="1881" spans="1:27" ht="15">
      <c r="A1881" s="66" t="s">
        <v>259</v>
      </c>
      <c r="B1881" s="66" t="s">
        <v>908</v>
      </c>
      <c r="C1881" s="67" t="s">
        <v>4454</v>
      </c>
      <c r="D1881" s="68">
        <v>5</v>
      </c>
      <c r="E1881" s="69"/>
      <c r="F1881" s="70">
        <v>20</v>
      </c>
      <c r="G1881" s="67"/>
      <c r="H1881" s="71"/>
      <c r="I1881" s="72"/>
      <c r="J1881" s="72"/>
      <c r="K1881" s="34"/>
      <c r="L1881" s="79">
        <v>1881</v>
      </c>
      <c r="M1881" s="79"/>
      <c r="N1881" s="74"/>
      <c r="O1881" s="81" t="s">
        <v>944</v>
      </c>
      <c r="P1881">
        <v>1</v>
      </c>
      <c r="Q1881" s="80" t="str">
        <f>REPLACE(INDEX(GroupVertices[Group],MATCH(Edges[[#This Row],[Vertex 1]],GroupVertices[Vertex],0)),1,1,"")</f>
        <v>2</v>
      </c>
      <c r="R1881" s="80" t="e">
        <f>REPLACE(INDEX(GroupVertices[Group],MATCH(Edges[[#This Row],[Vertex 2]],GroupVertices[Vertex],0)),1,1,"")</f>
        <v>#N/A</v>
      </c>
      <c r="S1881" s="34"/>
      <c r="T1881" s="34"/>
      <c r="U1881" s="34"/>
      <c r="V1881" s="34"/>
      <c r="W1881" s="34"/>
      <c r="X1881" s="34"/>
      <c r="Y1881" s="34"/>
      <c r="Z1881" s="34"/>
      <c r="AA1881" s="34"/>
    </row>
    <row r="1882" spans="1:27" ht="15">
      <c r="A1882" s="66" t="s">
        <v>259</v>
      </c>
      <c r="B1882" s="66" t="s">
        <v>909</v>
      </c>
      <c r="C1882" s="67" t="s">
        <v>4454</v>
      </c>
      <c r="D1882" s="68">
        <v>5</v>
      </c>
      <c r="E1882" s="69"/>
      <c r="F1882" s="70">
        <v>20</v>
      </c>
      <c r="G1882" s="67"/>
      <c r="H1882" s="71"/>
      <c r="I1882" s="72"/>
      <c r="J1882" s="72"/>
      <c r="K1882" s="34"/>
      <c r="L1882" s="79">
        <v>1882</v>
      </c>
      <c r="M1882" s="79"/>
      <c r="N1882" s="74"/>
      <c r="O1882" s="81" t="s">
        <v>944</v>
      </c>
      <c r="P1882">
        <v>1</v>
      </c>
      <c r="Q1882" s="80" t="str">
        <f>REPLACE(INDEX(GroupVertices[Group],MATCH(Edges[[#This Row],[Vertex 1]],GroupVertices[Vertex],0)),1,1,"")</f>
        <v>2</v>
      </c>
      <c r="R1882" s="80" t="e">
        <f>REPLACE(INDEX(GroupVertices[Group],MATCH(Edges[[#This Row],[Vertex 2]],GroupVertices[Vertex],0)),1,1,"")</f>
        <v>#N/A</v>
      </c>
      <c r="S1882" s="34"/>
      <c r="T1882" s="34"/>
      <c r="U1882" s="34"/>
      <c r="V1882" s="34"/>
      <c r="W1882" s="34"/>
      <c r="X1882" s="34"/>
      <c r="Y1882" s="34"/>
      <c r="Z1882" s="34"/>
      <c r="AA1882" s="34"/>
    </row>
    <row r="1883" spans="1:27" ht="15">
      <c r="A1883" s="66" t="s">
        <v>233</v>
      </c>
      <c r="B1883" s="66" t="s">
        <v>850</v>
      </c>
      <c r="C1883" s="67" t="s">
        <v>4454</v>
      </c>
      <c r="D1883" s="68">
        <v>5</v>
      </c>
      <c r="E1883" s="69"/>
      <c r="F1883" s="70">
        <v>20</v>
      </c>
      <c r="G1883" s="67"/>
      <c r="H1883" s="71"/>
      <c r="I1883" s="72"/>
      <c r="J1883" s="72"/>
      <c r="K1883" s="34" t="s">
        <v>65</v>
      </c>
      <c r="L1883" s="79">
        <v>1883</v>
      </c>
      <c r="M1883" s="79"/>
      <c r="N1883" s="74"/>
      <c r="O1883" s="81" t="s">
        <v>944</v>
      </c>
      <c r="P1883">
        <v>1</v>
      </c>
      <c r="Q1883" s="80" t="str">
        <f>REPLACE(INDEX(GroupVertices[Group],MATCH(Edges[[#This Row],[Vertex 1]],GroupVertices[Vertex],0)),1,1,"")</f>
        <v>2</v>
      </c>
      <c r="R1883" s="80" t="str">
        <f>REPLACE(INDEX(GroupVertices[Group],MATCH(Edges[[#This Row],[Vertex 2]],GroupVertices[Vertex],0)),1,1,"")</f>
        <v>3</v>
      </c>
      <c r="S1883" s="34"/>
      <c r="T1883" s="34"/>
      <c r="U1883" s="34"/>
      <c r="V1883" s="34"/>
      <c r="W1883" s="34"/>
      <c r="X1883" s="34"/>
      <c r="Y1883" s="34"/>
      <c r="Z1883" s="34"/>
      <c r="AA1883" s="34"/>
    </row>
    <row r="1884" spans="1:27" ht="15">
      <c r="A1884" s="66" t="s">
        <v>246</v>
      </c>
      <c r="B1884" s="66" t="s">
        <v>850</v>
      </c>
      <c r="C1884" s="67" t="s">
        <v>4454</v>
      </c>
      <c r="D1884" s="68">
        <v>5</v>
      </c>
      <c r="E1884" s="69"/>
      <c r="F1884" s="70">
        <v>20</v>
      </c>
      <c r="G1884" s="67"/>
      <c r="H1884" s="71"/>
      <c r="I1884" s="72"/>
      <c r="J1884" s="72"/>
      <c r="K1884" s="34" t="s">
        <v>65</v>
      </c>
      <c r="L1884" s="79">
        <v>1884</v>
      </c>
      <c r="M1884" s="79"/>
      <c r="N1884" s="74"/>
      <c r="O1884" s="81" t="s">
        <v>944</v>
      </c>
      <c r="P1884">
        <v>1</v>
      </c>
      <c r="Q1884" s="80" t="str">
        <f>REPLACE(INDEX(GroupVertices[Group],MATCH(Edges[[#This Row],[Vertex 1]],GroupVertices[Vertex],0)),1,1,"")</f>
        <v>2</v>
      </c>
      <c r="R1884" s="80" t="str">
        <f>REPLACE(INDEX(GroupVertices[Group],MATCH(Edges[[#This Row],[Vertex 2]],GroupVertices[Vertex],0)),1,1,"")</f>
        <v>3</v>
      </c>
      <c r="S1884" s="34"/>
      <c r="T1884" s="34"/>
      <c r="U1884" s="34"/>
      <c r="V1884" s="34"/>
      <c r="W1884" s="34"/>
      <c r="X1884" s="34"/>
      <c r="Y1884" s="34"/>
      <c r="Z1884" s="34"/>
      <c r="AA1884" s="34"/>
    </row>
    <row r="1885" spans="1:27" ht="15">
      <c r="A1885" s="66" t="s">
        <v>249</v>
      </c>
      <c r="B1885" s="66" t="s">
        <v>850</v>
      </c>
      <c r="C1885" s="67" t="s">
        <v>4454</v>
      </c>
      <c r="D1885" s="68">
        <v>5</v>
      </c>
      <c r="E1885" s="69"/>
      <c r="F1885" s="70">
        <v>20</v>
      </c>
      <c r="G1885" s="67"/>
      <c r="H1885" s="71"/>
      <c r="I1885" s="72"/>
      <c r="J1885" s="72"/>
      <c r="K1885" s="34" t="s">
        <v>65</v>
      </c>
      <c r="L1885" s="79">
        <v>1885</v>
      </c>
      <c r="M1885" s="79"/>
      <c r="N1885" s="74"/>
      <c r="O1885" s="81" t="s">
        <v>944</v>
      </c>
      <c r="P1885">
        <v>1</v>
      </c>
      <c r="Q1885" s="80" t="str">
        <f>REPLACE(INDEX(GroupVertices[Group],MATCH(Edges[[#This Row],[Vertex 1]],GroupVertices[Vertex],0)),1,1,"")</f>
        <v>2</v>
      </c>
      <c r="R1885" s="80" t="str">
        <f>REPLACE(INDEX(GroupVertices[Group],MATCH(Edges[[#This Row],[Vertex 2]],GroupVertices[Vertex],0)),1,1,"")</f>
        <v>3</v>
      </c>
      <c r="S1885" s="34"/>
      <c r="T1885" s="34"/>
      <c r="U1885" s="34"/>
      <c r="V1885" s="34"/>
      <c r="W1885" s="34"/>
      <c r="X1885" s="34"/>
      <c r="Y1885" s="34"/>
      <c r="Z1885" s="34"/>
      <c r="AA1885" s="34"/>
    </row>
    <row r="1886" spans="1:27" ht="15">
      <c r="A1886" s="66" t="s">
        <v>250</v>
      </c>
      <c r="B1886" s="66" t="s">
        <v>850</v>
      </c>
      <c r="C1886" s="67" t="s">
        <v>4454</v>
      </c>
      <c r="D1886" s="68">
        <v>5</v>
      </c>
      <c r="E1886" s="69"/>
      <c r="F1886" s="70">
        <v>20</v>
      </c>
      <c r="G1886" s="67"/>
      <c r="H1886" s="71"/>
      <c r="I1886" s="72"/>
      <c r="J1886" s="72"/>
      <c r="K1886" s="34" t="s">
        <v>65</v>
      </c>
      <c r="L1886" s="79">
        <v>1886</v>
      </c>
      <c r="M1886" s="79"/>
      <c r="N1886" s="74"/>
      <c r="O1886" s="81" t="s">
        <v>944</v>
      </c>
      <c r="P1886">
        <v>1</v>
      </c>
      <c r="Q1886" s="80" t="str">
        <f>REPLACE(INDEX(GroupVertices[Group],MATCH(Edges[[#This Row],[Vertex 1]],GroupVertices[Vertex],0)),1,1,"")</f>
        <v>2</v>
      </c>
      <c r="R1886" s="80" t="str">
        <f>REPLACE(INDEX(GroupVertices[Group],MATCH(Edges[[#This Row],[Vertex 2]],GroupVertices[Vertex],0)),1,1,"")</f>
        <v>3</v>
      </c>
      <c r="S1886" s="34"/>
      <c r="T1886" s="34"/>
      <c r="U1886" s="34"/>
      <c r="V1886" s="34"/>
      <c r="W1886" s="34"/>
      <c r="X1886" s="34"/>
      <c r="Y1886" s="34"/>
      <c r="Z1886" s="34"/>
      <c r="AA1886" s="34"/>
    </row>
    <row r="1887" spans="1:27" ht="15">
      <c r="A1887" s="66" t="s">
        <v>253</v>
      </c>
      <c r="B1887" s="66" t="s">
        <v>850</v>
      </c>
      <c r="C1887" s="67" t="s">
        <v>4454</v>
      </c>
      <c r="D1887" s="68">
        <v>5</v>
      </c>
      <c r="E1887" s="69"/>
      <c r="F1887" s="70">
        <v>20</v>
      </c>
      <c r="G1887" s="67"/>
      <c r="H1887" s="71"/>
      <c r="I1887" s="72"/>
      <c r="J1887" s="72"/>
      <c r="K1887" s="34" t="s">
        <v>65</v>
      </c>
      <c r="L1887" s="79">
        <v>1887</v>
      </c>
      <c r="M1887" s="79"/>
      <c r="N1887" s="74"/>
      <c r="O1887" s="81" t="s">
        <v>944</v>
      </c>
      <c r="P1887">
        <v>1</v>
      </c>
      <c r="Q1887" s="80" t="str">
        <f>REPLACE(INDEX(GroupVertices[Group],MATCH(Edges[[#This Row],[Vertex 1]],GroupVertices[Vertex],0)),1,1,"")</f>
        <v>1</v>
      </c>
      <c r="R1887" s="80" t="str">
        <f>REPLACE(INDEX(GroupVertices[Group],MATCH(Edges[[#This Row],[Vertex 2]],GroupVertices[Vertex],0)),1,1,"")</f>
        <v>3</v>
      </c>
      <c r="S1887" s="34"/>
      <c r="T1887" s="34"/>
      <c r="U1887" s="34"/>
      <c r="V1887" s="34"/>
      <c r="W1887" s="34"/>
      <c r="X1887" s="34"/>
      <c r="Y1887" s="34"/>
      <c r="Z1887" s="34"/>
      <c r="AA1887" s="34"/>
    </row>
    <row r="1888" spans="1:27" ht="15">
      <c r="A1888" s="66" t="s">
        <v>254</v>
      </c>
      <c r="B1888" s="66" t="s">
        <v>850</v>
      </c>
      <c r="C1888" s="67" t="s">
        <v>4454</v>
      </c>
      <c r="D1888" s="68">
        <v>5</v>
      </c>
      <c r="E1888" s="69"/>
      <c r="F1888" s="70">
        <v>20</v>
      </c>
      <c r="G1888" s="67"/>
      <c r="H1888" s="71"/>
      <c r="I1888" s="72"/>
      <c r="J1888" s="72"/>
      <c r="K1888" s="34" t="s">
        <v>65</v>
      </c>
      <c r="L1888" s="79">
        <v>1888</v>
      </c>
      <c r="M1888" s="79"/>
      <c r="N1888" s="74"/>
      <c r="O1888" s="81" t="s">
        <v>944</v>
      </c>
      <c r="P1888">
        <v>1</v>
      </c>
      <c r="Q1888" s="80" t="str">
        <f>REPLACE(INDEX(GroupVertices[Group],MATCH(Edges[[#This Row],[Vertex 1]],GroupVertices[Vertex],0)),1,1,"")</f>
        <v>3</v>
      </c>
      <c r="R1888" s="80" t="str">
        <f>REPLACE(INDEX(GroupVertices[Group],MATCH(Edges[[#This Row],[Vertex 2]],GroupVertices[Vertex],0)),1,1,"")</f>
        <v>3</v>
      </c>
      <c r="S1888" s="34"/>
      <c r="T1888" s="34"/>
      <c r="U1888" s="34"/>
      <c r="V1888" s="34"/>
      <c r="W1888" s="34"/>
      <c r="X1888" s="34"/>
      <c r="Y1888" s="34"/>
      <c r="Z1888" s="34"/>
      <c r="AA1888" s="34"/>
    </row>
    <row r="1889" spans="1:27" ht="15">
      <c r="A1889" s="66" t="s">
        <v>259</v>
      </c>
      <c r="B1889" s="66" t="s">
        <v>850</v>
      </c>
      <c r="C1889" s="67" t="s">
        <v>4454</v>
      </c>
      <c r="D1889" s="68">
        <v>5</v>
      </c>
      <c r="E1889" s="69"/>
      <c r="F1889" s="70">
        <v>20</v>
      </c>
      <c r="G1889" s="67"/>
      <c r="H1889" s="71"/>
      <c r="I1889" s="72"/>
      <c r="J1889" s="72"/>
      <c r="K1889" s="34" t="s">
        <v>65</v>
      </c>
      <c r="L1889" s="79">
        <v>1889</v>
      </c>
      <c r="M1889" s="79"/>
      <c r="N1889" s="74"/>
      <c r="O1889" s="81" t="s">
        <v>944</v>
      </c>
      <c r="P1889">
        <v>1</v>
      </c>
      <c r="Q1889" s="80" t="str">
        <f>REPLACE(INDEX(GroupVertices[Group],MATCH(Edges[[#This Row],[Vertex 1]],GroupVertices[Vertex],0)),1,1,"")</f>
        <v>2</v>
      </c>
      <c r="R1889" s="80" t="str">
        <f>REPLACE(INDEX(GroupVertices[Group],MATCH(Edges[[#This Row],[Vertex 2]],GroupVertices[Vertex],0)),1,1,"")</f>
        <v>3</v>
      </c>
      <c r="S1889" s="34"/>
      <c r="T1889" s="34"/>
      <c r="U1889" s="34"/>
      <c r="V1889" s="34"/>
      <c r="W1889" s="34"/>
      <c r="X1889" s="34"/>
      <c r="Y1889" s="34"/>
      <c r="Z1889" s="34"/>
      <c r="AA1889" s="34"/>
    </row>
    <row r="1890" spans="1:27" ht="15">
      <c r="A1890" s="66" t="s">
        <v>259</v>
      </c>
      <c r="B1890" s="66" t="s">
        <v>900</v>
      </c>
      <c r="C1890" s="67" t="s">
        <v>4454</v>
      </c>
      <c r="D1890" s="68">
        <v>5</v>
      </c>
      <c r="E1890" s="69"/>
      <c r="F1890" s="70">
        <v>20</v>
      </c>
      <c r="G1890" s="67"/>
      <c r="H1890" s="71"/>
      <c r="I1890" s="72"/>
      <c r="J1890" s="72"/>
      <c r="K1890" s="34" t="s">
        <v>65</v>
      </c>
      <c r="L1890" s="79">
        <v>1890</v>
      </c>
      <c r="M1890" s="79"/>
      <c r="N1890" s="74"/>
      <c r="O1890" s="81" t="s">
        <v>944</v>
      </c>
      <c r="P1890">
        <v>1</v>
      </c>
      <c r="Q1890" s="80" t="str">
        <f>REPLACE(INDEX(GroupVertices[Group],MATCH(Edges[[#This Row],[Vertex 1]],GroupVertices[Vertex],0)),1,1,"")</f>
        <v>2</v>
      </c>
      <c r="R1890" s="80" t="str">
        <f>REPLACE(INDEX(GroupVertices[Group],MATCH(Edges[[#This Row],[Vertex 2]],GroupVertices[Vertex],0)),1,1,"")</f>
        <v>2</v>
      </c>
      <c r="S1890" s="34"/>
      <c r="T1890" s="34"/>
      <c r="U1890" s="34"/>
      <c r="V1890" s="34"/>
      <c r="W1890" s="34"/>
      <c r="X1890" s="34"/>
      <c r="Y1890" s="34"/>
      <c r="Z1890" s="34"/>
      <c r="AA1890" s="34"/>
    </row>
    <row r="1891" spans="1:27" ht="15">
      <c r="A1891" s="66" t="s">
        <v>260</v>
      </c>
      <c r="B1891" s="66" t="s">
        <v>910</v>
      </c>
      <c r="C1891" s="67" t="s">
        <v>4454</v>
      </c>
      <c r="D1891" s="68">
        <v>5</v>
      </c>
      <c r="E1891" s="69"/>
      <c r="F1891" s="70">
        <v>20</v>
      </c>
      <c r="G1891" s="67"/>
      <c r="H1891" s="71"/>
      <c r="I1891" s="72"/>
      <c r="J1891" s="72"/>
      <c r="K1891" s="34"/>
      <c r="L1891" s="79">
        <v>1891</v>
      </c>
      <c r="M1891" s="79"/>
      <c r="N1891" s="74"/>
      <c r="O1891" s="81" t="s">
        <v>944</v>
      </c>
      <c r="P1891">
        <v>1</v>
      </c>
      <c r="Q1891" s="80" t="str">
        <f>REPLACE(INDEX(GroupVertices[Group],MATCH(Edges[[#This Row],[Vertex 1]],GroupVertices[Vertex],0)),1,1,"")</f>
        <v>2</v>
      </c>
      <c r="R1891" s="80" t="e">
        <f>REPLACE(INDEX(GroupVertices[Group],MATCH(Edges[[#This Row],[Vertex 2]],GroupVertices[Vertex],0)),1,1,"")</f>
        <v>#N/A</v>
      </c>
      <c r="S1891" s="34"/>
      <c r="T1891" s="34"/>
      <c r="U1891" s="34"/>
      <c r="V1891" s="34"/>
      <c r="W1891" s="34"/>
      <c r="X1891" s="34"/>
      <c r="Y1891" s="34"/>
      <c r="Z1891" s="34"/>
      <c r="AA1891" s="34"/>
    </row>
    <row r="1892" spans="1:27" ht="15">
      <c r="A1892" s="66" t="s">
        <v>260</v>
      </c>
      <c r="B1892" s="66" t="s">
        <v>911</v>
      </c>
      <c r="C1892" s="67" t="s">
        <v>4454</v>
      </c>
      <c r="D1892" s="68">
        <v>5</v>
      </c>
      <c r="E1892" s="69"/>
      <c r="F1892" s="70">
        <v>20</v>
      </c>
      <c r="G1892" s="67"/>
      <c r="H1892" s="71"/>
      <c r="I1892" s="72"/>
      <c r="J1892" s="72"/>
      <c r="K1892" s="34"/>
      <c r="L1892" s="79">
        <v>1892</v>
      </c>
      <c r="M1892" s="79"/>
      <c r="N1892" s="74"/>
      <c r="O1892" s="81" t="s">
        <v>944</v>
      </c>
      <c r="P1892">
        <v>1</v>
      </c>
      <c r="Q1892" s="80" t="str">
        <f>REPLACE(INDEX(GroupVertices[Group],MATCH(Edges[[#This Row],[Vertex 1]],GroupVertices[Vertex],0)),1,1,"")</f>
        <v>2</v>
      </c>
      <c r="R1892" s="80" t="e">
        <f>REPLACE(INDEX(GroupVertices[Group],MATCH(Edges[[#This Row],[Vertex 2]],GroupVertices[Vertex],0)),1,1,"")</f>
        <v>#N/A</v>
      </c>
      <c r="S1892" s="34"/>
      <c r="T1892" s="34"/>
      <c r="U1892" s="34"/>
      <c r="V1892" s="34"/>
      <c r="W1892" s="34"/>
      <c r="X1892" s="34"/>
      <c r="Y1892" s="34"/>
      <c r="Z1892" s="34"/>
      <c r="AA1892" s="34"/>
    </row>
    <row r="1893" spans="1:27" ht="15">
      <c r="A1893" s="66" t="s">
        <v>260</v>
      </c>
      <c r="B1893" s="66" t="s">
        <v>912</v>
      </c>
      <c r="C1893" s="67" t="s">
        <v>4454</v>
      </c>
      <c r="D1893" s="68">
        <v>5</v>
      </c>
      <c r="E1893" s="69"/>
      <c r="F1893" s="70">
        <v>20</v>
      </c>
      <c r="G1893" s="67"/>
      <c r="H1893" s="71"/>
      <c r="I1893" s="72"/>
      <c r="J1893" s="72"/>
      <c r="K1893" s="34"/>
      <c r="L1893" s="79">
        <v>1893</v>
      </c>
      <c r="M1893" s="79"/>
      <c r="N1893" s="74"/>
      <c r="O1893" s="81" t="s">
        <v>944</v>
      </c>
      <c r="P1893">
        <v>1</v>
      </c>
      <c r="Q1893" s="80" t="str">
        <f>REPLACE(INDEX(GroupVertices[Group],MATCH(Edges[[#This Row],[Vertex 1]],GroupVertices[Vertex],0)),1,1,"")</f>
        <v>2</v>
      </c>
      <c r="R1893" s="80" t="e">
        <f>REPLACE(INDEX(GroupVertices[Group],MATCH(Edges[[#This Row],[Vertex 2]],GroupVertices[Vertex],0)),1,1,"")</f>
        <v>#N/A</v>
      </c>
      <c r="S1893" s="34"/>
      <c r="T1893" s="34"/>
      <c r="U1893" s="34"/>
      <c r="V1893" s="34"/>
      <c r="W1893" s="34"/>
      <c r="X1893" s="34"/>
      <c r="Y1893" s="34"/>
      <c r="Z1893" s="34"/>
      <c r="AA1893" s="34"/>
    </row>
    <row r="1894" spans="1:27" ht="15">
      <c r="A1894" s="66" t="s">
        <v>220</v>
      </c>
      <c r="B1894" s="66" t="s">
        <v>236</v>
      </c>
      <c r="C1894" s="67" t="s">
        <v>4454</v>
      </c>
      <c r="D1894" s="68">
        <v>5</v>
      </c>
      <c r="E1894" s="69"/>
      <c r="F1894" s="70">
        <v>20</v>
      </c>
      <c r="G1894" s="67"/>
      <c r="H1894" s="71"/>
      <c r="I1894" s="72"/>
      <c r="J1894" s="72"/>
      <c r="K1894" s="34" t="s">
        <v>65</v>
      </c>
      <c r="L1894" s="79">
        <v>1894</v>
      </c>
      <c r="M1894" s="79"/>
      <c r="N1894" s="74"/>
      <c r="O1894" s="81" t="s">
        <v>944</v>
      </c>
      <c r="P1894">
        <v>1</v>
      </c>
      <c r="Q1894" s="80" t="str">
        <f>REPLACE(INDEX(GroupVertices[Group],MATCH(Edges[[#This Row],[Vertex 1]],GroupVertices[Vertex],0)),1,1,"")</f>
        <v>2</v>
      </c>
      <c r="R1894" s="80" t="str">
        <f>REPLACE(INDEX(GroupVertices[Group],MATCH(Edges[[#This Row],[Vertex 2]],GroupVertices[Vertex],0)),1,1,"")</f>
        <v>1</v>
      </c>
      <c r="S1894" s="34"/>
      <c r="T1894" s="34"/>
      <c r="U1894" s="34"/>
      <c r="V1894" s="34"/>
      <c r="W1894" s="34"/>
      <c r="X1894" s="34"/>
      <c r="Y1894" s="34"/>
      <c r="Z1894" s="34"/>
      <c r="AA1894" s="34"/>
    </row>
    <row r="1895" spans="1:27" ht="15">
      <c r="A1895" s="66" t="s">
        <v>221</v>
      </c>
      <c r="B1895" s="66" t="s">
        <v>236</v>
      </c>
      <c r="C1895" s="67" t="s">
        <v>4454</v>
      </c>
      <c r="D1895" s="68">
        <v>5</v>
      </c>
      <c r="E1895" s="69"/>
      <c r="F1895" s="70">
        <v>20</v>
      </c>
      <c r="G1895" s="67"/>
      <c r="H1895" s="71"/>
      <c r="I1895" s="72"/>
      <c r="J1895" s="72"/>
      <c r="K1895" s="34" t="s">
        <v>65</v>
      </c>
      <c r="L1895" s="79">
        <v>1895</v>
      </c>
      <c r="M1895" s="79"/>
      <c r="N1895" s="74"/>
      <c r="O1895" s="81" t="s">
        <v>944</v>
      </c>
      <c r="P1895">
        <v>1</v>
      </c>
      <c r="Q1895" s="80" t="str">
        <f>REPLACE(INDEX(GroupVertices[Group],MATCH(Edges[[#This Row],[Vertex 1]],GroupVertices[Vertex],0)),1,1,"")</f>
        <v>2</v>
      </c>
      <c r="R1895" s="80" t="str">
        <f>REPLACE(INDEX(GroupVertices[Group],MATCH(Edges[[#This Row],[Vertex 2]],GroupVertices[Vertex],0)),1,1,"")</f>
        <v>1</v>
      </c>
      <c r="S1895" s="34"/>
      <c r="T1895" s="34"/>
      <c r="U1895" s="34"/>
      <c r="V1895" s="34"/>
      <c r="W1895" s="34"/>
      <c r="X1895" s="34"/>
      <c r="Y1895" s="34"/>
      <c r="Z1895" s="34"/>
      <c r="AA1895" s="34"/>
    </row>
    <row r="1896" spans="1:27" ht="15">
      <c r="A1896" s="66" t="s">
        <v>226</v>
      </c>
      <c r="B1896" s="66" t="s">
        <v>236</v>
      </c>
      <c r="C1896" s="67" t="s">
        <v>4454</v>
      </c>
      <c r="D1896" s="68">
        <v>5</v>
      </c>
      <c r="E1896" s="69"/>
      <c r="F1896" s="70">
        <v>20</v>
      </c>
      <c r="G1896" s="67"/>
      <c r="H1896" s="71"/>
      <c r="I1896" s="72"/>
      <c r="J1896" s="72"/>
      <c r="K1896" s="34" t="s">
        <v>66</v>
      </c>
      <c r="L1896" s="79">
        <v>1896</v>
      </c>
      <c r="M1896" s="79"/>
      <c r="N1896" s="74"/>
      <c r="O1896" s="81" t="s">
        <v>944</v>
      </c>
      <c r="P1896">
        <v>1</v>
      </c>
      <c r="Q1896" s="80" t="str">
        <f>REPLACE(INDEX(GroupVertices[Group],MATCH(Edges[[#This Row],[Vertex 1]],GroupVertices[Vertex],0)),1,1,"")</f>
        <v>4</v>
      </c>
      <c r="R1896" s="80" t="str">
        <f>REPLACE(INDEX(GroupVertices[Group],MATCH(Edges[[#This Row],[Vertex 2]],GroupVertices[Vertex],0)),1,1,"")</f>
        <v>1</v>
      </c>
      <c r="S1896" s="34"/>
      <c r="T1896" s="34"/>
      <c r="U1896" s="34"/>
      <c r="V1896" s="34"/>
      <c r="W1896" s="34"/>
      <c r="X1896" s="34"/>
      <c r="Y1896" s="34"/>
      <c r="Z1896" s="34"/>
      <c r="AA1896" s="34"/>
    </row>
    <row r="1897" spans="1:27" ht="15">
      <c r="A1897" s="66" t="s">
        <v>231</v>
      </c>
      <c r="B1897" s="66" t="s">
        <v>236</v>
      </c>
      <c r="C1897" s="67" t="s">
        <v>4454</v>
      </c>
      <c r="D1897" s="68">
        <v>5</v>
      </c>
      <c r="E1897" s="69"/>
      <c r="F1897" s="70">
        <v>20</v>
      </c>
      <c r="G1897" s="67"/>
      <c r="H1897" s="71"/>
      <c r="I1897" s="72"/>
      <c r="J1897" s="72"/>
      <c r="K1897" s="34" t="s">
        <v>66</v>
      </c>
      <c r="L1897" s="79">
        <v>1897</v>
      </c>
      <c r="M1897" s="79"/>
      <c r="N1897" s="74"/>
      <c r="O1897" s="81" t="s">
        <v>944</v>
      </c>
      <c r="P1897">
        <v>1</v>
      </c>
      <c r="Q1897" s="80" t="str">
        <f>REPLACE(INDEX(GroupVertices[Group],MATCH(Edges[[#This Row],[Vertex 1]],GroupVertices[Vertex],0)),1,1,"")</f>
        <v>1</v>
      </c>
      <c r="R1897" s="80" t="str">
        <f>REPLACE(INDEX(GroupVertices[Group],MATCH(Edges[[#This Row],[Vertex 2]],GroupVertices[Vertex],0)),1,1,"")</f>
        <v>1</v>
      </c>
      <c r="S1897" s="34"/>
      <c r="T1897" s="34"/>
      <c r="U1897" s="34"/>
      <c r="V1897" s="34"/>
      <c r="W1897" s="34"/>
      <c r="X1897" s="34"/>
      <c r="Y1897" s="34"/>
      <c r="Z1897" s="34"/>
      <c r="AA1897" s="34"/>
    </row>
    <row r="1898" spans="1:27" ht="15">
      <c r="A1898" s="66" t="s">
        <v>233</v>
      </c>
      <c r="B1898" s="66" t="s">
        <v>236</v>
      </c>
      <c r="C1898" s="67" t="s">
        <v>4454</v>
      </c>
      <c r="D1898" s="68">
        <v>5</v>
      </c>
      <c r="E1898" s="69"/>
      <c r="F1898" s="70">
        <v>20</v>
      </c>
      <c r="G1898" s="67"/>
      <c r="H1898" s="71"/>
      <c r="I1898" s="72"/>
      <c r="J1898" s="72"/>
      <c r="K1898" s="34" t="s">
        <v>65</v>
      </c>
      <c r="L1898" s="79">
        <v>1898</v>
      </c>
      <c r="M1898" s="79"/>
      <c r="N1898" s="74"/>
      <c r="O1898" s="81" t="s">
        <v>944</v>
      </c>
      <c r="P1898">
        <v>1</v>
      </c>
      <c r="Q1898" s="80" t="str">
        <f>REPLACE(INDEX(GroupVertices[Group],MATCH(Edges[[#This Row],[Vertex 1]],GroupVertices[Vertex],0)),1,1,"")</f>
        <v>2</v>
      </c>
      <c r="R1898" s="80" t="str">
        <f>REPLACE(INDEX(GroupVertices[Group],MATCH(Edges[[#This Row],[Vertex 2]],GroupVertices[Vertex],0)),1,1,"")</f>
        <v>1</v>
      </c>
      <c r="S1898" s="34"/>
      <c r="T1898" s="34"/>
      <c r="U1898" s="34"/>
      <c r="V1898" s="34"/>
      <c r="W1898" s="34"/>
      <c r="X1898" s="34"/>
      <c r="Y1898" s="34"/>
      <c r="Z1898" s="34"/>
      <c r="AA1898" s="34"/>
    </row>
    <row r="1899" spans="1:27" ht="15">
      <c r="A1899" s="66" t="s">
        <v>236</v>
      </c>
      <c r="B1899" s="66" t="s">
        <v>881</v>
      </c>
      <c r="C1899" s="67" t="s">
        <v>4454</v>
      </c>
      <c r="D1899" s="68">
        <v>5</v>
      </c>
      <c r="E1899" s="69"/>
      <c r="F1899" s="70">
        <v>20</v>
      </c>
      <c r="G1899" s="67"/>
      <c r="H1899" s="71"/>
      <c r="I1899" s="72"/>
      <c r="J1899" s="72"/>
      <c r="K1899" s="34" t="s">
        <v>65</v>
      </c>
      <c r="L1899" s="79">
        <v>1899</v>
      </c>
      <c r="M1899" s="79"/>
      <c r="N1899" s="74"/>
      <c r="O1899" s="81" t="s">
        <v>944</v>
      </c>
      <c r="P1899">
        <v>1</v>
      </c>
      <c r="Q1899" s="80" t="str">
        <f>REPLACE(INDEX(GroupVertices[Group],MATCH(Edges[[#This Row],[Vertex 1]],GroupVertices[Vertex],0)),1,1,"")</f>
        <v>1</v>
      </c>
      <c r="R1899" s="80" t="str">
        <f>REPLACE(INDEX(GroupVertices[Group],MATCH(Edges[[#This Row],[Vertex 2]],GroupVertices[Vertex],0)),1,1,"")</f>
        <v>1</v>
      </c>
      <c r="S1899" s="34"/>
      <c r="T1899" s="34"/>
      <c r="U1899" s="34"/>
      <c r="V1899" s="34"/>
      <c r="W1899" s="34"/>
      <c r="X1899" s="34"/>
      <c r="Y1899" s="34"/>
      <c r="Z1899" s="34"/>
      <c r="AA1899" s="34"/>
    </row>
    <row r="1900" spans="1:27" ht="15">
      <c r="A1900" s="66" t="s">
        <v>236</v>
      </c>
      <c r="B1900" s="66" t="s">
        <v>913</v>
      </c>
      <c r="C1900" s="67" t="s">
        <v>4454</v>
      </c>
      <c r="D1900" s="68">
        <v>5</v>
      </c>
      <c r="E1900" s="69"/>
      <c r="F1900" s="70">
        <v>20</v>
      </c>
      <c r="G1900" s="67"/>
      <c r="H1900" s="71"/>
      <c r="I1900" s="72"/>
      <c r="J1900" s="72"/>
      <c r="K1900" s="34" t="s">
        <v>65</v>
      </c>
      <c r="L1900" s="79">
        <v>1900</v>
      </c>
      <c r="M1900" s="79"/>
      <c r="N1900" s="74"/>
      <c r="O1900" s="81" t="s">
        <v>944</v>
      </c>
      <c r="P1900">
        <v>1</v>
      </c>
      <c r="Q1900" s="80" t="str">
        <f>REPLACE(INDEX(GroupVertices[Group],MATCH(Edges[[#This Row],[Vertex 1]],GroupVertices[Vertex],0)),1,1,"")</f>
        <v>1</v>
      </c>
      <c r="R1900" s="80" t="str">
        <f>REPLACE(INDEX(GroupVertices[Group],MATCH(Edges[[#This Row],[Vertex 2]],GroupVertices[Vertex],0)),1,1,"")</f>
        <v>1</v>
      </c>
      <c r="S1900" s="34"/>
      <c r="T1900" s="34"/>
      <c r="U1900" s="34"/>
      <c r="V1900" s="34"/>
      <c r="W1900" s="34"/>
      <c r="X1900" s="34"/>
      <c r="Y1900" s="34"/>
      <c r="Z1900" s="34"/>
      <c r="AA1900" s="34"/>
    </row>
    <row r="1901" spans="1:27" ht="15">
      <c r="A1901" s="66" t="s">
        <v>236</v>
      </c>
      <c r="B1901" s="66" t="s">
        <v>231</v>
      </c>
      <c r="C1901" s="67" t="s">
        <v>4454</v>
      </c>
      <c r="D1901" s="68">
        <v>5</v>
      </c>
      <c r="E1901" s="69"/>
      <c r="F1901" s="70">
        <v>20</v>
      </c>
      <c r="G1901" s="67"/>
      <c r="H1901" s="71"/>
      <c r="I1901" s="72"/>
      <c r="J1901" s="72"/>
      <c r="K1901" s="34" t="s">
        <v>66</v>
      </c>
      <c r="L1901" s="79">
        <v>1901</v>
      </c>
      <c r="M1901" s="79"/>
      <c r="N1901" s="74"/>
      <c r="O1901" s="81" t="s">
        <v>944</v>
      </c>
      <c r="P1901">
        <v>1</v>
      </c>
      <c r="Q1901" s="80" t="str">
        <f>REPLACE(INDEX(GroupVertices[Group],MATCH(Edges[[#This Row],[Vertex 1]],GroupVertices[Vertex],0)),1,1,"")</f>
        <v>1</v>
      </c>
      <c r="R1901" s="80" t="str">
        <f>REPLACE(INDEX(GroupVertices[Group],MATCH(Edges[[#This Row],[Vertex 2]],GroupVertices[Vertex],0)),1,1,"")</f>
        <v>1</v>
      </c>
      <c r="S1901" s="34"/>
      <c r="T1901" s="34"/>
      <c r="U1901" s="34"/>
      <c r="V1901" s="34"/>
      <c r="W1901" s="34"/>
      <c r="X1901" s="34"/>
      <c r="Y1901" s="34"/>
      <c r="Z1901" s="34"/>
      <c r="AA1901" s="34"/>
    </row>
    <row r="1902" spans="1:27" ht="15">
      <c r="A1902" s="66" t="s">
        <v>236</v>
      </c>
      <c r="B1902" s="66" t="s">
        <v>252</v>
      </c>
      <c r="C1902" s="67" t="s">
        <v>4454</v>
      </c>
      <c r="D1902" s="68">
        <v>5</v>
      </c>
      <c r="E1902" s="69"/>
      <c r="F1902" s="70">
        <v>20</v>
      </c>
      <c r="G1902" s="67"/>
      <c r="H1902" s="71"/>
      <c r="I1902" s="72"/>
      <c r="J1902" s="72"/>
      <c r="K1902" s="34" t="s">
        <v>66</v>
      </c>
      <c r="L1902" s="79">
        <v>1902</v>
      </c>
      <c r="M1902" s="79"/>
      <c r="N1902" s="74"/>
      <c r="O1902" s="81" t="s">
        <v>944</v>
      </c>
      <c r="P1902">
        <v>1</v>
      </c>
      <c r="Q1902" s="80" t="str">
        <f>REPLACE(INDEX(GroupVertices[Group],MATCH(Edges[[#This Row],[Vertex 1]],GroupVertices[Vertex],0)),1,1,"")</f>
        <v>1</v>
      </c>
      <c r="R1902" s="80" t="str">
        <f>REPLACE(INDEX(GroupVertices[Group],MATCH(Edges[[#This Row],[Vertex 2]],GroupVertices[Vertex],0)),1,1,"")</f>
        <v>1</v>
      </c>
      <c r="S1902" s="34"/>
      <c r="T1902" s="34"/>
      <c r="U1902" s="34"/>
      <c r="V1902" s="34"/>
      <c r="W1902" s="34"/>
      <c r="X1902" s="34"/>
      <c r="Y1902" s="34"/>
      <c r="Z1902" s="34"/>
      <c r="AA1902" s="34"/>
    </row>
    <row r="1903" spans="1:27" ht="15">
      <c r="A1903" s="66" t="s">
        <v>236</v>
      </c>
      <c r="B1903" s="66" t="s">
        <v>616</v>
      </c>
      <c r="C1903" s="67" t="s">
        <v>4454</v>
      </c>
      <c r="D1903" s="68">
        <v>5</v>
      </c>
      <c r="E1903" s="69"/>
      <c r="F1903" s="70">
        <v>20</v>
      </c>
      <c r="G1903" s="67"/>
      <c r="H1903" s="71"/>
      <c r="I1903" s="72"/>
      <c r="J1903" s="72"/>
      <c r="K1903" s="34" t="s">
        <v>65</v>
      </c>
      <c r="L1903" s="79">
        <v>1903</v>
      </c>
      <c r="M1903" s="79"/>
      <c r="N1903" s="74"/>
      <c r="O1903" s="81" t="s">
        <v>944</v>
      </c>
      <c r="P1903">
        <v>1</v>
      </c>
      <c r="Q1903" s="80" t="str">
        <f>REPLACE(INDEX(GroupVertices[Group],MATCH(Edges[[#This Row],[Vertex 1]],GroupVertices[Vertex],0)),1,1,"")</f>
        <v>1</v>
      </c>
      <c r="R1903" s="80" t="str">
        <f>REPLACE(INDEX(GroupVertices[Group],MATCH(Edges[[#This Row],[Vertex 2]],GroupVertices[Vertex],0)),1,1,"")</f>
        <v>1</v>
      </c>
      <c r="S1903" s="34"/>
      <c r="T1903" s="34"/>
      <c r="U1903" s="34"/>
      <c r="V1903" s="34"/>
      <c r="W1903" s="34"/>
      <c r="X1903" s="34"/>
      <c r="Y1903" s="34"/>
      <c r="Z1903" s="34"/>
      <c r="AA1903" s="34"/>
    </row>
    <row r="1904" spans="1:27" ht="15">
      <c r="A1904" s="66" t="s">
        <v>236</v>
      </c>
      <c r="B1904" s="66" t="s">
        <v>248</v>
      </c>
      <c r="C1904" s="67" t="s">
        <v>4454</v>
      </c>
      <c r="D1904" s="68">
        <v>5</v>
      </c>
      <c r="E1904" s="69"/>
      <c r="F1904" s="70">
        <v>20</v>
      </c>
      <c r="G1904" s="67"/>
      <c r="H1904" s="71"/>
      <c r="I1904" s="72"/>
      <c r="J1904" s="72"/>
      <c r="K1904" s="34" t="s">
        <v>66</v>
      </c>
      <c r="L1904" s="79">
        <v>1904</v>
      </c>
      <c r="M1904" s="79"/>
      <c r="N1904" s="74"/>
      <c r="O1904" s="81" t="s">
        <v>944</v>
      </c>
      <c r="P1904">
        <v>1</v>
      </c>
      <c r="Q1904" s="80" t="str">
        <f>REPLACE(INDEX(GroupVertices[Group],MATCH(Edges[[#This Row],[Vertex 1]],GroupVertices[Vertex],0)),1,1,"")</f>
        <v>1</v>
      </c>
      <c r="R1904" s="80" t="str">
        <f>REPLACE(INDEX(GroupVertices[Group],MATCH(Edges[[#This Row],[Vertex 2]],GroupVertices[Vertex],0)),1,1,"")</f>
        <v>1</v>
      </c>
      <c r="S1904" s="34"/>
      <c r="T1904" s="34"/>
      <c r="U1904" s="34"/>
      <c r="V1904" s="34"/>
      <c r="W1904" s="34"/>
      <c r="X1904" s="34"/>
      <c r="Y1904" s="34"/>
      <c r="Z1904" s="34"/>
      <c r="AA1904" s="34"/>
    </row>
    <row r="1905" spans="1:27" ht="15">
      <c r="A1905" s="66" t="s">
        <v>236</v>
      </c>
      <c r="B1905" s="66" t="s">
        <v>733</v>
      </c>
      <c r="C1905" s="67" t="s">
        <v>4454</v>
      </c>
      <c r="D1905" s="68">
        <v>5</v>
      </c>
      <c r="E1905" s="69"/>
      <c r="F1905" s="70">
        <v>20</v>
      </c>
      <c r="G1905" s="67"/>
      <c r="H1905" s="71"/>
      <c r="I1905" s="72"/>
      <c r="J1905" s="72"/>
      <c r="K1905" s="34" t="s">
        <v>65</v>
      </c>
      <c r="L1905" s="79">
        <v>1905</v>
      </c>
      <c r="M1905" s="79"/>
      <c r="N1905" s="74"/>
      <c r="O1905" s="81" t="s">
        <v>944</v>
      </c>
      <c r="P1905">
        <v>1</v>
      </c>
      <c r="Q1905" s="80" t="str">
        <f>REPLACE(INDEX(GroupVertices[Group],MATCH(Edges[[#This Row],[Vertex 1]],GroupVertices[Vertex],0)),1,1,"")</f>
        <v>1</v>
      </c>
      <c r="R1905" s="80" t="str">
        <f>REPLACE(INDEX(GroupVertices[Group],MATCH(Edges[[#This Row],[Vertex 2]],GroupVertices[Vertex],0)),1,1,"")</f>
        <v>1</v>
      </c>
      <c r="S1905" s="34"/>
      <c r="T1905" s="34"/>
      <c r="U1905" s="34"/>
      <c r="V1905" s="34"/>
      <c r="W1905" s="34"/>
      <c r="X1905" s="34"/>
      <c r="Y1905" s="34"/>
      <c r="Z1905" s="34"/>
      <c r="AA1905" s="34"/>
    </row>
    <row r="1906" spans="1:27" ht="15">
      <c r="A1906" s="66" t="s">
        <v>236</v>
      </c>
      <c r="B1906" s="66" t="s">
        <v>226</v>
      </c>
      <c r="C1906" s="67" t="s">
        <v>4454</v>
      </c>
      <c r="D1906" s="68">
        <v>5</v>
      </c>
      <c r="E1906" s="69"/>
      <c r="F1906" s="70">
        <v>20</v>
      </c>
      <c r="G1906" s="67"/>
      <c r="H1906" s="71"/>
      <c r="I1906" s="72"/>
      <c r="J1906" s="72"/>
      <c r="K1906" s="34" t="s">
        <v>66</v>
      </c>
      <c r="L1906" s="79">
        <v>1906</v>
      </c>
      <c r="M1906" s="79"/>
      <c r="N1906" s="74"/>
      <c r="O1906" s="81" t="s">
        <v>944</v>
      </c>
      <c r="P1906">
        <v>1</v>
      </c>
      <c r="Q1906" s="80" t="str">
        <f>REPLACE(INDEX(GroupVertices[Group],MATCH(Edges[[#This Row],[Vertex 1]],GroupVertices[Vertex],0)),1,1,"")</f>
        <v>1</v>
      </c>
      <c r="R1906" s="80" t="str">
        <f>REPLACE(INDEX(GroupVertices[Group],MATCH(Edges[[#This Row],[Vertex 2]],GroupVertices[Vertex],0)),1,1,"")</f>
        <v>4</v>
      </c>
      <c r="S1906" s="34"/>
      <c r="T1906" s="34"/>
      <c r="U1906" s="34"/>
      <c r="V1906" s="34"/>
      <c r="W1906" s="34"/>
      <c r="X1906" s="34"/>
      <c r="Y1906" s="34"/>
      <c r="Z1906" s="34"/>
      <c r="AA1906" s="34"/>
    </row>
    <row r="1907" spans="1:27" ht="15">
      <c r="A1907" s="66" t="s">
        <v>236</v>
      </c>
      <c r="B1907" s="66" t="s">
        <v>737</v>
      </c>
      <c r="C1907" s="67" t="s">
        <v>4454</v>
      </c>
      <c r="D1907" s="68">
        <v>5</v>
      </c>
      <c r="E1907" s="69"/>
      <c r="F1907" s="70">
        <v>20</v>
      </c>
      <c r="G1907" s="67"/>
      <c r="H1907" s="71"/>
      <c r="I1907" s="72"/>
      <c r="J1907" s="72"/>
      <c r="K1907" s="34" t="s">
        <v>65</v>
      </c>
      <c r="L1907" s="79">
        <v>1907</v>
      </c>
      <c r="M1907" s="79"/>
      <c r="N1907" s="74"/>
      <c r="O1907" s="81" t="s">
        <v>944</v>
      </c>
      <c r="P1907">
        <v>1</v>
      </c>
      <c r="Q1907" s="80" t="str">
        <f>REPLACE(INDEX(GroupVertices[Group],MATCH(Edges[[#This Row],[Vertex 1]],GroupVertices[Vertex],0)),1,1,"")</f>
        <v>1</v>
      </c>
      <c r="R1907" s="80" t="str">
        <f>REPLACE(INDEX(GroupVertices[Group],MATCH(Edges[[#This Row],[Vertex 2]],GroupVertices[Vertex],0)),1,1,"")</f>
        <v>1</v>
      </c>
      <c r="S1907" s="34"/>
      <c r="T1907" s="34"/>
      <c r="U1907" s="34"/>
      <c r="V1907" s="34"/>
      <c r="W1907" s="34"/>
      <c r="X1907" s="34"/>
      <c r="Y1907" s="34"/>
      <c r="Z1907" s="34"/>
      <c r="AA1907" s="34"/>
    </row>
    <row r="1908" spans="1:27" ht="15">
      <c r="A1908" s="66" t="s">
        <v>236</v>
      </c>
      <c r="B1908" s="66" t="s">
        <v>261</v>
      </c>
      <c r="C1908" s="67" t="s">
        <v>4454</v>
      </c>
      <c r="D1908" s="68">
        <v>5</v>
      </c>
      <c r="E1908" s="69"/>
      <c r="F1908" s="70">
        <v>20</v>
      </c>
      <c r="G1908" s="67"/>
      <c r="H1908" s="71"/>
      <c r="I1908" s="72"/>
      <c r="J1908" s="72"/>
      <c r="K1908" s="34" t="s">
        <v>65</v>
      </c>
      <c r="L1908" s="79">
        <v>1908</v>
      </c>
      <c r="M1908" s="79"/>
      <c r="N1908" s="74"/>
      <c r="O1908" s="81" t="s">
        <v>944</v>
      </c>
      <c r="P1908">
        <v>1</v>
      </c>
      <c r="Q1908" s="80" t="str">
        <f>REPLACE(INDEX(GroupVertices[Group],MATCH(Edges[[#This Row],[Vertex 1]],GroupVertices[Vertex],0)),1,1,"")</f>
        <v>1</v>
      </c>
      <c r="R1908" s="80" t="str">
        <f>REPLACE(INDEX(GroupVertices[Group],MATCH(Edges[[#This Row],[Vertex 2]],GroupVertices[Vertex],0)),1,1,"")</f>
        <v>1</v>
      </c>
      <c r="S1908" s="34"/>
      <c r="T1908" s="34"/>
      <c r="U1908" s="34"/>
      <c r="V1908" s="34"/>
      <c r="W1908" s="34"/>
      <c r="X1908" s="34"/>
      <c r="Y1908" s="34"/>
      <c r="Z1908" s="34"/>
      <c r="AA1908" s="34"/>
    </row>
    <row r="1909" spans="1:27" ht="15">
      <c r="A1909" s="66" t="s">
        <v>236</v>
      </c>
      <c r="B1909" s="66" t="s">
        <v>480</v>
      </c>
      <c r="C1909" s="67" t="s">
        <v>4454</v>
      </c>
      <c r="D1909" s="68">
        <v>5</v>
      </c>
      <c r="E1909" s="69"/>
      <c r="F1909" s="70">
        <v>20</v>
      </c>
      <c r="G1909" s="67"/>
      <c r="H1909" s="71"/>
      <c r="I1909" s="72"/>
      <c r="J1909" s="72"/>
      <c r="K1909" s="34" t="s">
        <v>65</v>
      </c>
      <c r="L1909" s="79">
        <v>1909</v>
      </c>
      <c r="M1909" s="79"/>
      <c r="N1909" s="74"/>
      <c r="O1909" s="81" t="s">
        <v>944</v>
      </c>
      <c r="P1909">
        <v>1</v>
      </c>
      <c r="Q1909" s="80" t="str">
        <f>REPLACE(INDEX(GroupVertices[Group],MATCH(Edges[[#This Row],[Vertex 1]],GroupVertices[Vertex],0)),1,1,"")</f>
        <v>1</v>
      </c>
      <c r="R1909" s="80" t="str">
        <f>REPLACE(INDEX(GroupVertices[Group],MATCH(Edges[[#This Row],[Vertex 2]],GroupVertices[Vertex],0)),1,1,"")</f>
        <v>1</v>
      </c>
      <c r="S1909" s="34"/>
      <c r="T1909" s="34"/>
      <c r="U1909" s="34"/>
      <c r="V1909" s="34"/>
      <c r="W1909" s="34"/>
      <c r="X1909" s="34"/>
      <c r="Y1909" s="34"/>
      <c r="Z1909" s="34"/>
      <c r="AA1909" s="34"/>
    </row>
    <row r="1910" spans="1:27" ht="15">
      <c r="A1910" s="66" t="s">
        <v>236</v>
      </c>
      <c r="B1910" s="66" t="s">
        <v>886</v>
      </c>
      <c r="C1910" s="67" t="s">
        <v>4454</v>
      </c>
      <c r="D1910" s="68">
        <v>5</v>
      </c>
      <c r="E1910" s="69"/>
      <c r="F1910" s="70">
        <v>20</v>
      </c>
      <c r="G1910" s="67"/>
      <c r="H1910" s="71"/>
      <c r="I1910" s="72"/>
      <c r="J1910" s="72"/>
      <c r="K1910" s="34" t="s">
        <v>65</v>
      </c>
      <c r="L1910" s="79">
        <v>1910</v>
      </c>
      <c r="M1910" s="79"/>
      <c r="N1910" s="74"/>
      <c r="O1910" s="81" t="s">
        <v>944</v>
      </c>
      <c r="P1910">
        <v>1</v>
      </c>
      <c r="Q1910" s="80" t="str">
        <f>REPLACE(INDEX(GroupVertices[Group],MATCH(Edges[[#This Row],[Vertex 1]],GroupVertices[Vertex],0)),1,1,"")</f>
        <v>1</v>
      </c>
      <c r="R1910" s="80" t="str">
        <f>REPLACE(INDEX(GroupVertices[Group],MATCH(Edges[[#This Row],[Vertex 2]],GroupVertices[Vertex],0)),1,1,"")</f>
        <v>4</v>
      </c>
      <c r="S1910" s="34"/>
      <c r="T1910" s="34"/>
      <c r="U1910" s="34"/>
      <c r="V1910" s="34"/>
      <c r="W1910" s="34"/>
      <c r="X1910" s="34"/>
      <c r="Y1910" s="34"/>
      <c r="Z1910" s="34"/>
      <c r="AA1910" s="34"/>
    </row>
    <row r="1911" spans="1:27" ht="15">
      <c r="A1911" s="66" t="s">
        <v>236</v>
      </c>
      <c r="B1911" s="66" t="s">
        <v>253</v>
      </c>
      <c r="C1911" s="67" t="s">
        <v>4454</v>
      </c>
      <c r="D1911" s="68">
        <v>5</v>
      </c>
      <c r="E1911" s="69"/>
      <c r="F1911" s="70">
        <v>20</v>
      </c>
      <c r="G1911" s="67"/>
      <c r="H1911" s="71"/>
      <c r="I1911" s="72"/>
      <c r="J1911" s="72"/>
      <c r="K1911" s="34" t="s">
        <v>66</v>
      </c>
      <c r="L1911" s="79">
        <v>1911</v>
      </c>
      <c r="M1911" s="79"/>
      <c r="N1911" s="74"/>
      <c r="O1911" s="81" t="s">
        <v>944</v>
      </c>
      <c r="P1911">
        <v>1</v>
      </c>
      <c r="Q1911" s="80" t="str">
        <f>REPLACE(INDEX(GroupVertices[Group],MATCH(Edges[[#This Row],[Vertex 1]],GroupVertices[Vertex],0)),1,1,"")</f>
        <v>1</v>
      </c>
      <c r="R1911" s="80" t="str">
        <f>REPLACE(INDEX(GroupVertices[Group],MATCH(Edges[[#This Row],[Vertex 2]],GroupVertices[Vertex],0)),1,1,"")</f>
        <v>1</v>
      </c>
      <c r="S1911" s="34"/>
      <c r="T1911" s="34"/>
      <c r="U1911" s="34"/>
      <c r="V1911" s="34"/>
      <c r="W1911" s="34"/>
      <c r="X1911" s="34"/>
      <c r="Y1911" s="34"/>
      <c r="Z1911" s="34"/>
      <c r="AA1911" s="34"/>
    </row>
    <row r="1912" spans="1:27" ht="15">
      <c r="A1912" s="66" t="s">
        <v>246</v>
      </c>
      <c r="B1912" s="66" t="s">
        <v>236</v>
      </c>
      <c r="C1912" s="67" t="s">
        <v>4454</v>
      </c>
      <c r="D1912" s="68">
        <v>5</v>
      </c>
      <c r="E1912" s="69"/>
      <c r="F1912" s="70">
        <v>20</v>
      </c>
      <c r="G1912" s="67"/>
      <c r="H1912" s="71"/>
      <c r="I1912" s="72"/>
      <c r="J1912" s="72"/>
      <c r="K1912" s="34" t="s">
        <v>65</v>
      </c>
      <c r="L1912" s="79">
        <v>1912</v>
      </c>
      <c r="M1912" s="79"/>
      <c r="N1912" s="74"/>
      <c r="O1912" s="81" t="s">
        <v>944</v>
      </c>
      <c r="P1912">
        <v>1</v>
      </c>
      <c r="Q1912" s="80" t="str">
        <f>REPLACE(INDEX(GroupVertices[Group],MATCH(Edges[[#This Row],[Vertex 1]],GroupVertices[Vertex],0)),1,1,"")</f>
        <v>2</v>
      </c>
      <c r="R1912" s="80" t="str">
        <f>REPLACE(INDEX(GroupVertices[Group],MATCH(Edges[[#This Row],[Vertex 2]],GroupVertices[Vertex],0)),1,1,"")</f>
        <v>1</v>
      </c>
      <c r="S1912" s="34"/>
      <c r="T1912" s="34"/>
      <c r="U1912" s="34"/>
      <c r="V1912" s="34"/>
      <c r="W1912" s="34"/>
      <c r="X1912" s="34"/>
      <c r="Y1912" s="34"/>
      <c r="Z1912" s="34"/>
      <c r="AA1912" s="34"/>
    </row>
    <row r="1913" spans="1:27" ht="15">
      <c r="A1913" s="66" t="s">
        <v>247</v>
      </c>
      <c r="B1913" s="66" t="s">
        <v>236</v>
      </c>
      <c r="C1913" s="67" t="s">
        <v>4454</v>
      </c>
      <c r="D1913" s="68">
        <v>5</v>
      </c>
      <c r="E1913" s="69"/>
      <c r="F1913" s="70">
        <v>20</v>
      </c>
      <c r="G1913" s="67"/>
      <c r="H1913" s="71"/>
      <c r="I1913" s="72"/>
      <c r="J1913" s="72"/>
      <c r="K1913" s="34" t="s">
        <v>65</v>
      </c>
      <c r="L1913" s="79">
        <v>1913</v>
      </c>
      <c r="M1913" s="79"/>
      <c r="N1913" s="74"/>
      <c r="O1913" s="81" t="s">
        <v>944</v>
      </c>
      <c r="P1913">
        <v>1</v>
      </c>
      <c r="Q1913" s="80" t="str">
        <f>REPLACE(INDEX(GroupVertices[Group],MATCH(Edges[[#This Row],[Vertex 1]],GroupVertices[Vertex],0)),1,1,"")</f>
        <v>2</v>
      </c>
      <c r="R1913" s="80" t="str">
        <f>REPLACE(INDEX(GroupVertices[Group],MATCH(Edges[[#This Row],[Vertex 2]],GroupVertices[Vertex],0)),1,1,"")</f>
        <v>1</v>
      </c>
      <c r="S1913" s="34"/>
      <c r="T1913" s="34"/>
      <c r="U1913" s="34"/>
      <c r="V1913" s="34"/>
      <c r="W1913" s="34"/>
      <c r="X1913" s="34"/>
      <c r="Y1913" s="34"/>
      <c r="Z1913" s="34"/>
      <c r="AA1913" s="34"/>
    </row>
    <row r="1914" spans="1:27" ht="15">
      <c r="A1914" s="66" t="s">
        <v>248</v>
      </c>
      <c r="B1914" s="66" t="s">
        <v>236</v>
      </c>
      <c r="C1914" s="67" t="s">
        <v>4454</v>
      </c>
      <c r="D1914" s="68">
        <v>5</v>
      </c>
      <c r="E1914" s="69"/>
      <c r="F1914" s="70">
        <v>20</v>
      </c>
      <c r="G1914" s="67"/>
      <c r="H1914" s="71"/>
      <c r="I1914" s="72"/>
      <c r="J1914" s="72"/>
      <c r="K1914" s="34" t="s">
        <v>66</v>
      </c>
      <c r="L1914" s="79">
        <v>1914</v>
      </c>
      <c r="M1914" s="79"/>
      <c r="N1914" s="74"/>
      <c r="O1914" s="81" t="s">
        <v>944</v>
      </c>
      <c r="P1914">
        <v>1</v>
      </c>
      <c r="Q1914" s="80" t="str">
        <f>REPLACE(INDEX(GroupVertices[Group],MATCH(Edges[[#This Row],[Vertex 1]],GroupVertices[Vertex],0)),1,1,"")</f>
        <v>1</v>
      </c>
      <c r="R1914" s="80" t="str">
        <f>REPLACE(INDEX(GroupVertices[Group],MATCH(Edges[[#This Row],[Vertex 2]],GroupVertices[Vertex],0)),1,1,"")</f>
        <v>1</v>
      </c>
      <c r="S1914" s="34"/>
      <c r="T1914" s="34"/>
      <c r="U1914" s="34"/>
      <c r="V1914" s="34"/>
      <c r="W1914" s="34"/>
      <c r="X1914" s="34"/>
      <c r="Y1914" s="34"/>
      <c r="Z1914" s="34"/>
      <c r="AA1914" s="34"/>
    </row>
    <row r="1915" spans="1:27" ht="15">
      <c r="A1915" s="66" t="s">
        <v>252</v>
      </c>
      <c r="B1915" s="66" t="s">
        <v>236</v>
      </c>
      <c r="C1915" s="67" t="s">
        <v>4454</v>
      </c>
      <c r="D1915" s="68">
        <v>5</v>
      </c>
      <c r="E1915" s="69"/>
      <c r="F1915" s="70">
        <v>20</v>
      </c>
      <c r="G1915" s="67"/>
      <c r="H1915" s="71"/>
      <c r="I1915" s="72"/>
      <c r="J1915" s="72"/>
      <c r="K1915" s="34" t="s">
        <v>66</v>
      </c>
      <c r="L1915" s="79">
        <v>1915</v>
      </c>
      <c r="M1915" s="79"/>
      <c r="N1915" s="74"/>
      <c r="O1915" s="81" t="s">
        <v>944</v>
      </c>
      <c r="P1915">
        <v>1</v>
      </c>
      <c r="Q1915" s="80" t="str">
        <f>REPLACE(INDEX(GroupVertices[Group],MATCH(Edges[[#This Row],[Vertex 1]],GroupVertices[Vertex],0)),1,1,"")</f>
        <v>1</v>
      </c>
      <c r="R1915" s="80" t="str">
        <f>REPLACE(INDEX(GroupVertices[Group],MATCH(Edges[[#This Row],[Vertex 2]],GroupVertices[Vertex],0)),1,1,"")</f>
        <v>1</v>
      </c>
      <c r="S1915" s="34"/>
      <c r="T1915" s="34"/>
      <c r="U1915" s="34"/>
      <c r="V1915" s="34"/>
      <c r="W1915" s="34"/>
      <c r="X1915" s="34"/>
      <c r="Y1915" s="34"/>
      <c r="Z1915" s="34"/>
      <c r="AA1915" s="34"/>
    </row>
    <row r="1916" spans="1:27" ht="15">
      <c r="A1916" s="66" t="s">
        <v>253</v>
      </c>
      <c r="B1916" s="66" t="s">
        <v>236</v>
      </c>
      <c r="C1916" s="67" t="s">
        <v>4454</v>
      </c>
      <c r="D1916" s="68">
        <v>5</v>
      </c>
      <c r="E1916" s="69"/>
      <c r="F1916" s="70">
        <v>20</v>
      </c>
      <c r="G1916" s="67"/>
      <c r="H1916" s="71"/>
      <c r="I1916" s="72"/>
      <c r="J1916" s="72"/>
      <c r="K1916" s="34" t="s">
        <v>66</v>
      </c>
      <c r="L1916" s="79">
        <v>1916</v>
      </c>
      <c r="M1916" s="79"/>
      <c r="N1916" s="74"/>
      <c r="O1916" s="81" t="s">
        <v>944</v>
      </c>
      <c r="P1916">
        <v>1</v>
      </c>
      <c r="Q1916" s="80" t="str">
        <f>REPLACE(INDEX(GroupVertices[Group],MATCH(Edges[[#This Row],[Vertex 1]],GroupVertices[Vertex],0)),1,1,"")</f>
        <v>1</v>
      </c>
      <c r="R1916" s="80" t="str">
        <f>REPLACE(INDEX(GroupVertices[Group],MATCH(Edges[[#This Row],[Vertex 2]],GroupVertices[Vertex],0)),1,1,"")</f>
        <v>1</v>
      </c>
      <c r="S1916" s="34"/>
      <c r="T1916" s="34"/>
      <c r="U1916" s="34"/>
      <c r="V1916" s="34"/>
      <c r="W1916" s="34"/>
      <c r="X1916" s="34"/>
      <c r="Y1916" s="34"/>
      <c r="Z1916" s="34"/>
      <c r="AA1916" s="34"/>
    </row>
    <row r="1917" spans="1:27" ht="15">
      <c r="A1917" s="66" t="s">
        <v>254</v>
      </c>
      <c r="B1917" s="66" t="s">
        <v>236</v>
      </c>
      <c r="C1917" s="67" t="s">
        <v>4454</v>
      </c>
      <c r="D1917" s="68">
        <v>5</v>
      </c>
      <c r="E1917" s="69"/>
      <c r="F1917" s="70">
        <v>20</v>
      </c>
      <c r="G1917" s="67"/>
      <c r="H1917" s="71"/>
      <c r="I1917" s="72"/>
      <c r="J1917" s="72"/>
      <c r="K1917" s="34" t="s">
        <v>65</v>
      </c>
      <c r="L1917" s="79">
        <v>1917</v>
      </c>
      <c r="M1917" s="79"/>
      <c r="N1917" s="74"/>
      <c r="O1917" s="81" t="s">
        <v>944</v>
      </c>
      <c r="P1917">
        <v>1</v>
      </c>
      <c r="Q1917" s="80" t="str">
        <f>REPLACE(INDEX(GroupVertices[Group],MATCH(Edges[[#This Row],[Vertex 1]],GroupVertices[Vertex],0)),1,1,"")</f>
        <v>3</v>
      </c>
      <c r="R1917" s="80" t="str">
        <f>REPLACE(INDEX(GroupVertices[Group],MATCH(Edges[[#This Row],[Vertex 2]],GroupVertices[Vertex],0)),1,1,"")</f>
        <v>1</v>
      </c>
      <c r="S1917" s="34"/>
      <c r="T1917" s="34"/>
      <c r="U1917" s="34"/>
      <c r="V1917" s="34"/>
      <c r="W1917" s="34"/>
      <c r="X1917" s="34"/>
      <c r="Y1917" s="34"/>
      <c r="Z1917" s="34"/>
      <c r="AA1917" s="34"/>
    </row>
    <row r="1918" spans="1:27" ht="15">
      <c r="A1918" s="66" t="s">
        <v>255</v>
      </c>
      <c r="B1918" s="66" t="s">
        <v>236</v>
      </c>
      <c r="C1918" s="67" t="s">
        <v>4454</v>
      </c>
      <c r="D1918" s="68">
        <v>5</v>
      </c>
      <c r="E1918" s="69"/>
      <c r="F1918" s="70">
        <v>20</v>
      </c>
      <c r="G1918" s="67"/>
      <c r="H1918" s="71"/>
      <c r="I1918" s="72"/>
      <c r="J1918" s="72"/>
      <c r="K1918" s="34" t="s">
        <v>65</v>
      </c>
      <c r="L1918" s="79">
        <v>1918</v>
      </c>
      <c r="M1918" s="79"/>
      <c r="N1918" s="74"/>
      <c r="O1918" s="81" t="s">
        <v>944</v>
      </c>
      <c r="P1918">
        <v>1</v>
      </c>
      <c r="Q1918" s="80" t="str">
        <f>REPLACE(INDEX(GroupVertices[Group],MATCH(Edges[[#This Row],[Vertex 1]],GroupVertices[Vertex],0)),1,1,"")</f>
        <v>4</v>
      </c>
      <c r="R1918" s="80" t="str">
        <f>REPLACE(INDEX(GroupVertices[Group],MATCH(Edges[[#This Row],[Vertex 2]],GroupVertices[Vertex],0)),1,1,"")</f>
        <v>1</v>
      </c>
      <c r="S1918" s="34"/>
      <c r="T1918" s="34"/>
      <c r="U1918" s="34"/>
      <c r="V1918" s="34"/>
      <c r="W1918" s="34"/>
      <c r="X1918" s="34"/>
      <c r="Y1918" s="34"/>
      <c r="Z1918" s="34"/>
      <c r="AA1918" s="34"/>
    </row>
    <row r="1919" spans="1:27" ht="15">
      <c r="A1919" s="66" t="s">
        <v>256</v>
      </c>
      <c r="B1919" s="66" t="s">
        <v>236</v>
      </c>
      <c r="C1919" s="67" t="s">
        <v>4454</v>
      </c>
      <c r="D1919" s="68">
        <v>5</v>
      </c>
      <c r="E1919" s="69"/>
      <c r="F1919" s="70">
        <v>20</v>
      </c>
      <c r="G1919" s="67"/>
      <c r="H1919" s="71"/>
      <c r="I1919" s="72"/>
      <c r="J1919" s="72"/>
      <c r="K1919" s="34" t="s">
        <v>65</v>
      </c>
      <c r="L1919" s="79">
        <v>1919</v>
      </c>
      <c r="M1919" s="79"/>
      <c r="N1919" s="74"/>
      <c r="O1919" s="81" t="s">
        <v>944</v>
      </c>
      <c r="P1919">
        <v>1</v>
      </c>
      <c r="Q1919" s="80" t="str">
        <f>REPLACE(INDEX(GroupVertices[Group],MATCH(Edges[[#This Row],[Vertex 1]],GroupVertices[Vertex],0)),1,1,"")</f>
        <v>1</v>
      </c>
      <c r="R1919" s="80" t="str">
        <f>REPLACE(INDEX(GroupVertices[Group],MATCH(Edges[[#This Row],[Vertex 2]],GroupVertices[Vertex],0)),1,1,"")</f>
        <v>1</v>
      </c>
      <c r="S1919" s="34"/>
      <c r="T1919" s="34"/>
      <c r="U1919" s="34"/>
      <c r="V1919" s="34"/>
      <c r="W1919" s="34"/>
      <c r="X1919" s="34"/>
      <c r="Y1919" s="34"/>
      <c r="Z1919" s="34"/>
      <c r="AA1919" s="34"/>
    </row>
    <row r="1920" spans="1:27" ht="15">
      <c r="A1920" s="66" t="s">
        <v>258</v>
      </c>
      <c r="B1920" s="66" t="s">
        <v>236</v>
      </c>
      <c r="C1920" s="67" t="s">
        <v>4454</v>
      </c>
      <c r="D1920" s="68">
        <v>5</v>
      </c>
      <c r="E1920" s="69"/>
      <c r="F1920" s="70">
        <v>20</v>
      </c>
      <c r="G1920" s="67"/>
      <c r="H1920" s="71"/>
      <c r="I1920" s="72"/>
      <c r="J1920" s="72"/>
      <c r="K1920" s="34" t="s">
        <v>65</v>
      </c>
      <c r="L1920" s="79">
        <v>1920</v>
      </c>
      <c r="M1920" s="79"/>
      <c r="N1920" s="74"/>
      <c r="O1920" s="81" t="s">
        <v>944</v>
      </c>
      <c r="P1920">
        <v>1</v>
      </c>
      <c r="Q1920" s="80" t="str">
        <f>REPLACE(INDEX(GroupVertices[Group],MATCH(Edges[[#This Row],[Vertex 1]],GroupVertices[Vertex],0)),1,1,"")</f>
        <v>1</v>
      </c>
      <c r="R1920" s="80" t="str">
        <f>REPLACE(INDEX(GroupVertices[Group],MATCH(Edges[[#This Row],[Vertex 2]],GroupVertices[Vertex],0)),1,1,"")</f>
        <v>1</v>
      </c>
      <c r="S1920" s="34"/>
      <c r="T1920" s="34"/>
      <c r="U1920" s="34"/>
      <c r="V1920" s="34"/>
      <c r="W1920" s="34"/>
      <c r="X1920" s="34"/>
      <c r="Y1920" s="34"/>
      <c r="Z1920" s="34"/>
      <c r="AA1920" s="34"/>
    </row>
    <row r="1921" spans="1:27" ht="15">
      <c r="A1921" s="66" t="s">
        <v>260</v>
      </c>
      <c r="B1921" s="66" t="s">
        <v>236</v>
      </c>
      <c r="C1921" s="67" t="s">
        <v>4454</v>
      </c>
      <c r="D1921" s="68">
        <v>5</v>
      </c>
      <c r="E1921" s="69"/>
      <c r="F1921" s="70">
        <v>20</v>
      </c>
      <c r="G1921" s="67"/>
      <c r="H1921" s="71"/>
      <c r="I1921" s="72"/>
      <c r="J1921" s="72"/>
      <c r="K1921" s="34" t="s">
        <v>65</v>
      </c>
      <c r="L1921" s="79">
        <v>1921</v>
      </c>
      <c r="M1921" s="79"/>
      <c r="N1921" s="74"/>
      <c r="O1921" s="81" t="s">
        <v>944</v>
      </c>
      <c r="P1921">
        <v>1</v>
      </c>
      <c r="Q1921" s="80" t="str">
        <f>REPLACE(INDEX(GroupVertices[Group],MATCH(Edges[[#This Row],[Vertex 1]],GroupVertices[Vertex],0)),1,1,"")</f>
        <v>2</v>
      </c>
      <c r="R1921" s="80" t="str">
        <f>REPLACE(INDEX(GroupVertices[Group],MATCH(Edges[[#This Row],[Vertex 2]],GroupVertices[Vertex],0)),1,1,"")</f>
        <v>1</v>
      </c>
      <c r="S1921" s="34"/>
      <c r="T1921" s="34"/>
      <c r="U1921" s="34"/>
      <c r="V1921" s="34"/>
      <c r="W1921" s="34"/>
      <c r="X1921" s="34"/>
      <c r="Y1921" s="34"/>
      <c r="Z1921" s="34"/>
      <c r="AA1921" s="34"/>
    </row>
    <row r="1922" spans="1:27" ht="15">
      <c r="A1922" s="66" t="s">
        <v>217</v>
      </c>
      <c r="B1922" s="66" t="s">
        <v>231</v>
      </c>
      <c r="C1922" s="67" t="s">
        <v>4454</v>
      </c>
      <c r="D1922" s="68">
        <v>5</v>
      </c>
      <c r="E1922" s="69"/>
      <c r="F1922" s="70">
        <v>20</v>
      </c>
      <c r="G1922" s="67"/>
      <c r="H1922" s="71"/>
      <c r="I1922" s="72"/>
      <c r="J1922" s="72"/>
      <c r="K1922" s="34" t="s">
        <v>66</v>
      </c>
      <c r="L1922" s="79">
        <v>1922</v>
      </c>
      <c r="M1922" s="79"/>
      <c r="N1922" s="74"/>
      <c r="O1922" s="81" t="s">
        <v>944</v>
      </c>
      <c r="P1922">
        <v>1</v>
      </c>
      <c r="Q1922" s="80" t="str">
        <f>REPLACE(INDEX(GroupVertices[Group],MATCH(Edges[[#This Row],[Vertex 1]],GroupVertices[Vertex],0)),1,1,"")</f>
        <v>4</v>
      </c>
      <c r="R1922" s="80" t="str">
        <f>REPLACE(INDEX(GroupVertices[Group],MATCH(Edges[[#This Row],[Vertex 2]],GroupVertices[Vertex],0)),1,1,"")</f>
        <v>1</v>
      </c>
      <c r="S1922" s="34"/>
      <c r="T1922" s="34"/>
      <c r="U1922" s="34"/>
      <c r="V1922" s="34"/>
      <c r="W1922" s="34"/>
      <c r="X1922" s="34"/>
      <c r="Y1922" s="34"/>
      <c r="Z1922" s="34"/>
      <c r="AA1922" s="34"/>
    </row>
    <row r="1923" spans="1:27" ht="15">
      <c r="A1923" s="66" t="s">
        <v>231</v>
      </c>
      <c r="B1923" s="66" t="s">
        <v>482</v>
      </c>
      <c r="C1923" s="67" t="s">
        <v>4454</v>
      </c>
      <c r="D1923" s="68">
        <v>5</v>
      </c>
      <c r="E1923" s="69"/>
      <c r="F1923" s="70">
        <v>20</v>
      </c>
      <c r="G1923" s="67"/>
      <c r="H1923" s="71"/>
      <c r="I1923" s="72"/>
      <c r="J1923" s="72"/>
      <c r="K1923" s="34" t="s">
        <v>65</v>
      </c>
      <c r="L1923" s="79">
        <v>1923</v>
      </c>
      <c r="M1923" s="79"/>
      <c r="N1923" s="74"/>
      <c r="O1923" s="81" t="s">
        <v>944</v>
      </c>
      <c r="P1923">
        <v>1</v>
      </c>
      <c r="Q1923" s="80" t="str">
        <f>REPLACE(INDEX(GroupVertices[Group],MATCH(Edges[[#This Row],[Vertex 1]],GroupVertices[Vertex],0)),1,1,"")</f>
        <v>1</v>
      </c>
      <c r="R1923" s="80" t="str">
        <f>REPLACE(INDEX(GroupVertices[Group],MATCH(Edges[[#This Row],[Vertex 2]],GroupVertices[Vertex],0)),1,1,"")</f>
        <v>1</v>
      </c>
      <c r="S1923" s="34"/>
      <c r="T1923" s="34"/>
      <c r="U1923" s="34"/>
      <c r="V1923" s="34"/>
      <c r="W1923" s="34"/>
      <c r="X1923" s="34"/>
      <c r="Y1923" s="34"/>
      <c r="Z1923" s="34"/>
      <c r="AA1923" s="34"/>
    </row>
    <row r="1924" spans="1:27" ht="15">
      <c r="A1924" s="66" t="s">
        <v>231</v>
      </c>
      <c r="B1924" s="66" t="s">
        <v>734</v>
      </c>
      <c r="C1924" s="67" t="s">
        <v>4454</v>
      </c>
      <c r="D1924" s="68">
        <v>5</v>
      </c>
      <c r="E1924" s="69"/>
      <c r="F1924" s="70">
        <v>20</v>
      </c>
      <c r="G1924" s="67"/>
      <c r="H1924" s="71"/>
      <c r="I1924" s="72"/>
      <c r="J1924" s="72"/>
      <c r="K1924" s="34" t="s">
        <v>65</v>
      </c>
      <c r="L1924" s="79">
        <v>1924</v>
      </c>
      <c r="M1924" s="79"/>
      <c r="N1924" s="74"/>
      <c r="O1924" s="81" t="s">
        <v>944</v>
      </c>
      <c r="P1924">
        <v>1</v>
      </c>
      <c r="Q1924" s="80" t="str">
        <f>REPLACE(INDEX(GroupVertices[Group],MATCH(Edges[[#This Row],[Vertex 1]],GroupVertices[Vertex],0)),1,1,"")</f>
        <v>1</v>
      </c>
      <c r="R1924" s="80" t="str">
        <f>REPLACE(INDEX(GroupVertices[Group],MATCH(Edges[[#This Row],[Vertex 2]],GroupVertices[Vertex],0)),1,1,"")</f>
        <v>1</v>
      </c>
      <c r="S1924" s="34"/>
      <c r="T1924" s="34"/>
      <c r="U1924" s="34"/>
      <c r="V1924" s="34"/>
      <c r="W1924" s="34"/>
      <c r="X1924" s="34"/>
      <c r="Y1924" s="34"/>
      <c r="Z1924" s="34"/>
      <c r="AA1924" s="34"/>
    </row>
    <row r="1925" spans="1:27" ht="15">
      <c r="A1925" s="66" t="s">
        <v>231</v>
      </c>
      <c r="B1925" s="66" t="s">
        <v>616</v>
      </c>
      <c r="C1925" s="67" t="s">
        <v>4454</v>
      </c>
      <c r="D1925" s="68">
        <v>5</v>
      </c>
      <c r="E1925" s="69"/>
      <c r="F1925" s="70">
        <v>20</v>
      </c>
      <c r="G1925" s="67"/>
      <c r="H1925" s="71"/>
      <c r="I1925" s="72"/>
      <c r="J1925" s="72"/>
      <c r="K1925" s="34" t="s">
        <v>65</v>
      </c>
      <c r="L1925" s="79">
        <v>1925</v>
      </c>
      <c r="M1925" s="79"/>
      <c r="N1925" s="74"/>
      <c r="O1925" s="81" t="s">
        <v>944</v>
      </c>
      <c r="P1925">
        <v>1</v>
      </c>
      <c r="Q1925" s="80" t="str">
        <f>REPLACE(INDEX(GroupVertices[Group],MATCH(Edges[[#This Row],[Vertex 1]],GroupVertices[Vertex],0)),1,1,"")</f>
        <v>1</v>
      </c>
      <c r="R1925" s="80" t="str">
        <f>REPLACE(INDEX(GroupVertices[Group],MATCH(Edges[[#This Row],[Vertex 2]],GroupVertices[Vertex],0)),1,1,"")</f>
        <v>1</v>
      </c>
      <c r="S1925" s="34"/>
      <c r="T1925" s="34"/>
      <c r="U1925" s="34"/>
      <c r="V1925" s="34"/>
      <c r="W1925" s="34"/>
      <c r="X1925" s="34"/>
      <c r="Y1925" s="34"/>
      <c r="Z1925" s="34"/>
      <c r="AA1925" s="34"/>
    </row>
    <row r="1926" spans="1:27" ht="15">
      <c r="A1926" s="66" t="s">
        <v>231</v>
      </c>
      <c r="B1926" s="66" t="s">
        <v>226</v>
      </c>
      <c r="C1926" s="67" t="s">
        <v>4454</v>
      </c>
      <c r="D1926" s="68">
        <v>5</v>
      </c>
      <c r="E1926" s="69"/>
      <c r="F1926" s="70">
        <v>20</v>
      </c>
      <c r="G1926" s="67"/>
      <c r="H1926" s="71"/>
      <c r="I1926" s="72"/>
      <c r="J1926" s="72"/>
      <c r="K1926" s="34" t="s">
        <v>65</v>
      </c>
      <c r="L1926" s="79">
        <v>1926</v>
      </c>
      <c r="M1926" s="79"/>
      <c r="N1926" s="74"/>
      <c r="O1926" s="81" t="s">
        <v>944</v>
      </c>
      <c r="P1926">
        <v>1</v>
      </c>
      <c r="Q1926" s="80" t="str">
        <f>REPLACE(INDEX(GroupVertices[Group],MATCH(Edges[[#This Row],[Vertex 1]],GroupVertices[Vertex],0)),1,1,"")</f>
        <v>1</v>
      </c>
      <c r="R1926" s="80" t="str">
        <f>REPLACE(INDEX(GroupVertices[Group],MATCH(Edges[[#This Row],[Vertex 2]],GroupVertices[Vertex],0)),1,1,"")</f>
        <v>4</v>
      </c>
      <c r="S1926" s="34"/>
      <c r="T1926" s="34"/>
      <c r="U1926" s="34"/>
      <c r="V1926" s="34"/>
      <c r="W1926" s="34"/>
      <c r="X1926" s="34"/>
      <c r="Y1926" s="34"/>
      <c r="Z1926" s="34"/>
      <c r="AA1926" s="34"/>
    </row>
    <row r="1927" spans="1:27" ht="15">
      <c r="A1927" s="66" t="s">
        <v>231</v>
      </c>
      <c r="B1927" s="66" t="s">
        <v>480</v>
      </c>
      <c r="C1927" s="67" t="s">
        <v>4454</v>
      </c>
      <c r="D1927" s="68">
        <v>5</v>
      </c>
      <c r="E1927" s="69"/>
      <c r="F1927" s="70">
        <v>20</v>
      </c>
      <c r="G1927" s="67"/>
      <c r="H1927" s="71"/>
      <c r="I1927" s="72"/>
      <c r="J1927" s="72"/>
      <c r="K1927" s="34" t="s">
        <v>65</v>
      </c>
      <c r="L1927" s="79">
        <v>1927</v>
      </c>
      <c r="M1927" s="79"/>
      <c r="N1927" s="74"/>
      <c r="O1927" s="81" t="s">
        <v>944</v>
      </c>
      <c r="P1927">
        <v>1</v>
      </c>
      <c r="Q1927" s="80" t="str">
        <f>REPLACE(INDEX(GroupVertices[Group],MATCH(Edges[[#This Row],[Vertex 1]],GroupVertices[Vertex],0)),1,1,"")</f>
        <v>1</v>
      </c>
      <c r="R1927" s="80" t="str">
        <f>REPLACE(INDEX(GroupVertices[Group],MATCH(Edges[[#This Row],[Vertex 2]],GroupVertices[Vertex],0)),1,1,"")</f>
        <v>1</v>
      </c>
      <c r="S1927" s="34"/>
      <c r="T1927" s="34"/>
      <c r="U1927" s="34"/>
      <c r="V1927" s="34"/>
      <c r="W1927" s="34"/>
      <c r="X1927" s="34"/>
      <c r="Y1927" s="34"/>
      <c r="Z1927" s="34"/>
      <c r="AA1927" s="34"/>
    </row>
    <row r="1928" spans="1:27" ht="15">
      <c r="A1928" s="66" t="s">
        <v>231</v>
      </c>
      <c r="B1928" s="66" t="s">
        <v>261</v>
      </c>
      <c r="C1928" s="67" t="s">
        <v>4454</v>
      </c>
      <c r="D1928" s="68">
        <v>5</v>
      </c>
      <c r="E1928" s="69"/>
      <c r="F1928" s="70">
        <v>20</v>
      </c>
      <c r="G1928" s="67"/>
      <c r="H1928" s="71"/>
      <c r="I1928" s="72"/>
      <c r="J1928" s="72"/>
      <c r="K1928" s="34" t="s">
        <v>65</v>
      </c>
      <c r="L1928" s="79">
        <v>1928</v>
      </c>
      <c r="M1928" s="79"/>
      <c r="N1928" s="74"/>
      <c r="O1928" s="81" t="s">
        <v>944</v>
      </c>
      <c r="P1928">
        <v>1</v>
      </c>
      <c r="Q1928" s="80" t="str">
        <f>REPLACE(INDEX(GroupVertices[Group],MATCH(Edges[[#This Row],[Vertex 1]],GroupVertices[Vertex],0)),1,1,"")</f>
        <v>1</v>
      </c>
      <c r="R1928" s="80" t="str">
        <f>REPLACE(INDEX(GroupVertices[Group],MATCH(Edges[[#This Row],[Vertex 2]],GroupVertices[Vertex],0)),1,1,"")</f>
        <v>1</v>
      </c>
      <c r="S1928" s="34"/>
      <c r="T1928" s="34"/>
      <c r="U1928" s="34"/>
      <c r="V1928" s="34"/>
      <c r="W1928" s="34"/>
      <c r="X1928" s="34"/>
      <c r="Y1928" s="34"/>
      <c r="Z1928" s="34"/>
      <c r="AA1928" s="34"/>
    </row>
    <row r="1929" spans="1:27" ht="15">
      <c r="A1929" s="66" t="s">
        <v>231</v>
      </c>
      <c r="B1929" s="66" t="s">
        <v>252</v>
      </c>
      <c r="C1929" s="67" t="s">
        <v>4454</v>
      </c>
      <c r="D1929" s="68">
        <v>5</v>
      </c>
      <c r="E1929" s="69"/>
      <c r="F1929" s="70">
        <v>20</v>
      </c>
      <c r="G1929" s="67"/>
      <c r="H1929" s="71"/>
      <c r="I1929" s="72"/>
      <c r="J1929" s="72"/>
      <c r="K1929" s="34" t="s">
        <v>66</v>
      </c>
      <c r="L1929" s="79">
        <v>1929</v>
      </c>
      <c r="M1929" s="79"/>
      <c r="N1929" s="74"/>
      <c r="O1929" s="81" t="s">
        <v>944</v>
      </c>
      <c r="P1929">
        <v>1</v>
      </c>
      <c r="Q1929" s="80" t="str">
        <f>REPLACE(INDEX(GroupVertices[Group],MATCH(Edges[[#This Row],[Vertex 1]],GroupVertices[Vertex],0)),1,1,"")</f>
        <v>1</v>
      </c>
      <c r="R1929" s="80" t="str">
        <f>REPLACE(INDEX(GroupVertices[Group],MATCH(Edges[[#This Row],[Vertex 2]],GroupVertices[Vertex],0)),1,1,"")</f>
        <v>1</v>
      </c>
      <c r="S1929" s="34"/>
      <c r="T1929" s="34"/>
      <c r="U1929" s="34"/>
      <c r="V1929" s="34"/>
      <c r="W1929" s="34"/>
      <c r="X1929" s="34"/>
      <c r="Y1929" s="34"/>
      <c r="Z1929" s="34"/>
      <c r="AA1929" s="34"/>
    </row>
    <row r="1930" spans="1:27" ht="15">
      <c r="A1930" s="66" t="s">
        <v>231</v>
      </c>
      <c r="B1930" s="66" t="s">
        <v>248</v>
      </c>
      <c r="C1930" s="67" t="s">
        <v>4454</v>
      </c>
      <c r="D1930" s="68">
        <v>5</v>
      </c>
      <c r="E1930" s="69"/>
      <c r="F1930" s="70">
        <v>20</v>
      </c>
      <c r="G1930" s="67"/>
      <c r="H1930" s="71"/>
      <c r="I1930" s="72"/>
      <c r="J1930" s="72"/>
      <c r="K1930" s="34" t="s">
        <v>65</v>
      </c>
      <c r="L1930" s="79">
        <v>1930</v>
      </c>
      <c r="M1930" s="79"/>
      <c r="N1930" s="74"/>
      <c r="O1930" s="81" t="s">
        <v>944</v>
      </c>
      <c r="P1930">
        <v>1</v>
      </c>
      <c r="Q1930" s="80" t="str">
        <f>REPLACE(INDEX(GroupVertices[Group],MATCH(Edges[[#This Row],[Vertex 1]],GroupVertices[Vertex],0)),1,1,"")</f>
        <v>1</v>
      </c>
      <c r="R1930" s="80" t="str">
        <f>REPLACE(INDEX(GroupVertices[Group],MATCH(Edges[[#This Row],[Vertex 2]],GroupVertices[Vertex],0)),1,1,"")</f>
        <v>1</v>
      </c>
      <c r="S1930" s="34"/>
      <c r="T1930" s="34"/>
      <c r="U1930" s="34"/>
      <c r="V1930" s="34"/>
      <c r="W1930" s="34"/>
      <c r="X1930" s="34"/>
      <c r="Y1930" s="34"/>
      <c r="Z1930" s="34"/>
      <c r="AA1930" s="34"/>
    </row>
    <row r="1931" spans="1:27" ht="15">
      <c r="A1931" s="66" t="s">
        <v>231</v>
      </c>
      <c r="B1931" s="66" t="s">
        <v>217</v>
      </c>
      <c r="C1931" s="67" t="s">
        <v>4454</v>
      </c>
      <c r="D1931" s="68">
        <v>5</v>
      </c>
      <c r="E1931" s="69"/>
      <c r="F1931" s="70">
        <v>20</v>
      </c>
      <c r="G1931" s="67"/>
      <c r="H1931" s="71"/>
      <c r="I1931" s="72"/>
      <c r="J1931" s="72"/>
      <c r="K1931" s="34" t="s">
        <v>66</v>
      </c>
      <c r="L1931" s="79">
        <v>1931</v>
      </c>
      <c r="M1931" s="79"/>
      <c r="N1931" s="74"/>
      <c r="O1931" s="81" t="s">
        <v>944</v>
      </c>
      <c r="P1931">
        <v>1</v>
      </c>
      <c r="Q1931" s="80" t="str">
        <f>REPLACE(INDEX(GroupVertices[Group],MATCH(Edges[[#This Row],[Vertex 1]],GroupVertices[Vertex],0)),1,1,"")</f>
        <v>1</v>
      </c>
      <c r="R1931" s="80" t="str">
        <f>REPLACE(INDEX(GroupVertices[Group],MATCH(Edges[[#This Row],[Vertex 2]],GroupVertices[Vertex],0)),1,1,"")</f>
        <v>4</v>
      </c>
      <c r="S1931" s="34"/>
      <c r="T1931" s="34"/>
      <c r="U1931" s="34"/>
      <c r="V1931" s="34"/>
      <c r="W1931" s="34"/>
      <c r="X1931" s="34"/>
      <c r="Y1931" s="34"/>
      <c r="Z1931" s="34"/>
      <c r="AA1931" s="34"/>
    </row>
    <row r="1932" spans="1:27" ht="15">
      <c r="A1932" s="66" t="s">
        <v>231</v>
      </c>
      <c r="B1932" s="66" t="s">
        <v>254</v>
      </c>
      <c r="C1932" s="67" t="s">
        <v>4454</v>
      </c>
      <c r="D1932" s="68">
        <v>5</v>
      </c>
      <c r="E1932" s="69"/>
      <c r="F1932" s="70">
        <v>20</v>
      </c>
      <c r="G1932" s="67"/>
      <c r="H1932" s="71"/>
      <c r="I1932" s="72"/>
      <c r="J1932" s="72"/>
      <c r="K1932" s="34" t="s">
        <v>65</v>
      </c>
      <c r="L1932" s="79">
        <v>1932</v>
      </c>
      <c r="M1932" s="79"/>
      <c r="N1932" s="74"/>
      <c r="O1932" s="81" t="s">
        <v>944</v>
      </c>
      <c r="P1932">
        <v>1</v>
      </c>
      <c r="Q1932" s="80" t="str">
        <f>REPLACE(INDEX(GroupVertices[Group],MATCH(Edges[[#This Row],[Vertex 1]],GroupVertices[Vertex],0)),1,1,"")</f>
        <v>1</v>
      </c>
      <c r="R1932" s="80" t="str">
        <f>REPLACE(INDEX(GroupVertices[Group],MATCH(Edges[[#This Row],[Vertex 2]],GroupVertices[Vertex],0)),1,1,"")</f>
        <v>3</v>
      </c>
      <c r="S1932" s="34"/>
      <c r="T1932" s="34"/>
      <c r="U1932" s="34"/>
      <c r="V1932" s="34"/>
      <c r="W1932" s="34"/>
      <c r="X1932" s="34"/>
      <c r="Y1932" s="34"/>
      <c r="Z1932" s="34"/>
      <c r="AA1932" s="34"/>
    </row>
    <row r="1933" spans="1:27" ht="15">
      <c r="A1933" s="66" t="s">
        <v>231</v>
      </c>
      <c r="B1933" s="66" t="s">
        <v>253</v>
      </c>
      <c r="C1933" s="67" t="s">
        <v>4454</v>
      </c>
      <c r="D1933" s="68">
        <v>5</v>
      </c>
      <c r="E1933" s="69"/>
      <c r="F1933" s="70">
        <v>20</v>
      </c>
      <c r="G1933" s="67"/>
      <c r="H1933" s="71"/>
      <c r="I1933" s="72"/>
      <c r="J1933" s="72"/>
      <c r="K1933" s="34" t="s">
        <v>66</v>
      </c>
      <c r="L1933" s="79">
        <v>1933</v>
      </c>
      <c r="M1933" s="79"/>
      <c r="N1933" s="74"/>
      <c r="O1933" s="81" t="s">
        <v>944</v>
      </c>
      <c r="P1933">
        <v>1</v>
      </c>
      <c r="Q1933" s="80" t="str">
        <f>REPLACE(INDEX(GroupVertices[Group],MATCH(Edges[[#This Row],[Vertex 1]],GroupVertices[Vertex],0)),1,1,"")</f>
        <v>1</v>
      </c>
      <c r="R1933" s="80" t="str">
        <f>REPLACE(INDEX(GroupVertices[Group],MATCH(Edges[[#This Row],[Vertex 2]],GroupVertices[Vertex],0)),1,1,"")</f>
        <v>1</v>
      </c>
      <c r="S1933" s="34"/>
      <c r="T1933" s="34"/>
      <c r="U1933" s="34"/>
      <c r="V1933" s="34"/>
      <c r="W1933" s="34"/>
      <c r="X1933" s="34"/>
      <c r="Y1933" s="34"/>
      <c r="Z1933" s="34"/>
      <c r="AA1933" s="34"/>
    </row>
    <row r="1934" spans="1:27" ht="15">
      <c r="A1934" s="66" t="s">
        <v>252</v>
      </c>
      <c r="B1934" s="66" t="s">
        <v>231</v>
      </c>
      <c r="C1934" s="67" t="s">
        <v>4454</v>
      </c>
      <c r="D1934" s="68">
        <v>5</v>
      </c>
      <c r="E1934" s="69"/>
      <c r="F1934" s="70">
        <v>20</v>
      </c>
      <c r="G1934" s="67"/>
      <c r="H1934" s="71"/>
      <c r="I1934" s="72"/>
      <c r="J1934" s="72"/>
      <c r="K1934" s="34" t="s">
        <v>66</v>
      </c>
      <c r="L1934" s="79">
        <v>1934</v>
      </c>
      <c r="M1934" s="79"/>
      <c r="N1934" s="74"/>
      <c r="O1934" s="81" t="s">
        <v>944</v>
      </c>
      <c r="P1934">
        <v>1</v>
      </c>
      <c r="Q1934" s="80" t="str">
        <f>REPLACE(INDEX(GroupVertices[Group],MATCH(Edges[[#This Row],[Vertex 1]],GroupVertices[Vertex],0)),1,1,"")</f>
        <v>1</v>
      </c>
      <c r="R1934" s="80" t="str">
        <f>REPLACE(INDEX(GroupVertices[Group],MATCH(Edges[[#This Row],[Vertex 2]],GroupVertices[Vertex],0)),1,1,"")</f>
        <v>1</v>
      </c>
      <c r="S1934" s="34"/>
      <c r="T1934" s="34"/>
      <c r="U1934" s="34"/>
      <c r="V1934" s="34"/>
      <c r="W1934" s="34"/>
      <c r="X1934" s="34"/>
      <c r="Y1934" s="34"/>
      <c r="Z1934" s="34"/>
      <c r="AA1934" s="34"/>
    </row>
    <row r="1935" spans="1:27" ht="15">
      <c r="A1935" s="66" t="s">
        <v>253</v>
      </c>
      <c r="B1935" s="66" t="s">
        <v>231</v>
      </c>
      <c r="C1935" s="67" t="s">
        <v>4454</v>
      </c>
      <c r="D1935" s="68">
        <v>5</v>
      </c>
      <c r="E1935" s="69"/>
      <c r="F1935" s="70">
        <v>20</v>
      </c>
      <c r="G1935" s="67"/>
      <c r="H1935" s="71"/>
      <c r="I1935" s="72"/>
      <c r="J1935" s="72"/>
      <c r="K1935" s="34" t="s">
        <v>66</v>
      </c>
      <c r="L1935" s="79">
        <v>1935</v>
      </c>
      <c r="M1935" s="79"/>
      <c r="N1935" s="74"/>
      <c r="O1935" s="81" t="s">
        <v>944</v>
      </c>
      <c r="P1935">
        <v>1</v>
      </c>
      <c r="Q1935" s="80" t="str">
        <f>REPLACE(INDEX(GroupVertices[Group],MATCH(Edges[[#This Row],[Vertex 1]],GroupVertices[Vertex],0)),1,1,"")</f>
        <v>1</v>
      </c>
      <c r="R1935" s="80" t="str">
        <f>REPLACE(INDEX(GroupVertices[Group],MATCH(Edges[[#This Row],[Vertex 2]],GroupVertices[Vertex],0)),1,1,"")</f>
        <v>1</v>
      </c>
      <c r="S1935" s="34"/>
      <c r="T1935" s="34"/>
      <c r="U1935" s="34"/>
      <c r="V1935" s="34"/>
      <c r="W1935" s="34"/>
      <c r="X1935" s="34"/>
      <c r="Y1935" s="34"/>
      <c r="Z1935" s="34"/>
      <c r="AA1935" s="34"/>
    </row>
    <row r="1936" spans="1:27" ht="15">
      <c r="A1936" s="66" t="s">
        <v>258</v>
      </c>
      <c r="B1936" s="66" t="s">
        <v>231</v>
      </c>
      <c r="C1936" s="67" t="s">
        <v>4454</v>
      </c>
      <c r="D1936" s="68">
        <v>5</v>
      </c>
      <c r="E1936" s="69"/>
      <c r="F1936" s="70">
        <v>20</v>
      </c>
      <c r="G1936" s="67"/>
      <c r="H1936" s="71"/>
      <c r="I1936" s="72"/>
      <c r="J1936" s="72"/>
      <c r="K1936" s="34" t="s">
        <v>65</v>
      </c>
      <c r="L1936" s="79">
        <v>1936</v>
      </c>
      <c r="M1936" s="79"/>
      <c r="N1936" s="74"/>
      <c r="O1936" s="81" t="s">
        <v>944</v>
      </c>
      <c r="P1936">
        <v>1</v>
      </c>
      <c r="Q1936" s="80" t="str">
        <f>REPLACE(INDEX(GroupVertices[Group],MATCH(Edges[[#This Row],[Vertex 1]],GroupVertices[Vertex],0)),1,1,"")</f>
        <v>1</v>
      </c>
      <c r="R1936" s="80" t="str">
        <f>REPLACE(INDEX(GroupVertices[Group],MATCH(Edges[[#This Row],[Vertex 2]],GroupVertices[Vertex],0)),1,1,"")</f>
        <v>1</v>
      </c>
      <c r="S1936" s="34"/>
      <c r="T1936" s="34"/>
      <c r="U1936" s="34"/>
      <c r="V1936" s="34"/>
      <c r="W1936" s="34"/>
      <c r="X1936" s="34"/>
      <c r="Y1936" s="34"/>
      <c r="Z1936" s="34"/>
      <c r="AA1936" s="34"/>
    </row>
    <row r="1937" spans="1:27" ht="15">
      <c r="A1937" s="66" t="s">
        <v>260</v>
      </c>
      <c r="B1937" s="66" t="s">
        <v>231</v>
      </c>
      <c r="C1937" s="67" t="s">
        <v>4454</v>
      </c>
      <c r="D1937" s="68">
        <v>5</v>
      </c>
      <c r="E1937" s="69"/>
      <c r="F1937" s="70">
        <v>20</v>
      </c>
      <c r="G1937" s="67"/>
      <c r="H1937" s="71"/>
      <c r="I1937" s="72"/>
      <c r="J1937" s="72"/>
      <c r="K1937" s="34" t="s">
        <v>65</v>
      </c>
      <c r="L1937" s="79">
        <v>1937</v>
      </c>
      <c r="M1937" s="79"/>
      <c r="N1937" s="74"/>
      <c r="O1937" s="81" t="s">
        <v>944</v>
      </c>
      <c r="P1937">
        <v>1</v>
      </c>
      <c r="Q1937" s="80" t="str">
        <f>REPLACE(INDEX(GroupVertices[Group],MATCH(Edges[[#This Row],[Vertex 1]],GroupVertices[Vertex],0)),1,1,"")</f>
        <v>2</v>
      </c>
      <c r="R1937" s="80" t="str">
        <f>REPLACE(INDEX(GroupVertices[Group],MATCH(Edges[[#This Row],[Vertex 2]],GroupVertices[Vertex],0)),1,1,"")</f>
        <v>1</v>
      </c>
      <c r="S1937" s="34"/>
      <c r="T1937" s="34"/>
      <c r="U1937" s="34"/>
      <c r="V1937" s="34"/>
      <c r="W1937" s="34"/>
      <c r="X1937" s="34"/>
      <c r="Y1937" s="34"/>
      <c r="Z1937" s="34"/>
      <c r="AA1937" s="34"/>
    </row>
    <row r="1938" spans="1:27" ht="15">
      <c r="A1938" s="66" t="s">
        <v>242</v>
      </c>
      <c r="B1938" s="66" t="s">
        <v>914</v>
      </c>
      <c r="C1938" s="67" t="s">
        <v>4454</v>
      </c>
      <c r="D1938" s="68">
        <v>5</v>
      </c>
      <c r="E1938" s="69"/>
      <c r="F1938" s="70">
        <v>20</v>
      </c>
      <c r="G1938" s="67"/>
      <c r="H1938" s="71"/>
      <c r="I1938" s="72"/>
      <c r="J1938" s="72"/>
      <c r="K1938" s="34" t="s">
        <v>65</v>
      </c>
      <c r="L1938" s="79">
        <v>1938</v>
      </c>
      <c r="M1938" s="79"/>
      <c r="N1938" s="74"/>
      <c r="O1938" s="81" t="s">
        <v>944</v>
      </c>
      <c r="P1938">
        <v>1</v>
      </c>
      <c r="Q1938" s="80" t="str">
        <f>REPLACE(INDEX(GroupVertices[Group],MATCH(Edges[[#This Row],[Vertex 1]],GroupVertices[Vertex],0)),1,1,"")</f>
        <v>1</v>
      </c>
      <c r="R1938" s="80" t="str">
        <f>REPLACE(INDEX(GroupVertices[Group],MATCH(Edges[[#This Row],[Vertex 2]],GroupVertices[Vertex],0)),1,1,"")</f>
        <v>1</v>
      </c>
      <c r="S1938" s="34"/>
      <c r="T1938" s="34"/>
      <c r="U1938" s="34"/>
      <c r="V1938" s="34"/>
      <c r="W1938" s="34"/>
      <c r="X1938" s="34"/>
      <c r="Y1938" s="34"/>
      <c r="Z1938" s="34"/>
      <c r="AA1938" s="34"/>
    </row>
    <row r="1939" spans="1:27" ht="15">
      <c r="A1939" s="66" t="s">
        <v>256</v>
      </c>
      <c r="B1939" s="66" t="s">
        <v>914</v>
      </c>
      <c r="C1939" s="67" t="s">
        <v>4454</v>
      </c>
      <c r="D1939" s="68">
        <v>5</v>
      </c>
      <c r="E1939" s="69"/>
      <c r="F1939" s="70">
        <v>20</v>
      </c>
      <c r="G1939" s="67"/>
      <c r="H1939" s="71"/>
      <c r="I1939" s="72"/>
      <c r="J1939" s="72"/>
      <c r="K1939" s="34" t="s">
        <v>65</v>
      </c>
      <c r="L1939" s="79">
        <v>1939</v>
      </c>
      <c r="M1939" s="79"/>
      <c r="N1939" s="74"/>
      <c r="O1939" s="81" t="s">
        <v>944</v>
      </c>
      <c r="P1939">
        <v>1</v>
      </c>
      <c r="Q1939" s="80" t="str">
        <f>REPLACE(INDEX(GroupVertices[Group],MATCH(Edges[[#This Row],[Vertex 1]],GroupVertices[Vertex],0)),1,1,"")</f>
        <v>1</v>
      </c>
      <c r="R1939" s="80" t="str">
        <f>REPLACE(INDEX(GroupVertices[Group],MATCH(Edges[[#This Row],[Vertex 2]],GroupVertices[Vertex],0)),1,1,"")</f>
        <v>1</v>
      </c>
      <c r="S1939" s="34"/>
      <c r="T1939" s="34"/>
      <c r="U1939" s="34"/>
      <c r="V1939" s="34"/>
      <c r="W1939" s="34"/>
      <c r="X1939" s="34"/>
      <c r="Y1939" s="34"/>
      <c r="Z1939" s="34"/>
      <c r="AA1939" s="34"/>
    </row>
    <row r="1940" spans="1:27" ht="15">
      <c r="A1940" s="66" t="s">
        <v>258</v>
      </c>
      <c r="B1940" s="66" t="s">
        <v>914</v>
      </c>
      <c r="C1940" s="67" t="s">
        <v>4454</v>
      </c>
      <c r="D1940" s="68">
        <v>5</v>
      </c>
      <c r="E1940" s="69"/>
      <c r="F1940" s="70">
        <v>20</v>
      </c>
      <c r="G1940" s="67"/>
      <c r="H1940" s="71"/>
      <c r="I1940" s="72"/>
      <c r="J1940" s="72"/>
      <c r="K1940" s="34" t="s">
        <v>65</v>
      </c>
      <c r="L1940" s="79">
        <v>1940</v>
      </c>
      <c r="M1940" s="79"/>
      <c r="N1940" s="74"/>
      <c r="O1940" s="81" t="s">
        <v>944</v>
      </c>
      <c r="P1940">
        <v>1</v>
      </c>
      <c r="Q1940" s="80" t="str">
        <f>REPLACE(INDEX(GroupVertices[Group],MATCH(Edges[[#This Row],[Vertex 1]],GroupVertices[Vertex],0)),1,1,"")</f>
        <v>1</v>
      </c>
      <c r="R1940" s="80" t="str">
        <f>REPLACE(INDEX(GroupVertices[Group],MATCH(Edges[[#This Row],[Vertex 2]],GroupVertices[Vertex],0)),1,1,"")</f>
        <v>1</v>
      </c>
      <c r="S1940" s="34"/>
      <c r="T1940" s="34"/>
      <c r="U1940" s="34"/>
      <c r="V1940" s="34"/>
      <c r="W1940" s="34"/>
      <c r="X1940" s="34"/>
      <c r="Y1940" s="34"/>
      <c r="Z1940" s="34"/>
      <c r="AA1940" s="34"/>
    </row>
    <row r="1941" spans="1:27" ht="15">
      <c r="A1941" s="66" t="s">
        <v>260</v>
      </c>
      <c r="B1941" s="66" t="s">
        <v>914</v>
      </c>
      <c r="C1941" s="67" t="s">
        <v>4454</v>
      </c>
      <c r="D1941" s="68">
        <v>5</v>
      </c>
      <c r="E1941" s="69"/>
      <c r="F1941" s="70">
        <v>20</v>
      </c>
      <c r="G1941" s="67"/>
      <c r="H1941" s="71"/>
      <c r="I1941" s="72"/>
      <c r="J1941" s="72"/>
      <c r="K1941" s="34" t="s">
        <v>65</v>
      </c>
      <c r="L1941" s="79">
        <v>1941</v>
      </c>
      <c r="M1941" s="79"/>
      <c r="N1941" s="74"/>
      <c r="O1941" s="81" t="s">
        <v>944</v>
      </c>
      <c r="P1941">
        <v>1</v>
      </c>
      <c r="Q1941" s="80" t="str">
        <f>REPLACE(INDEX(GroupVertices[Group],MATCH(Edges[[#This Row],[Vertex 1]],GroupVertices[Vertex],0)),1,1,"")</f>
        <v>2</v>
      </c>
      <c r="R1941" s="80" t="str">
        <f>REPLACE(INDEX(GroupVertices[Group],MATCH(Edges[[#This Row],[Vertex 2]],GroupVertices[Vertex],0)),1,1,"")</f>
        <v>1</v>
      </c>
      <c r="S1941" s="34"/>
      <c r="T1941" s="34"/>
      <c r="U1941" s="34"/>
      <c r="V1941" s="34"/>
      <c r="W1941" s="34"/>
      <c r="X1941" s="34"/>
      <c r="Y1941" s="34"/>
      <c r="Z1941" s="34"/>
      <c r="AA1941" s="34"/>
    </row>
    <row r="1942" spans="1:27" ht="15">
      <c r="A1942" s="66" t="s">
        <v>256</v>
      </c>
      <c r="B1942" s="66" t="s">
        <v>915</v>
      </c>
      <c r="C1942" s="67" t="s">
        <v>4454</v>
      </c>
      <c r="D1942" s="68">
        <v>5</v>
      </c>
      <c r="E1942" s="69"/>
      <c r="F1942" s="70">
        <v>20</v>
      </c>
      <c r="G1942" s="67"/>
      <c r="H1942" s="71"/>
      <c r="I1942" s="72"/>
      <c r="J1942" s="72"/>
      <c r="K1942" s="34" t="s">
        <v>65</v>
      </c>
      <c r="L1942" s="79">
        <v>1942</v>
      </c>
      <c r="M1942" s="79"/>
      <c r="N1942" s="74"/>
      <c r="O1942" s="81" t="s">
        <v>944</v>
      </c>
      <c r="P1942">
        <v>1</v>
      </c>
      <c r="Q1942" s="80" t="str">
        <f>REPLACE(INDEX(GroupVertices[Group],MATCH(Edges[[#This Row],[Vertex 1]],GroupVertices[Vertex],0)),1,1,"")</f>
        <v>1</v>
      </c>
      <c r="R1942" s="80" t="str">
        <f>REPLACE(INDEX(GroupVertices[Group],MATCH(Edges[[#This Row],[Vertex 2]],GroupVertices[Vertex],0)),1,1,"")</f>
        <v>1</v>
      </c>
      <c r="S1942" s="34"/>
      <c r="T1942" s="34"/>
      <c r="U1942" s="34"/>
      <c r="V1942" s="34"/>
      <c r="W1942" s="34"/>
      <c r="X1942" s="34"/>
      <c r="Y1942" s="34"/>
      <c r="Z1942" s="34"/>
      <c r="AA1942" s="34"/>
    </row>
    <row r="1943" spans="1:27" ht="15">
      <c r="A1943" s="66" t="s">
        <v>258</v>
      </c>
      <c r="B1943" s="66" t="s">
        <v>915</v>
      </c>
      <c r="C1943" s="67" t="s">
        <v>4454</v>
      </c>
      <c r="D1943" s="68">
        <v>5</v>
      </c>
      <c r="E1943" s="69"/>
      <c r="F1943" s="70">
        <v>20</v>
      </c>
      <c r="G1943" s="67"/>
      <c r="H1943" s="71"/>
      <c r="I1943" s="72"/>
      <c r="J1943" s="72"/>
      <c r="K1943" s="34" t="s">
        <v>65</v>
      </c>
      <c r="L1943" s="79">
        <v>1943</v>
      </c>
      <c r="M1943" s="79"/>
      <c r="N1943" s="74"/>
      <c r="O1943" s="81" t="s">
        <v>944</v>
      </c>
      <c r="P1943">
        <v>1</v>
      </c>
      <c r="Q1943" s="80" t="str">
        <f>REPLACE(INDEX(GroupVertices[Group],MATCH(Edges[[#This Row],[Vertex 1]],GroupVertices[Vertex],0)),1,1,"")</f>
        <v>1</v>
      </c>
      <c r="R1943" s="80" t="str">
        <f>REPLACE(INDEX(GroupVertices[Group],MATCH(Edges[[#This Row],[Vertex 2]],GroupVertices[Vertex],0)),1,1,"")</f>
        <v>1</v>
      </c>
      <c r="S1943" s="34"/>
      <c r="T1943" s="34"/>
      <c r="U1943" s="34"/>
      <c r="V1943" s="34"/>
      <c r="W1943" s="34"/>
      <c r="X1943" s="34"/>
      <c r="Y1943" s="34"/>
      <c r="Z1943" s="34"/>
      <c r="AA1943" s="34"/>
    </row>
    <row r="1944" spans="1:27" ht="15">
      <c r="A1944" s="66" t="s">
        <v>260</v>
      </c>
      <c r="B1944" s="66" t="s">
        <v>915</v>
      </c>
      <c r="C1944" s="67" t="s">
        <v>4454</v>
      </c>
      <c r="D1944" s="68">
        <v>5</v>
      </c>
      <c r="E1944" s="69"/>
      <c r="F1944" s="70">
        <v>20</v>
      </c>
      <c r="G1944" s="67"/>
      <c r="H1944" s="71"/>
      <c r="I1944" s="72"/>
      <c r="J1944" s="72"/>
      <c r="K1944" s="34" t="s">
        <v>65</v>
      </c>
      <c r="L1944" s="79">
        <v>1944</v>
      </c>
      <c r="M1944" s="79"/>
      <c r="N1944" s="74"/>
      <c r="O1944" s="81" t="s">
        <v>944</v>
      </c>
      <c r="P1944">
        <v>1</v>
      </c>
      <c r="Q1944" s="80" t="str">
        <f>REPLACE(INDEX(GroupVertices[Group],MATCH(Edges[[#This Row],[Vertex 1]],GroupVertices[Vertex],0)),1,1,"")</f>
        <v>2</v>
      </c>
      <c r="R1944" s="80" t="str">
        <f>REPLACE(INDEX(GroupVertices[Group],MATCH(Edges[[#This Row],[Vertex 2]],GroupVertices[Vertex],0)),1,1,"")</f>
        <v>1</v>
      </c>
      <c r="S1944" s="34"/>
      <c r="T1944" s="34"/>
      <c r="U1944" s="34"/>
      <c r="V1944" s="34"/>
      <c r="W1944" s="34"/>
      <c r="X1944" s="34"/>
      <c r="Y1944" s="34"/>
      <c r="Z1944" s="34"/>
      <c r="AA1944" s="34"/>
    </row>
    <row r="1945" spans="1:27" ht="15">
      <c r="A1945" s="66" t="s">
        <v>260</v>
      </c>
      <c r="B1945" s="66" t="s">
        <v>916</v>
      </c>
      <c r="C1945" s="67" t="s">
        <v>4454</v>
      </c>
      <c r="D1945" s="68">
        <v>5</v>
      </c>
      <c r="E1945" s="69"/>
      <c r="F1945" s="70">
        <v>20</v>
      </c>
      <c r="G1945" s="67"/>
      <c r="H1945" s="71"/>
      <c r="I1945" s="72"/>
      <c r="J1945" s="72"/>
      <c r="K1945" s="34"/>
      <c r="L1945" s="79">
        <v>1945</v>
      </c>
      <c r="M1945" s="79"/>
      <c r="N1945" s="74"/>
      <c r="O1945" s="81" t="s">
        <v>944</v>
      </c>
      <c r="P1945">
        <v>1</v>
      </c>
      <c r="Q1945" s="80" t="str">
        <f>REPLACE(INDEX(GroupVertices[Group],MATCH(Edges[[#This Row],[Vertex 1]],GroupVertices[Vertex],0)),1,1,"")</f>
        <v>2</v>
      </c>
      <c r="R1945" s="80" t="e">
        <f>REPLACE(INDEX(GroupVertices[Group],MATCH(Edges[[#This Row],[Vertex 2]],GroupVertices[Vertex],0)),1,1,"")</f>
        <v>#N/A</v>
      </c>
      <c r="S1945" s="34"/>
      <c r="T1945" s="34"/>
      <c r="U1945" s="34"/>
      <c r="V1945" s="34"/>
      <c r="W1945" s="34"/>
      <c r="X1945" s="34"/>
      <c r="Y1945" s="34"/>
      <c r="Z1945" s="34"/>
      <c r="AA1945" s="34"/>
    </row>
    <row r="1946" spans="1:27" ht="15">
      <c r="A1946" s="66" t="s">
        <v>259</v>
      </c>
      <c r="B1946" s="66" t="s">
        <v>917</v>
      </c>
      <c r="C1946" s="67" t="s">
        <v>4454</v>
      </c>
      <c r="D1946" s="68">
        <v>5</v>
      </c>
      <c r="E1946" s="69"/>
      <c r="F1946" s="70">
        <v>20</v>
      </c>
      <c r="G1946" s="67"/>
      <c r="H1946" s="71"/>
      <c r="I1946" s="72"/>
      <c r="J1946" s="72"/>
      <c r="K1946" s="34" t="s">
        <v>65</v>
      </c>
      <c r="L1946" s="79">
        <v>1946</v>
      </c>
      <c r="M1946" s="79"/>
      <c r="N1946" s="74"/>
      <c r="O1946" s="81" t="s">
        <v>944</v>
      </c>
      <c r="P1946">
        <v>1</v>
      </c>
      <c r="Q1946" s="80" t="str">
        <f>REPLACE(INDEX(GroupVertices[Group],MATCH(Edges[[#This Row],[Vertex 1]],GroupVertices[Vertex],0)),1,1,"")</f>
        <v>2</v>
      </c>
      <c r="R1946" s="80" t="str">
        <f>REPLACE(INDEX(GroupVertices[Group],MATCH(Edges[[#This Row],[Vertex 2]],GroupVertices[Vertex],0)),1,1,"")</f>
        <v>2</v>
      </c>
      <c r="S1946" s="34"/>
      <c r="T1946" s="34"/>
      <c r="U1946" s="34"/>
      <c r="V1946" s="34"/>
      <c r="W1946" s="34"/>
      <c r="X1946" s="34"/>
      <c r="Y1946" s="34"/>
      <c r="Z1946" s="34"/>
      <c r="AA1946" s="34"/>
    </row>
    <row r="1947" spans="1:27" ht="15">
      <c r="A1947" s="66" t="s">
        <v>260</v>
      </c>
      <c r="B1947" s="66" t="s">
        <v>917</v>
      </c>
      <c r="C1947" s="67" t="s">
        <v>4454</v>
      </c>
      <c r="D1947" s="68">
        <v>5</v>
      </c>
      <c r="E1947" s="69"/>
      <c r="F1947" s="70">
        <v>20</v>
      </c>
      <c r="G1947" s="67"/>
      <c r="H1947" s="71"/>
      <c r="I1947" s="72"/>
      <c r="J1947" s="72"/>
      <c r="K1947" s="34" t="s">
        <v>65</v>
      </c>
      <c r="L1947" s="79">
        <v>1947</v>
      </c>
      <c r="M1947" s="79"/>
      <c r="N1947" s="74"/>
      <c r="O1947" s="81" t="s">
        <v>944</v>
      </c>
      <c r="P1947">
        <v>1</v>
      </c>
      <c r="Q1947" s="80" t="str">
        <f>REPLACE(INDEX(GroupVertices[Group],MATCH(Edges[[#This Row],[Vertex 1]],GroupVertices[Vertex],0)),1,1,"")</f>
        <v>2</v>
      </c>
      <c r="R1947" s="80" t="str">
        <f>REPLACE(INDEX(GroupVertices[Group],MATCH(Edges[[#This Row],[Vertex 2]],GroupVertices[Vertex],0)),1,1,"")</f>
        <v>2</v>
      </c>
      <c r="S1947" s="34"/>
      <c r="T1947" s="34"/>
      <c r="U1947" s="34"/>
      <c r="V1947" s="34"/>
      <c r="W1947" s="34"/>
      <c r="X1947" s="34"/>
      <c r="Y1947" s="34"/>
      <c r="Z1947" s="34"/>
      <c r="AA1947" s="34"/>
    </row>
    <row r="1948" spans="1:27" ht="15">
      <c r="A1948" s="66" t="s">
        <v>220</v>
      </c>
      <c r="B1948" s="66" t="s">
        <v>247</v>
      </c>
      <c r="C1948" s="67" t="s">
        <v>4454</v>
      </c>
      <c r="D1948" s="68">
        <v>5</v>
      </c>
      <c r="E1948" s="69"/>
      <c r="F1948" s="70">
        <v>20</v>
      </c>
      <c r="G1948" s="67"/>
      <c r="H1948" s="71"/>
      <c r="I1948" s="72"/>
      <c r="J1948" s="72"/>
      <c r="K1948" s="34" t="s">
        <v>65</v>
      </c>
      <c r="L1948" s="79">
        <v>1948</v>
      </c>
      <c r="M1948" s="79"/>
      <c r="N1948" s="74"/>
      <c r="O1948" s="81" t="s">
        <v>944</v>
      </c>
      <c r="P1948">
        <v>1</v>
      </c>
      <c r="Q1948" s="80" t="str">
        <f>REPLACE(INDEX(GroupVertices[Group],MATCH(Edges[[#This Row],[Vertex 1]],GroupVertices[Vertex],0)),1,1,"")</f>
        <v>2</v>
      </c>
      <c r="R1948" s="80" t="str">
        <f>REPLACE(INDEX(GroupVertices[Group],MATCH(Edges[[#This Row],[Vertex 2]],GroupVertices[Vertex],0)),1,1,"")</f>
        <v>2</v>
      </c>
      <c r="S1948" s="34"/>
      <c r="T1948" s="34"/>
      <c r="U1948" s="34"/>
      <c r="V1948" s="34"/>
      <c r="W1948" s="34"/>
      <c r="X1948" s="34"/>
      <c r="Y1948" s="34"/>
      <c r="Z1948" s="34"/>
      <c r="AA1948" s="34"/>
    </row>
    <row r="1949" spans="1:27" ht="15">
      <c r="A1949" s="66" t="s">
        <v>224</v>
      </c>
      <c r="B1949" s="66" t="s">
        <v>247</v>
      </c>
      <c r="C1949" s="67" t="s">
        <v>4454</v>
      </c>
      <c r="D1949" s="68">
        <v>5</v>
      </c>
      <c r="E1949" s="69"/>
      <c r="F1949" s="70">
        <v>20</v>
      </c>
      <c r="G1949" s="67"/>
      <c r="H1949" s="71"/>
      <c r="I1949" s="72"/>
      <c r="J1949" s="72"/>
      <c r="K1949" s="34" t="s">
        <v>66</v>
      </c>
      <c r="L1949" s="79">
        <v>1949</v>
      </c>
      <c r="M1949" s="79"/>
      <c r="N1949" s="74"/>
      <c r="O1949" s="81" t="s">
        <v>944</v>
      </c>
      <c r="P1949">
        <v>1</v>
      </c>
      <c r="Q1949" s="80" t="str">
        <f>REPLACE(INDEX(GroupVertices[Group],MATCH(Edges[[#This Row],[Vertex 1]],GroupVertices[Vertex],0)),1,1,"")</f>
        <v>2</v>
      </c>
      <c r="R1949" s="80" t="str">
        <f>REPLACE(INDEX(GroupVertices[Group],MATCH(Edges[[#This Row],[Vertex 2]],GroupVertices[Vertex],0)),1,1,"")</f>
        <v>2</v>
      </c>
      <c r="S1949" s="34"/>
      <c r="T1949" s="34"/>
      <c r="U1949" s="34"/>
      <c r="V1949" s="34"/>
      <c r="W1949" s="34"/>
      <c r="X1949" s="34"/>
      <c r="Y1949" s="34"/>
      <c r="Z1949" s="34"/>
      <c r="AA1949" s="34"/>
    </row>
    <row r="1950" spans="1:27" ht="15">
      <c r="A1950" s="66" t="s">
        <v>233</v>
      </c>
      <c r="B1950" s="66" t="s">
        <v>247</v>
      </c>
      <c r="C1950" s="67" t="s">
        <v>4454</v>
      </c>
      <c r="D1950" s="68">
        <v>5</v>
      </c>
      <c r="E1950" s="69"/>
      <c r="F1950" s="70">
        <v>20</v>
      </c>
      <c r="G1950" s="67"/>
      <c r="H1950" s="71"/>
      <c r="I1950" s="72"/>
      <c r="J1950" s="72"/>
      <c r="K1950" s="34" t="s">
        <v>66</v>
      </c>
      <c r="L1950" s="79">
        <v>1950</v>
      </c>
      <c r="M1950" s="79"/>
      <c r="N1950" s="74"/>
      <c r="O1950" s="81" t="s">
        <v>944</v>
      </c>
      <c r="P1950">
        <v>1</v>
      </c>
      <c r="Q1950" s="80" t="str">
        <f>REPLACE(INDEX(GroupVertices[Group],MATCH(Edges[[#This Row],[Vertex 1]],GroupVertices[Vertex],0)),1,1,"")</f>
        <v>2</v>
      </c>
      <c r="R1950" s="80" t="str">
        <f>REPLACE(INDEX(GroupVertices[Group],MATCH(Edges[[#This Row],[Vertex 2]],GroupVertices[Vertex],0)),1,1,"")</f>
        <v>2</v>
      </c>
      <c r="S1950" s="34"/>
      <c r="T1950" s="34"/>
      <c r="U1950" s="34"/>
      <c r="V1950" s="34"/>
      <c r="W1950" s="34"/>
      <c r="X1950" s="34"/>
      <c r="Y1950" s="34"/>
      <c r="Z1950" s="34"/>
      <c r="AA1950" s="34"/>
    </row>
    <row r="1951" spans="1:27" ht="15">
      <c r="A1951" s="66" t="s">
        <v>238</v>
      </c>
      <c r="B1951" s="66" t="s">
        <v>247</v>
      </c>
      <c r="C1951" s="67" t="s">
        <v>4454</v>
      </c>
      <c r="D1951" s="68">
        <v>5</v>
      </c>
      <c r="E1951" s="69"/>
      <c r="F1951" s="70">
        <v>20</v>
      </c>
      <c r="G1951" s="67"/>
      <c r="H1951" s="71"/>
      <c r="I1951" s="72"/>
      <c r="J1951" s="72"/>
      <c r="K1951" s="34" t="s">
        <v>66</v>
      </c>
      <c r="L1951" s="79">
        <v>1951</v>
      </c>
      <c r="M1951" s="79"/>
      <c r="N1951" s="74"/>
      <c r="O1951" s="81" t="s">
        <v>944</v>
      </c>
      <c r="P1951">
        <v>1</v>
      </c>
      <c r="Q1951" s="80" t="str">
        <f>REPLACE(INDEX(GroupVertices[Group],MATCH(Edges[[#This Row],[Vertex 1]],GroupVertices[Vertex],0)),1,1,"")</f>
        <v>2</v>
      </c>
      <c r="R1951" s="80" t="str">
        <f>REPLACE(INDEX(GroupVertices[Group],MATCH(Edges[[#This Row],[Vertex 2]],GroupVertices[Vertex],0)),1,1,"")</f>
        <v>2</v>
      </c>
      <c r="S1951" s="34"/>
      <c r="T1951" s="34"/>
      <c r="U1951" s="34"/>
      <c r="V1951" s="34"/>
      <c r="W1951" s="34"/>
      <c r="X1951" s="34"/>
      <c r="Y1951" s="34"/>
      <c r="Z1951" s="34"/>
      <c r="AA1951" s="34"/>
    </row>
    <row r="1952" spans="1:27" ht="15">
      <c r="A1952" s="66" t="s">
        <v>242</v>
      </c>
      <c r="B1952" s="66" t="s">
        <v>247</v>
      </c>
      <c r="C1952" s="67" t="s">
        <v>4454</v>
      </c>
      <c r="D1952" s="68">
        <v>5</v>
      </c>
      <c r="E1952" s="69"/>
      <c r="F1952" s="70">
        <v>20</v>
      </c>
      <c r="G1952" s="67"/>
      <c r="H1952" s="71"/>
      <c r="I1952" s="72"/>
      <c r="J1952" s="72"/>
      <c r="K1952" s="34" t="s">
        <v>65</v>
      </c>
      <c r="L1952" s="79">
        <v>1952</v>
      </c>
      <c r="M1952" s="79"/>
      <c r="N1952" s="74"/>
      <c r="O1952" s="81" t="s">
        <v>944</v>
      </c>
      <c r="P1952">
        <v>1</v>
      </c>
      <c r="Q1952" s="80" t="str">
        <f>REPLACE(INDEX(GroupVertices[Group],MATCH(Edges[[#This Row],[Vertex 1]],GroupVertices[Vertex],0)),1,1,"")</f>
        <v>1</v>
      </c>
      <c r="R1952" s="80" t="str">
        <f>REPLACE(INDEX(GroupVertices[Group],MATCH(Edges[[#This Row],[Vertex 2]],GroupVertices[Vertex],0)),1,1,"")</f>
        <v>2</v>
      </c>
      <c r="S1952" s="34"/>
      <c r="T1952" s="34"/>
      <c r="U1952" s="34"/>
      <c r="V1952" s="34"/>
      <c r="W1952" s="34"/>
      <c r="X1952" s="34"/>
      <c r="Y1952" s="34"/>
      <c r="Z1952" s="34"/>
      <c r="AA1952" s="34"/>
    </row>
    <row r="1953" spans="1:27" ht="15">
      <c r="A1953" s="66" t="s">
        <v>246</v>
      </c>
      <c r="B1953" s="66" t="s">
        <v>247</v>
      </c>
      <c r="C1953" s="67" t="s">
        <v>4454</v>
      </c>
      <c r="D1953" s="68">
        <v>5</v>
      </c>
      <c r="E1953" s="69"/>
      <c r="F1953" s="70">
        <v>20</v>
      </c>
      <c r="G1953" s="67"/>
      <c r="H1953" s="71"/>
      <c r="I1953" s="72"/>
      <c r="J1953" s="72"/>
      <c r="K1953" s="34" t="s">
        <v>66</v>
      </c>
      <c r="L1953" s="79">
        <v>1953</v>
      </c>
      <c r="M1953" s="79"/>
      <c r="N1953" s="74"/>
      <c r="O1953" s="81" t="s">
        <v>944</v>
      </c>
      <c r="P1953">
        <v>1</v>
      </c>
      <c r="Q1953" s="80" t="str">
        <f>REPLACE(INDEX(GroupVertices[Group],MATCH(Edges[[#This Row],[Vertex 1]],GroupVertices[Vertex],0)),1,1,"")</f>
        <v>2</v>
      </c>
      <c r="R1953" s="80" t="str">
        <f>REPLACE(INDEX(GroupVertices[Group],MATCH(Edges[[#This Row],[Vertex 2]],GroupVertices[Vertex],0)),1,1,"")</f>
        <v>2</v>
      </c>
      <c r="S1953" s="34"/>
      <c r="T1953" s="34"/>
      <c r="U1953" s="34"/>
      <c r="V1953" s="34"/>
      <c r="W1953" s="34"/>
      <c r="X1953" s="34"/>
      <c r="Y1953" s="34"/>
      <c r="Z1953" s="34"/>
      <c r="AA1953" s="34"/>
    </row>
    <row r="1954" spans="1:27" ht="15">
      <c r="A1954" s="66" t="s">
        <v>247</v>
      </c>
      <c r="B1954" s="66" t="s">
        <v>256</v>
      </c>
      <c r="C1954" s="67" t="s">
        <v>4454</v>
      </c>
      <c r="D1954" s="68">
        <v>5</v>
      </c>
      <c r="E1954" s="69"/>
      <c r="F1954" s="70">
        <v>20</v>
      </c>
      <c r="G1954" s="67"/>
      <c r="H1954" s="71"/>
      <c r="I1954" s="72"/>
      <c r="J1954" s="72"/>
      <c r="K1954" s="34" t="s">
        <v>66</v>
      </c>
      <c r="L1954" s="79">
        <v>1954</v>
      </c>
      <c r="M1954" s="79"/>
      <c r="N1954" s="74"/>
      <c r="O1954" s="81" t="s">
        <v>944</v>
      </c>
      <c r="P1954">
        <v>1</v>
      </c>
      <c r="Q1954" s="80" t="str">
        <f>REPLACE(INDEX(GroupVertices[Group],MATCH(Edges[[#This Row],[Vertex 1]],GroupVertices[Vertex],0)),1,1,"")</f>
        <v>2</v>
      </c>
      <c r="R1954" s="80" t="str">
        <f>REPLACE(INDEX(GroupVertices[Group],MATCH(Edges[[#This Row],[Vertex 2]],GroupVertices[Vertex],0)),1,1,"")</f>
        <v>1</v>
      </c>
      <c r="S1954" s="34"/>
      <c r="T1954" s="34"/>
      <c r="U1954" s="34"/>
      <c r="V1954" s="34"/>
      <c r="W1954" s="34"/>
      <c r="X1954" s="34"/>
      <c r="Y1954" s="34"/>
      <c r="Z1954" s="34"/>
      <c r="AA1954" s="34"/>
    </row>
    <row r="1955" spans="1:27" ht="15">
      <c r="A1955" s="66" t="s">
        <v>247</v>
      </c>
      <c r="B1955" s="66" t="s">
        <v>602</v>
      </c>
      <c r="C1955" s="67" t="s">
        <v>4454</v>
      </c>
      <c r="D1955" s="68">
        <v>5</v>
      </c>
      <c r="E1955" s="69"/>
      <c r="F1955" s="70">
        <v>20</v>
      </c>
      <c r="G1955" s="67"/>
      <c r="H1955" s="71"/>
      <c r="I1955" s="72"/>
      <c r="J1955" s="72"/>
      <c r="K1955" s="34" t="s">
        <v>65</v>
      </c>
      <c r="L1955" s="79">
        <v>1955</v>
      </c>
      <c r="M1955" s="79"/>
      <c r="N1955" s="74"/>
      <c r="O1955" s="81" t="s">
        <v>944</v>
      </c>
      <c r="P1955">
        <v>1</v>
      </c>
      <c r="Q1955" s="80" t="str">
        <f>REPLACE(INDEX(GroupVertices[Group],MATCH(Edges[[#This Row],[Vertex 1]],GroupVertices[Vertex],0)),1,1,"")</f>
        <v>2</v>
      </c>
      <c r="R1955" s="80" t="str">
        <f>REPLACE(INDEX(GroupVertices[Group],MATCH(Edges[[#This Row],[Vertex 2]],GroupVertices[Vertex],0)),1,1,"")</f>
        <v>2</v>
      </c>
      <c r="S1955" s="34"/>
      <c r="T1955" s="34"/>
      <c r="U1955" s="34"/>
      <c r="V1955" s="34"/>
      <c r="W1955" s="34"/>
      <c r="X1955" s="34"/>
      <c r="Y1955" s="34"/>
      <c r="Z1955" s="34"/>
      <c r="AA1955" s="34"/>
    </row>
    <row r="1956" spans="1:27" ht="15">
      <c r="A1956" s="66" t="s">
        <v>247</v>
      </c>
      <c r="B1956" s="66" t="s">
        <v>258</v>
      </c>
      <c r="C1956" s="67" t="s">
        <v>4454</v>
      </c>
      <c r="D1956" s="68">
        <v>5</v>
      </c>
      <c r="E1956" s="69"/>
      <c r="F1956" s="70">
        <v>20</v>
      </c>
      <c r="G1956" s="67"/>
      <c r="H1956" s="71"/>
      <c r="I1956" s="72"/>
      <c r="J1956" s="72"/>
      <c r="K1956" s="34" t="s">
        <v>66</v>
      </c>
      <c r="L1956" s="79">
        <v>1956</v>
      </c>
      <c r="M1956" s="79"/>
      <c r="N1956" s="74"/>
      <c r="O1956" s="81" t="s">
        <v>944</v>
      </c>
      <c r="P1956">
        <v>1</v>
      </c>
      <c r="Q1956" s="80" t="str">
        <f>REPLACE(INDEX(GroupVertices[Group],MATCH(Edges[[#This Row],[Vertex 1]],GroupVertices[Vertex],0)),1,1,"")</f>
        <v>2</v>
      </c>
      <c r="R1956" s="80" t="str">
        <f>REPLACE(INDEX(GroupVertices[Group],MATCH(Edges[[#This Row],[Vertex 2]],GroupVertices[Vertex],0)),1,1,"")</f>
        <v>1</v>
      </c>
      <c r="S1956" s="34"/>
      <c r="T1956" s="34"/>
      <c r="U1956" s="34"/>
      <c r="V1956" s="34"/>
      <c r="W1956" s="34"/>
      <c r="X1956" s="34"/>
      <c r="Y1956" s="34"/>
      <c r="Z1956" s="34"/>
      <c r="AA1956" s="34"/>
    </row>
    <row r="1957" spans="1:27" ht="15">
      <c r="A1957" s="66" t="s">
        <v>247</v>
      </c>
      <c r="B1957" s="66" t="s">
        <v>226</v>
      </c>
      <c r="C1957" s="67" t="s">
        <v>4454</v>
      </c>
      <c r="D1957" s="68">
        <v>5</v>
      </c>
      <c r="E1957" s="69"/>
      <c r="F1957" s="70">
        <v>20</v>
      </c>
      <c r="G1957" s="67"/>
      <c r="H1957" s="71"/>
      <c r="I1957" s="72"/>
      <c r="J1957" s="72"/>
      <c r="K1957" s="34" t="s">
        <v>65</v>
      </c>
      <c r="L1957" s="79">
        <v>1957</v>
      </c>
      <c r="M1957" s="79"/>
      <c r="N1957" s="74"/>
      <c r="O1957" s="81" t="s">
        <v>944</v>
      </c>
      <c r="P1957">
        <v>1</v>
      </c>
      <c r="Q1957" s="80" t="str">
        <f>REPLACE(INDEX(GroupVertices[Group],MATCH(Edges[[#This Row],[Vertex 1]],GroupVertices[Vertex],0)),1,1,"")</f>
        <v>2</v>
      </c>
      <c r="R1957" s="80" t="str">
        <f>REPLACE(INDEX(GroupVertices[Group],MATCH(Edges[[#This Row],[Vertex 2]],GroupVertices[Vertex],0)),1,1,"")</f>
        <v>4</v>
      </c>
      <c r="S1957" s="34"/>
      <c r="T1957" s="34"/>
      <c r="U1957" s="34"/>
      <c r="V1957" s="34"/>
      <c r="W1957" s="34"/>
      <c r="X1957" s="34"/>
      <c r="Y1957" s="34"/>
      <c r="Z1957" s="34"/>
      <c r="AA1957" s="34"/>
    </row>
    <row r="1958" spans="1:27" ht="15">
      <c r="A1958" s="66" t="s">
        <v>247</v>
      </c>
      <c r="B1958" s="66" t="s">
        <v>619</v>
      </c>
      <c r="C1958" s="67" t="s">
        <v>4454</v>
      </c>
      <c r="D1958" s="68">
        <v>5</v>
      </c>
      <c r="E1958" s="69"/>
      <c r="F1958" s="70">
        <v>20</v>
      </c>
      <c r="G1958" s="67"/>
      <c r="H1958" s="71"/>
      <c r="I1958" s="72"/>
      <c r="J1958" s="72"/>
      <c r="K1958" s="34" t="s">
        <v>65</v>
      </c>
      <c r="L1958" s="79">
        <v>1958</v>
      </c>
      <c r="M1958" s="79"/>
      <c r="N1958" s="74"/>
      <c r="O1958" s="81" t="s">
        <v>944</v>
      </c>
      <c r="P1958">
        <v>1</v>
      </c>
      <c r="Q1958" s="80" t="str">
        <f>REPLACE(INDEX(GroupVertices[Group],MATCH(Edges[[#This Row],[Vertex 1]],GroupVertices[Vertex],0)),1,1,"")</f>
        <v>2</v>
      </c>
      <c r="R1958" s="80" t="str">
        <f>REPLACE(INDEX(GroupVertices[Group],MATCH(Edges[[#This Row],[Vertex 2]],GroupVertices[Vertex],0)),1,1,"")</f>
        <v>2</v>
      </c>
      <c r="S1958" s="34"/>
      <c r="T1958" s="34"/>
      <c r="U1958" s="34"/>
      <c r="V1958" s="34"/>
      <c r="W1958" s="34"/>
      <c r="X1958" s="34"/>
      <c r="Y1958" s="34"/>
      <c r="Z1958" s="34"/>
      <c r="AA1958" s="34"/>
    </row>
    <row r="1959" spans="1:27" ht="15">
      <c r="A1959" s="66" t="s">
        <v>247</v>
      </c>
      <c r="B1959" s="66" t="s">
        <v>246</v>
      </c>
      <c r="C1959" s="67" t="s">
        <v>4454</v>
      </c>
      <c r="D1959" s="68">
        <v>5</v>
      </c>
      <c r="E1959" s="69"/>
      <c r="F1959" s="70">
        <v>20</v>
      </c>
      <c r="G1959" s="67"/>
      <c r="H1959" s="71"/>
      <c r="I1959" s="72"/>
      <c r="J1959" s="72"/>
      <c r="K1959" s="34" t="s">
        <v>66</v>
      </c>
      <c r="L1959" s="79">
        <v>1959</v>
      </c>
      <c r="M1959" s="79"/>
      <c r="N1959" s="74"/>
      <c r="O1959" s="81" t="s">
        <v>944</v>
      </c>
      <c r="P1959">
        <v>1</v>
      </c>
      <c r="Q1959" s="80" t="str">
        <f>REPLACE(INDEX(GroupVertices[Group],MATCH(Edges[[#This Row],[Vertex 1]],GroupVertices[Vertex],0)),1,1,"")</f>
        <v>2</v>
      </c>
      <c r="R1959" s="80" t="str">
        <f>REPLACE(INDEX(GroupVertices[Group],MATCH(Edges[[#This Row],[Vertex 2]],GroupVertices[Vertex],0)),1,1,"")</f>
        <v>2</v>
      </c>
      <c r="S1959" s="34"/>
      <c r="T1959" s="34"/>
      <c r="U1959" s="34"/>
      <c r="V1959" s="34"/>
      <c r="W1959" s="34"/>
      <c r="X1959" s="34"/>
      <c r="Y1959" s="34"/>
      <c r="Z1959" s="34"/>
      <c r="AA1959" s="34"/>
    </row>
    <row r="1960" spans="1:27" ht="15">
      <c r="A1960" s="66" t="s">
        <v>247</v>
      </c>
      <c r="B1960" s="66" t="s">
        <v>508</v>
      </c>
      <c r="C1960" s="67" t="s">
        <v>4454</v>
      </c>
      <c r="D1960" s="68">
        <v>5</v>
      </c>
      <c r="E1960" s="69"/>
      <c r="F1960" s="70">
        <v>20</v>
      </c>
      <c r="G1960" s="67"/>
      <c r="H1960" s="71"/>
      <c r="I1960" s="72"/>
      <c r="J1960" s="72"/>
      <c r="K1960" s="34" t="s">
        <v>65</v>
      </c>
      <c r="L1960" s="79">
        <v>1960</v>
      </c>
      <c r="M1960" s="79"/>
      <c r="N1960" s="74"/>
      <c r="O1960" s="81" t="s">
        <v>944</v>
      </c>
      <c r="P1960">
        <v>1</v>
      </c>
      <c r="Q1960" s="80" t="str">
        <f>REPLACE(INDEX(GroupVertices[Group],MATCH(Edges[[#This Row],[Vertex 1]],GroupVertices[Vertex],0)),1,1,"")</f>
        <v>2</v>
      </c>
      <c r="R1960" s="80" t="str">
        <f>REPLACE(INDEX(GroupVertices[Group],MATCH(Edges[[#This Row],[Vertex 2]],GroupVertices[Vertex],0)),1,1,"")</f>
        <v>1</v>
      </c>
      <c r="S1960" s="34"/>
      <c r="T1960" s="34"/>
      <c r="U1960" s="34"/>
      <c r="V1960" s="34"/>
      <c r="W1960" s="34"/>
      <c r="X1960" s="34"/>
      <c r="Y1960" s="34"/>
      <c r="Z1960" s="34"/>
      <c r="AA1960" s="34"/>
    </row>
    <row r="1961" spans="1:27" ht="15">
      <c r="A1961" s="66" t="s">
        <v>247</v>
      </c>
      <c r="B1961" s="66" t="s">
        <v>918</v>
      </c>
      <c r="C1961" s="67" t="s">
        <v>4454</v>
      </c>
      <c r="D1961" s="68">
        <v>5</v>
      </c>
      <c r="E1961" s="69"/>
      <c r="F1961" s="70">
        <v>20</v>
      </c>
      <c r="G1961" s="67"/>
      <c r="H1961" s="71"/>
      <c r="I1961" s="72"/>
      <c r="J1961" s="72"/>
      <c r="K1961" s="34" t="s">
        <v>65</v>
      </c>
      <c r="L1961" s="79">
        <v>1961</v>
      </c>
      <c r="M1961" s="79"/>
      <c r="N1961" s="74"/>
      <c r="O1961" s="81" t="s">
        <v>944</v>
      </c>
      <c r="P1961">
        <v>1</v>
      </c>
      <c r="Q1961" s="80" t="str">
        <f>REPLACE(INDEX(GroupVertices[Group],MATCH(Edges[[#This Row],[Vertex 1]],GroupVertices[Vertex],0)),1,1,"")</f>
        <v>2</v>
      </c>
      <c r="R1961" s="80" t="str">
        <f>REPLACE(INDEX(GroupVertices[Group],MATCH(Edges[[#This Row],[Vertex 2]],GroupVertices[Vertex],0)),1,1,"")</f>
        <v>2</v>
      </c>
      <c r="S1961" s="34"/>
      <c r="T1961" s="34"/>
      <c r="U1961" s="34"/>
      <c r="V1961" s="34"/>
      <c r="W1961" s="34"/>
      <c r="X1961" s="34"/>
      <c r="Y1961" s="34"/>
      <c r="Z1961" s="34"/>
      <c r="AA1961" s="34"/>
    </row>
    <row r="1962" spans="1:27" ht="15">
      <c r="A1962" s="66" t="s">
        <v>247</v>
      </c>
      <c r="B1962" s="66" t="s">
        <v>255</v>
      </c>
      <c r="C1962" s="67" t="s">
        <v>4454</v>
      </c>
      <c r="D1962" s="68">
        <v>5</v>
      </c>
      <c r="E1962" s="69"/>
      <c r="F1962" s="70">
        <v>20</v>
      </c>
      <c r="G1962" s="67"/>
      <c r="H1962" s="71"/>
      <c r="I1962" s="72"/>
      <c r="J1962" s="72"/>
      <c r="K1962" s="34" t="s">
        <v>66</v>
      </c>
      <c r="L1962" s="79">
        <v>1962</v>
      </c>
      <c r="M1962" s="79"/>
      <c r="N1962" s="74"/>
      <c r="O1962" s="81" t="s">
        <v>944</v>
      </c>
      <c r="P1962">
        <v>1</v>
      </c>
      <c r="Q1962" s="80" t="str">
        <f>REPLACE(INDEX(GroupVertices[Group],MATCH(Edges[[#This Row],[Vertex 1]],GroupVertices[Vertex],0)),1,1,"")</f>
        <v>2</v>
      </c>
      <c r="R1962" s="80" t="str">
        <f>REPLACE(INDEX(GroupVertices[Group],MATCH(Edges[[#This Row],[Vertex 2]],GroupVertices[Vertex],0)),1,1,"")</f>
        <v>4</v>
      </c>
      <c r="S1962" s="34"/>
      <c r="T1962" s="34"/>
      <c r="U1962" s="34"/>
      <c r="V1962" s="34"/>
      <c r="W1962" s="34"/>
      <c r="X1962" s="34"/>
      <c r="Y1962" s="34"/>
      <c r="Z1962" s="34"/>
      <c r="AA1962" s="34"/>
    </row>
    <row r="1963" spans="1:27" ht="15">
      <c r="A1963" s="66" t="s">
        <v>247</v>
      </c>
      <c r="B1963" s="66" t="s">
        <v>224</v>
      </c>
      <c r="C1963" s="67" t="s">
        <v>4454</v>
      </c>
      <c r="D1963" s="68">
        <v>5</v>
      </c>
      <c r="E1963" s="69"/>
      <c r="F1963" s="70">
        <v>20</v>
      </c>
      <c r="G1963" s="67"/>
      <c r="H1963" s="71"/>
      <c r="I1963" s="72"/>
      <c r="J1963" s="72"/>
      <c r="K1963" s="34" t="s">
        <v>66</v>
      </c>
      <c r="L1963" s="79">
        <v>1963</v>
      </c>
      <c r="M1963" s="79"/>
      <c r="N1963" s="74"/>
      <c r="O1963" s="81" t="s">
        <v>944</v>
      </c>
      <c r="P1963">
        <v>1</v>
      </c>
      <c r="Q1963" s="80" t="str">
        <f>REPLACE(INDEX(GroupVertices[Group],MATCH(Edges[[#This Row],[Vertex 1]],GroupVertices[Vertex],0)),1,1,"")</f>
        <v>2</v>
      </c>
      <c r="R1963" s="80" t="str">
        <f>REPLACE(INDEX(GroupVertices[Group],MATCH(Edges[[#This Row],[Vertex 2]],GroupVertices[Vertex],0)),1,1,"")</f>
        <v>2</v>
      </c>
      <c r="S1963" s="34"/>
      <c r="T1963" s="34"/>
      <c r="U1963" s="34"/>
      <c r="V1963" s="34"/>
      <c r="W1963" s="34"/>
      <c r="X1963" s="34"/>
      <c r="Y1963" s="34"/>
      <c r="Z1963" s="34"/>
      <c r="AA1963" s="34"/>
    </row>
    <row r="1964" spans="1:27" ht="15">
      <c r="A1964" s="66" t="s">
        <v>247</v>
      </c>
      <c r="B1964" s="66" t="s">
        <v>238</v>
      </c>
      <c r="C1964" s="67" t="s">
        <v>4454</v>
      </c>
      <c r="D1964" s="68">
        <v>5</v>
      </c>
      <c r="E1964" s="69"/>
      <c r="F1964" s="70">
        <v>20</v>
      </c>
      <c r="G1964" s="67"/>
      <c r="H1964" s="71"/>
      <c r="I1964" s="72"/>
      <c r="J1964" s="72"/>
      <c r="K1964" s="34" t="s">
        <v>66</v>
      </c>
      <c r="L1964" s="79">
        <v>1964</v>
      </c>
      <c r="M1964" s="79"/>
      <c r="N1964" s="74"/>
      <c r="O1964" s="81" t="s">
        <v>944</v>
      </c>
      <c r="P1964">
        <v>1</v>
      </c>
      <c r="Q1964" s="80" t="str">
        <f>REPLACE(INDEX(GroupVertices[Group],MATCH(Edges[[#This Row],[Vertex 1]],GroupVertices[Vertex],0)),1,1,"")</f>
        <v>2</v>
      </c>
      <c r="R1964" s="80" t="str">
        <f>REPLACE(INDEX(GroupVertices[Group],MATCH(Edges[[#This Row],[Vertex 2]],GroupVertices[Vertex],0)),1,1,"")</f>
        <v>2</v>
      </c>
      <c r="S1964" s="34"/>
      <c r="T1964" s="34"/>
      <c r="U1964" s="34"/>
      <c r="V1964" s="34"/>
      <c r="W1964" s="34"/>
      <c r="X1964" s="34"/>
      <c r="Y1964" s="34"/>
      <c r="Z1964" s="34"/>
      <c r="AA1964" s="34"/>
    </row>
    <row r="1965" spans="1:27" ht="15">
      <c r="A1965" s="66" t="s">
        <v>247</v>
      </c>
      <c r="B1965" s="66" t="s">
        <v>221</v>
      </c>
      <c r="C1965" s="67" t="s">
        <v>4454</v>
      </c>
      <c r="D1965" s="68">
        <v>5</v>
      </c>
      <c r="E1965" s="69"/>
      <c r="F1965" s="70">
        <v>20</v>
      </c>
      <c r="G1965" s="67"/>
      <c r="H1965" s="71"/>
      <c r="I1965" s="72"/>
      <c r="J1965" s="72"/>
      <c r="K1965" s="34" t="s">
        <v>65</v>
      </c>
      <c r="L1965" s="79">
        <v>1965</v>
      </c>
      <c r="M1965" s="79"/>
      <c r="N1965" s="74"/>
      <c r="O1965" s="81" t="s">
        <v>944</v>
      </c>
      <c r="P1965">
        <v>1</v>
      </c>
      <c r="Q1965" s="80" t="str">
        <f>REPLACE(INDEX(GroupVertices[Group],MATCH(Edges[[#This Row],[Vertex 1]],GroupVertices[Vertex],0)),1,1,"")</f>
        <v>2</v>
      </c>
      <c r="R1965" s="80" t="str">
        <f>REPLACE(INDEX(GroupVertices[Group],MATCH(Edges[[#This Row],[Vertex 2]],GroupVertices[Vertex],0)),1,1,"")</f>
        <v>2</v>
      </c>
      <c r="S1965" s="34"/>
      <c r="T1965" s="34"/>
      <c r="U1965" s="34"/>
      <c r="V1965" s="34"/>
      <c r="W1965" s="34"/>
      <c r="X1965" s="34"/>
      <c r="Y1965" s="34"/>
      <c r="Z1965" s="34"/>
      <c r="AA1965" s="34"/>
    </row>
    <row r="1966" spans="1:27" ht="15">
      <c r="A1966" s="66" t="s">
        <v>247</v>
      </c>
      <c r="B1966" s="66" t="s">
        <v>260</v>
      </c>
      <c r="C1966" s="67" t="s">
        <v>4454</v>
      </c>
      <c r="D1966" s="68">
        <v>5</v>
      </c>
      <c r="E1966" s="69"/>
      <c r="F1966" s="70">
        <v>20</v>
      </c>
      <c r="G1966" s="67"/>
      <c r="H1966" s="71"/>
      <c r="I1966" s="72"/>
      <c r="J1966" s="72"/>
      <c r="K1966" s="34" t="s">
        <v>66</v>
      </c>
      <c r="L1966" s="79">
        <v>1966</v>
      </c>
      <c r="M1966" s="79"/>
      <c r="N1966" s="74"/>
      <c r="O1966" s="81" t="s">
        <v>944</v>
      </c>
      <c r="P1966">
        <v>1</v>
      </c>
      <c r="Q1966" s="80" t="str">
        <f>REPLACE(INDEX(GroupVertices[Group],MATCH(Edges[[#This Row],[Vertex 1]],GroupVertices[Vertex],0)),1,1,"")</f>
        <v>2</v>
      </c>
      <c r="R1966" s="80" t="str">
        <f>REPLACE(INDEX(GroupVertices[Group],MATCH(Edges[[#This Row],[Vertex 2]],GroupVertices[Vertex],0)),1,1,"")</f>
        <v>2</v>
      </c>
      <c r="S1966" s="34"/>
      <c r="T1966" s="34"/>
      <c r="U1966" s="34"/>
      <c r="V1966" s="34"/>
      <c r="W1966" s="34"/>
      <c r="X1966" s="34"/>
      <c r="Y1966" s="34"/>
      <c r="Z1966" s="34"/>
      <c r="AA1966" s="34"/>
    </row>
    <row r="1967" spans="1:27" ht="15">
      <c r="A1967" s="66" t="s">
        <v>247</v>
      </c>
      <c r="B1967" s="66" t="s">
        <v>484</v>
      </c>
      <c r="C1967" s="67" t="s">
        <v>4454</v>
      </c>
      <c r="D1967" s="68">
        <v>5</v>
      </c>
      <c r="E1967" s="69"/>
      <c r="F1967" s="70">
        <v>20</v>
      </c>
      <c r="G1967" s="67"/>
      <c r="H1967" s="71"/>
      <c r="I1967" s="72"/>
      <c r="J1967" s="72"/>
      <c r="K1967" s="34" t="s">
        <v>65</v>
      </c>
      <c r="L1967" s="79">
        <v>1967</v>
      </c>
      <c r="M1967" s="79"/>
      <c r="N1967" s="74"/>
      <c r="O1967" s="81" t="s">
        <v>944</v>
      </c>
      <c r="P1967">
        <v>1</v>
      </c>
      <c r="Q1967" s="80" t="str">
        <f>REPLACE(INDEX(GroupVertices[Group],MATCH(Edges[[#This Row],[Vertex 1]],GroupVertices[Vertex],0)),1,1,"")</f>
        <v>2</v>
      </c>
      <c r="R1967" s="80" t="str">
        <f>REPLACE(INDEX(GroupVertices[Group],MATCH(Edges[[#This Row],[Vertex 2]],GroupVertices[Vertex],0)),1,1,"")</f>
        <v>1</v>
      </c>
      <c r="S1967" s="34"/>
      <c r="T1967" s="34"/>
      <c r="U1967" s="34"/>
      <c r="V1967" s="34"/>
      <c r="W1967" s="34"/>
      <c r="X1967" s="34"/>
      <c r="Y1967" s="34"/>
      <c r="Z1967" s="34"/>
      <c r="AA1967" s="34"/>
    </row>
    <row r="1968" spans="1:27" ht="15">
      <c r="A1968" s="66" t="s">
        <v>247</v>
      </c>
      <c r="B1968" s="66" t="s">
        <v>233</v>
      </c>
      <c r="C1968" s="67" t="s">
        <v>4454</v>
      </c>
      <c r="D1968" s="68">
        <v>5</v>
      </c>
      <c r="E1968" s="69"/>
      <c r="F1968" s="70">
        <v>20</v>
      </c>
      <c r="G1968" s="67"/>
      <c r="H1968" s="71"/>
      <c r="I1968" s="72"/>
      <c r="J1968" s="72"/>
      <c r="K1968" s="34" t="s">
        <v>66</v>
      </c>
      <c r="L1968" s="79">
        <v>1968</v>
      </c>
      <c r="M1968" s="79"/>
      <c r="N1968" s="74"/>
      <c r="O1968" s="81" t="s">
        <v>944</v>
      </c>
      <c r="P1968">
        <v>1</v>
      </c>
      <c r="Q1968" s="80" t="str">
        <f>REPLACE(INDEX(GroupVertices[Group],MATCH(Edges[[#This Row],[Vertex 1]],GroupVertices[Vertex],0)),1,1,"")</f>
        <v>2</v>
      </c>
      <c r="R1968" s="80" t="str">
        <f>REPLACE(INDEX(GroupVertices[Group],MATCH(Edges[[#This Row],[Vertex 2]],GroupVertices[Vertex],0)),1,1,"")</f>
        <v>2</v>
      </c>
      <c r="S1968" s="34"/>
      <c r="T1968" s="34"/>
      <c r="U1968" s="34"/>
      <c r="V1968" s="34"/>
      <c r="W1968" s="34"/>
      <c r="X1968" s="34"/>
      <c r="Y1968" s="34"/>
      <c r="Z1968" s="34"/>
      <c r="AA1968" s="34"/>
    </row>
    <row r="1969" spans="1:27" ht="15">
      <c r="A1969" s="66" t="s">
        <v>247</v>
      </c>
      <c r="B1969" s="66" t="s">
        <v>253</v>
      </c>
      <c r="C1969" s="67" t="s">
        <v>4454</v>
      </c>
      <c r="D1969" s="68">
        <v>5</v>
      </c>
      <c r="E1969" s="69"/>
      <c r="F1969" s="70">
        <v>20</v>
      </c>
      <c r="G1969" s="67"/>
      <c r="H1969" s="71"/>
      <c r="I1969" s="72"/>
      <c r="J1969" s="72"/>
      <c r="K1969" s="34" t="s">
        <v>65</v>
      </c>
      <c r="L1969" s="79">
        <v>1969</v>
      </c>
      <c r="M1969" s="79"/>
      <c r="N1969" s="74"/>
      <c r="O1969" s="81" t="s">
        <v>944</v>
      </c>
      <c r="P1969">
        <v>1</v>
      </c>
      <c r="Q1969" s="80" t="str">
        <f>REPLACE(INDEX(GroupVertices[Group],MATCH(Edges[[#This Row],[Vertex 1]],GroupVertices[Vertex],0)),1,1,"")</f>
        <v>2</v>
      </c>
      <c r="R1969" s="80" t="str">
        <f>REPLACE(INDEX(GroupVertices[Group],MATCH(Edges[[#This Row],[Vertex 2]],GroupVertices[Vertex],0)),1,1,"")</f>
        <v>1</v>
      </c>
      <c r="S1969" s="34"/>
      <c r="T1969" s="34"/>
      <c r="U1969" s="34"/>
      <c r="V1969" s="34"/>
      <c r="W1969" s="34"/>
      <c r="X1969" s="34"/>
      <c r="Y1969" s="34"/>
      <c r="Z1969" s="34"/>
      <c r="AA1969" s="34"/>
    </row>
    <row r="1970" spans="1:27" ht="15">
      <c r="A1970" s="66" t="s">
        <v>247</v>
      </c>
      <c r="B1970" s="66" t="s">
        <v>217</v>
      </c>
      <c r="C1970" s="67" t="s">
        <v>4454</v>
      </c>
      <c r="D1970" s="68">
        <v>5</v>
      </c>
      <c r="E1970" s="69"/>
      <c r="F1970" s="70">
        <v>20</v>
      </c>
      <c r="G1970" s="67"/>
      <c r="H1970" s="71"/>
      <c r="I1970" s="72"/>
      <c r="J1970" s="72"/>
      <c r="K1970" s="34" t="s">
        <v>65</v>
      </c>
      <c r="L1970" s="79">
        <v>1970</v>
      </c>
      <c r="M1970" s="79"/>
      <c r="N1970" s="74"/>
      <c r="O1970" s="81" t="s">
        <v>944</v>
      </c>
      <c r="P1970">
        <v>1</v>
      </c>
      <c r="Q1970" s="80" t="str">
        <f>REPLACE(INDEX(GroupVertices[Group],MATCH(Edges[[#This Row],[Vertex 1]],GroupVertices[Vertex],0)),1,1,"")</f>
        <v>2</v>
      </c>
      <c r="R1970" s="80" t="str">
        <f>REPLACE(INDEX(GroupVertices[Group],MATCH(Edges[[#This Row],[Vertex 2]],GroupVertices[Vertex],0)),1,1,"")</f>
        <v>4</v>
      </c>
      <c r="S1970" s="34"/>
      <c r="T1970" s="34"/>
      <c r="U1970" s="34"/>
      <c r="V1970" s="34"/>
      <c r="W1970" s="34"/>
      <c r="X1970" s="34"/>
      <c r="Y1970" s="34"/>
      <c r="Z1970" s="34"/>
      <c r="AA1970" s="34"/>
    </row>
    <row r="1971" spans="1:27" ht="15">
      <c r="A1971" s="66" t="s">
        <v>247</v>
      </c>
      <c r="B1971" s="66" t="s">
        <v>261</v>
      </c>
      <c r="C1971" s="67" t="s">
        <v>4454</v>
      </c>
      <c r="D1971" s="68">
        <v>5</v>
      </c>
      <c r="E1971" s="69"/>
      <c r="F1971" s="70">
        <v>20</v>
      </c>
      <c r="G1971" s="67"/>
      <c r="H1971" s="71"/>
      <c r="I1971" s="72"/>
      <c r="J1971" s="72"/>
      <c r="K1971" s="34" t="s">
        <v>65</v>
      </c>
      <c r="L1971" s="79">
        <v>1971</v>
      </c>
      <c r="M1971" s="79"/>
      <c r="N1971" s="74"/>
      <c r="O1971" s="81" t="s">
        <v>944</v>
      </c>
      <c r="P1971">
        <v>1</v>
      </c>
      <c r="Q1971" s="80" t="str">
        <f>REPLACE(INDEX(GroupVertices[Group],MATCH(Edges[[#This Row],[Vertex 1]],GroupVertices[Vertex],0)),1,1,"")</f>
        <v>2</v>
      </c>
      <c r="R1971" s="80" t="str">
        <f>REPLACE(INDEX(GroupVertices[Group],MATCH(Edges[[#This Row],[Vertex 2]],GroupVertices[Vertex],0)),1,1,"")</f>
        <v>1</v>
      </c>
      <c r="S1971" s="34"/>
      <c r="T1971" s="34"/>
      <c r="U1971" s="34"/>
      <c r="V1971" s="34"/>
      <c r="W1971" s="34"/>
      <c r="X1971" s="34"/>
      <c r="Y1971" s="34"/>
      <c r="Z1971" s="34"/>
      <c r="AA1971" s="34"/>
    </row>
    <row r="1972" spans="1:27" ht="15">
      <c r="A1972" s="66" t="s">
        <v>247</v>
      </c>
      <c r="B1972" s="66" t="s">
        <v>510</v>
      </c>
      <c r="C1972" s="67" t="s">
        <v>4454</v>
      </c>
      <c r="D1972" s="68">
        <v>5</v>
      </c>
      <c r="E1972" s="69"/>
      <c r="F1972" s="70">
        <v>20</v>
      </c>
      <c r="G1972" s="67"/>
      <c r="H1972" s="71"/>
      <c r="I1972" s="72"/>
      <c r="J1972" s="72"/>
      <c r="K1972" s="34" t="s">
        <v>65</v>
      </c>
      <c r="L1972" s="79">
        <v>1972</v>
      </c>
      <c r="M1972" s="79"/>
      <c r="N1972" s="74"/>
      <c r="O1972" s="81" t="s">
        <v>944</v>
      </c>
      <c r="P1972">
        <v>1</v>
      </c>
      <c r="Q1972" s="80" t="str">
        <f>REPLACE(INDEX(GroupVertices[Group],MATCH(Edges[[#This Row],[Vertex 1]],GroupVertices[Vertex],0)),1,1,"")</f>
        <v>2</v>
      </c>
      <c r="R1972" s="80" t="str">
        <f>REPLACE(INDEX(GroupVertices[Group],MATCH(Edges[[#This Row],[Vertex 2]],GroupVertices[Vertex],0)),1,1,"")</f>
        <v>2</v>
      </c>
      <c r="S1972" s="34"/>
      <c r="T1972" s="34"/>
      <c r="U1972" s="34"/>
      <c r="V1972" s="34"/>
      <c r="W1972" s="34"/>
      <c r="X1972" s="34"/>
      <c r="Y1972" s="34"/>
      <c r="Z1972" s="34"/>
      <c r="AA1972" s="34"/>
    </row>
    <row r="1973" spans="1:27" ht="15">
      <c r="A1973" s="66" t="s">
        <v>247</v>
      </c>
      <c r="B1973" s="66" t="s">
        <v>919</v>
      </c>
      <c r="C1973" s="67" t="s">
        <v>4454</v>
      </c>
      <c r="D1973" s="68">
        <v>5</v>
      </c>
      <c r="E1973" s="69"/>
      <c r="F1973" s="70">
        <v>20</v>
      </c>
      <c r="G1973" s="67"/>
      <c r="H1973" s="71"/>
      <c r="I1973" s="72"/>
      <c r="J1973" s="72"/>
      <c r="K1973" s="34" t="s">
        <v>65</v>
      </c>
      <c r="L1973" s="79">
        <v>1973</v>
      </c>
      <c r="M1973" s="79"/>
      <c r="N1973" s="74"/>
      <c r="O1973" s="81" t="s">
        <v>944</v>
      </c>
      <c r="P1973">
        <v>1</v>
      </c>
      <c r="Q1973" s="80" t="str">
        <f>REPLACE(INDEX(GroupVertices[Group],MATCH(Edges[[#This Row],[Vertex 1]],GroupVertices[Vertex],0)),1,1,"")</f>
        <v>2</v>
      </c>
      <c r="R1973" s="80" t="str">
        <f>REPLACE(INDEX(GroupVertices[Group],MATCH(Edges[[#This Row],[Vertex 2]],GroupVertices[Vertex],0)),1,1,"")</f>
        <v>2</v>
      </c>
      <c r="S1973" s="34"/>
      <c r="T1973" s="34"/>
      <c r="U1973" s="34"/>
      <c r="V1973" s="34"/>
      <c r="W1973" s="34"/>
      <c r="X1973" s="34"/>
      <c r="Y1973" s="34"/>
      <c r="Z1973" s="34"/>
      <c r="AA1973" s="34"/>
    </row>
    <row r="1974" spans="1:27" ht="15">
      <c r="A1974" s="66" t="s">
        <v>247</v>
      </c>
      <c r="B1974" s="66" t="s">
        <v>254</v>
      </c>
      <c r="C1974" s="67" t="s">
        <v>4454</v>
      </c>
      <c r="D1974" s="68">
        <v>5</v>
      </c>
      <c r="E1974" s="69"/>
      <c r="F1974" s="70">
        <v>20</v>
      </c>
      <c r="G1974" s="67"/>
      <c r="H1974" s="71"/>
      <c r="I1974" s="72"/>
      <c r="J1974" s="72"/>
      <c r="K1974" s="34" t="s">
        <v>65</v>
      </c>
      <c r="L1974" s="79">
        <v>1974</v>
      </c>
      <c r="M1974" s="79"/>
      <c r="N1974" s="74"/>
      <c r="O1974" s="81" t="s">
        <v>944</v>
      </c>
      <c r="P1974">
        <v>1</v>
      </c>
      <c r="Q1974" s="80" t="str">
        <f>REPLACE(INDEX(GroupVertices[Group],MATCH(Edges[[#This Row],[Vertex 1]],GroupVertices[Vertex],0)),1,1,"")</f>
        <v>2</v>
      </c>
      <c r="R1974" s="80" t="str">
        <f>REPLACE(INDEX(GroupVertices[Group],MATCH(Edges[[#This Row],[Vertex 2]],GroupVertices[Vertex],0)),1,1,"")</f>
        <v>3</v>
      </c>
      <c r="S1974" s="34"/>
      <c r="T1974" s="34"/>
      <c r="U1974" s="34"/>
      <c r="V1974" s="34"/>
      <c r="W1974" s="34"/>
      <c r="X1974" s="34"/>
      <c r="Y1974" s="34"/>
      <c r="Z1974" s="34"/>
      <c r="AA1974" s="34"/>
    </row>
    <row r="1975" spans="1:27" ht="15">
      <c r="A1975" s="66" t="s">
        <v>247</v>
      </c>
      <c r="B1975" s="66" t="s">
        <v>259</v>
      </c>
      <c r="C1975" s="67" t="s">
        <v>4454</v>
      </c>
      <c r="D1975" s="68">
        <v>5</v>
      </c>
      <c r="E1975" s="69"/>
      <c r="F1975" s="70">
        <v>20</v>
      </c>
      <c r="G1975" s="67"/>
      <c r="H1975" s="71"/>
      <c r="I1975" s="72"/>
      <c r="J1975" s="72"/>
      <c r="K1975" s="34" t="s">
        <v>65</v>
      </c>
      <c r="L1975" s="79">
        <v>1975</v>
      </c>
      <c r="M1975" s="79"/>
      <c r="N1975" s="74"/>
      <c r="O1975" s="81" t="s">
        <v>944</v>
      </c>
      <c r="P1975">
        <v>1</v>
      </c>
      <c r="Q1975" s="80" t="str">
        <f>REPLACE(INDEX(GroupVertices[Group],MATCH(Edges[[#This Row],[Vertex 1]],GroupVertices[Vertex],0)),1,1,"")</f>
        <v>2</v>
      </c>
      <c r="R1975" s="80" t="str">
        <f>REPLACE(INDEX(GroupVertices[Group],MATCH(Edges[[#This Row],[Vertex 2]],GroupVertices[Vertex],0)),1,1,"")</f>
        <v>2</v>
      </c>
      <c r="S1975" s="34"/>
      <c r="T1975" s="34"/>
      <c r="U1975" s="34"/>
      <c r="V1975" s="34"/>
      <c r="W1975" s="34"/>
      <c r="X1975" s="34"/>
      <c r="Y1975" s="34"/>
      <c r="Z1975" s="34"/>
      <c r="AA1975" s="34"/>
    </row>
    <row r="1976" spans="1:27" ht="15">
      <c r="A1976" s="66" t="s">
        <v>247</v>
      </c>
      <c r="B1976" s="66" t="s">
        <v>250</v>
      </c>
      <c r="C1976" s="67" t="s">
        <v>4454</v>
      </c>
      <c r="D1976" s="68">
        <v>5</v>
      </c>
      <c r="E1976" s="69"/>
      <c r="F1976" s="70">
        <v>20</v>
      </c>
      <c r="G1976" s="67"/>
      <c r="H1976" s="71"/>
      <c r="I1976" s="72"/>
      <c r="J1976" s="72"/>
      <c r="K1976" s="34" t="s">
        <v>66</v>
      </c>
      <c r="L1976" s="79">
        <v>1976</v>
      </c>
      <c r="M1976" s="79"/>
      <c r="N1976" s="74"/>
      <c r="O1976" s="81" t="s">
        <v>944</v>
      </c>
      <c r="P1976">
        <v>1</v>
      </c>
      <c r="Q1976" s="80" t="str">
        <f>REPLACE(INDEX(GroupVertices[Group],MATCH(Edges[[#This Row],[Vertex 1]],GroupVertices[Vertex],0)),1,1,"")</f>
        <v>2</v>
      </c>
      <c r="R1976" s="80" t="str">
        <f>REPLACE(INDEX(GroupVertices[Group],MATCH(Edges[[#This Row],[Vertex 2]],GroupVertices[Vertex],0)),1,1,"")</f>
        <v>2</v>
      </c>
      <c r="S1976" s="34"/>
      <c r="T1976" s="34"/>
      <c r="U1976" s="34"/>
      <c r="V1976" s="34"/>
      <c r="W1976" s="34"/>
      <c r="X1976" s="34"/>
      <c r="Y1976" s="34"/>
      <c r="Z1976" s="34"/>
      <c r="AA1976" s="34"/>
    </row>
    <row r="1977" spans="1:27" ht="15">
      <c r="A1977" s="66" t="s">
        <v>249</v>
      </c>
      <c r="B1977" s="66" t="s">
        <v>247</v>
      </c>
      <c r="C1977" s="67" t="s">
        <v>4454</v>
      </c>
      <c r="D1977" s="68">
        <v>5</v>
      </c>
      <c r="E1977" s="69"/>
      <c r="F1977" s="70">
        <v>20</v>
      </c>
      <c r="G1977" s="67"/>
      <c r="H1977" s="71"/>
      <c r="I1977" s="72"/>
      <c r="J1977" s="72"/>
      <c r="K1977" s="34" t="s">
        <v>65</v>
      </c>
      <c r="L1977" s="79">
        <v>1977</v>
      </c>
      <c r="M1977" s="79"/>
      <c r="N1977" s="74"/>
      <c r="O1977" s="81" t="s">
        <v>944</v>
      </c>
      <c r="P1977">
        <v>1</v>
      </c>
      <c r="Q1977" s="80" t="str">
        <f>REPLACE(INDEX(GroupVertices[Group],MATCH(Edges[[#This Row],[Vertex 1]],GroupVertices[Vertex],0)),1,1,"")</f>
        <v>2</v>
      </c>
      <c r="R1977" s="80" t="str">
        <f>REPLACE(INDEX(GroupVertices[Group],MATCH(Edges[[#This Row],[Vertex 2]],GroupVertices[Vertex],0)),1,1,"")</f>
        <v>2</v>
      </c>
      <c r="S1977" s="34"/>
      <c r="T1977" s="34"/>
      <c r="U1977" s="34"/>
      <c r="V1977" s="34"/>
      <c r="W1977" s="34"/>
      <c r="X1977" s="34"/>
      <c r="Y1977" s="34"/>
      <c r="Z1977" s="34"/>
      <c r="AA1977" s="34"/>
    </row>
    <row r="1978" spans="1:27" ht="15">
      <c r="A1978" s="66" t="s">
        <v>250</v>
      </c>
      <c r="B1978" s="66" t="s">
        <v>247</v>
      </c>
      <c r="C1978" s="67" t="s">
        <v>4454</v>
      </c>
      <c r="D1978" s="68">
        <v>5</v>
      </c>
      <c r="E1978" s="69"/>
      <c r="F1978" s="70">
        <v>20</v>
      </c>
      <c r="G1978" s="67"/>
      <c r="H1978" s="71"/>
      <c r="I1978" s="72"/>
      <c r="J1978" s="72"/>
      <c r="K1978" s="34" t="s">
        <v>66</v>
      </c>
      <c r="L1978" s="79">
        <v>1978</v>
      </c>
      <c r="M1978" s="79"/>
      <c r="N1978" s="74"/>
      <c r="O1978" s="81" t="s">
        <v>944</v>
      </c>
      <c r="P1978">
        <v>1</v>
      </c>
      <c r="Q1978" s="80" t="str">
        <f>REPLACE(INDEX(GroupVertices[Group],MATCH(Edges[[#This Row],[Vertex 1]],GroupVertices[Vertex],0)),1,1,"")</f>
        <v>2</v>
      </c>
      <c r="R1978" s="80" t="str">
        <f>REPLACE(INDEX(GroupVertices[Group],MATCH(Edges[[#This Row],[Vertex 2]],GroupVertices[Vertex],0)),1,1,"")</f>
        <v>2</v>
      </c>
      <c r="S1978" s="34"/>
      <c r="T1978" s="34"/>
      <c r="U1978" s="34"/>
      <c r="V1978" s="34"/>
      <c r="W1978" s="34"/>
      <c r="X1978" s="34"/>
      <c r="Y1978" s="34"/>
      <c r="Z1978" s="34"/>
      <c r="AA1978" s="34"/>
    </row>
    <row r="1979" spans="1:27" ht="15">
      <c r="A1979" s="66" t="s">
        <v>255</v>
      </c>
      <c r="B1979" s="66" t="s">
        <v>247</v>
      </c>
      <c r="C1979" s="67" t="s">
        <v>4454</v>
      </c>
      <c r="D1979" s="68">
        <v>5</v>
      </c>
      <c r="E1979" s="69"/>
      <c r="F1979" s="70">
        <v>20</v>
      </c>
      <c r="G1979" s="67"/>
      <c r="H1979" s="71"/>
      <c r="I1979" s="72"/>
      <c r="J1979" s="72"/>
      <c r="K1979" s="34" t="s">
        <v>66</v>
      </c>
      <c r="L1979" s="79">
        <v>1979</v>
      </c>
      <c r="M1979" s="79"/>
      <c r="N1979" s="74"/>
      <c r="O1979" s="81" t="s">
        <v>944</v>
      </c>
      <c r="P1979">
        <v>1</v>
      </c>
      <c r="Q1979" s="80" t="str">
        <f>REPLACE(INDEX(GroupVertices[Group],MATCH(Edges[[#This Row],[Vertex 1]],GroupVertices[Vertex],0)),1,1,"")</f>
        <v>4</v>
      </c>
      <c r="R1979" s="80" t="str">
        <f>REPLACE(INDEX(GroupVertices[Group],MATCH(Edges[[#This Row],[Vertex 2]],GroupVertices[Vertex],0)),1,1,"")</f>
        <v>2</v>
      </c>
      <c r="S1979" s="34"/>
      <c r="T1979" s="34"/>
      <c r="U1979" s="34"/>
      <c r="V1979" s="34"/>
      <c r="W1979" s="34"/>
      <c r="X1979" s="34"/>
      <c r="Y1979" s="34"/>
      <c r="Z1979" s="34"/>
      <c r="AA1979" s="34"/>
    </row>
    <row r="1980" spans="1:27" ht="15">
      <c r="A1980" s="66" t="s">
        <v>256</v>
      </c>
      <c r="B1980" s="66" t="s">
        <v>247</v>
      </c>
      <c r="C1980" s="67" t="s">
        <v>4454</v>
      </c>
      <c r="D1980" s="68">
        <v>5</v>
      </c>
      <c r="E1980" s="69"/>
      <c r="F1980" s="70">
        <v>20</v>
      </c>
      <c r="G1980" s="67"/>
      <c r="H1980" s="71"/>
      <c r="I1980" s="72"/>
      <c r="J1980" s="72"/>
      <c r="K1980" s="34" t="s">
        <v>66</v>
      </c>
      <c r="L1980" s="79">
        <v>1980</v>
      </c>
      <c r="M1980" s="79"/>
      <c r="N1980" s="74"/>
      <c r="O1980" s="81" t="s">
        <v>944</v>
      </c>
      <c r="P1980">
        <v>1</v>
      </c>
      <c r="Q1980" s="80" t="str">
        <f>REPLACE(INDEX(GroupVertices[Group],MATCH(Edges[[#This Row],[Vertex 1]],GroupVertices[Vertex],0)),1,1,"")</f>
        <v>1</v>
      </c>
      <c r="R1980" s="80" t="str">
        <f>REPLACE(INDEX(GroupVertices[Group],MATCH(Edges[[#This Row],[Vertex 2]],GroupVertices[Vertex],0)),1,1,"")</f>
        <v>2</v>
      </c>
      <c r="S1980" s="34"/>
      <c r="T1980" s="34"/>
      <c r="U1980" s="34"/>
      <c r="V1980" s="34"/>
      <c r="W1980" s="34"/>
      <c r="X1980" s="34"/>
      <c r="Y1980" s="34"/>
      <c r="Z1980" s="34"/>
      <c r="AA1980" s="34"/>
    </row>
    <row r="1981" spans="1:27" ht="15">
      <c r="A1981" s="66" t="s">
        <v>258</v>
      </c>
      <c r="B1981" s="66" t="s">
        <v>247</v>
      </c>
      <c r="C1981" s="67" t="s">
        <v>4454</v>
      </c>
      <c r="D1981" s="68">
        <v>5</v>
      </c>
      <c r="E1981" s="69"/>
      <c r="F1981" s="70">
        <v>20</v>
      </c>
      <c r="G1981" s="67"/>
      <c r="H1981" s="71"/>
      <c r="I1981" s="72"/>
      <c r="J1981" s="72"/>
      <c r="K1981" s="34" t="s">
        <v>66</v>
      </c>
      <c r="L1981" s="79">
        <v>1981</v>
      </c>
      <c r="M1981" s="79"/>
      <c r="N1981" s="74"/>
      <c r="O1981" s="81" t="s">
        <v>944</v>
      </c>
      <c r="P1981">
        <v>1</v>
      </c>
      <c r="Q1981" s="80" t="str">
        <f>REPLACE(INDEX(GroupVertices[Group],MATCH(Edges[[#This Row],[Vertex 1]],GroupVertices[Vertex],0)),1,1,"")</f>
        <v>1</v>
      </c>
      <c r="R1981" s="80" t="str">
        <f>REPLACE(INDEX(GroupVertices[Group],MATCH(Edges[[#This Row],[Vertex 2]],GroupVertices[Vertex],0)),1,1,"")</f>
        <v>2</v>
      </c>
      <c r="S1981" s="34"/>
      <c r="T1981" s="34"/>
      <c r="U1981" s="34"/>
      <c r="V1981" s="34"/>
      <c r="W1981" s="34"/>
      <c r="X1981" s="34"/>
      <c r="Y1981" s="34"/>
      <c r="Z1981" s="34"/>
      <c r="AA1981" s="34"/>
    </row>
    <row r="1982" spans="1:27" ht="15">
      <c r="A1982" s="66" t="s">
        <v>260</v>
      </c>
      <c r="B1982" s="66" t="s">
        <v>247</v>
      </c>
      <c r="C1982" s="67" t="s">
        <v>4454</v>
      </c>
      <c r="D1982" s="68">
        <v>5</v>
      </c>
      <c r="E1982" s="69"/>
      <c r="F1982" s="70">
        <v>20</v>
      </c>
      <c r="G1982" s="67"/>
      <c r="H1982" s="71"/>
      <c r="I1982" s="72"/>
      <c r="J1982" s="72"/>
      <c r="K1982" s="34" t="s">
        <v>66</v>
      </c>
      <c r="L1982" s="79">
        <v>1982</v>
      </c>
      <c r="M1982" s="79"/>
      <c r="N1982" s="74"/>
      <c r="O1982" s="81" t="s">
        <v>944</v>
      </c>
      <c r="P1982">
        <v>1</v>
      </c>
      <c r="Q1982" s="80" t="str">
        <f>REPLACE(INDEX(GroupVertices[Group],MATCH(Edges[[#This Row],[Vertex 1]],GroupVertices[Vertex],0)),1,1,"")</f>
        <v>2</v>
      </c>
      <c r="R1982" s="80" t="str">
        <f>REPLACE(INDEX(GroupVertices[Group],MATCH(Edges[[#This Row],[Vertex 2]],GroupVertices[Vertex],0)),1,1,"")</f>
        <v>2</v>
      </c>
      <c r="S1982" s="34"/>
      <c r="T1982" s="34"/>
      <c r="U1982" s="34"/>
      <c r="V1982" s="34"/>
      <c r="W1982" s="34"/>
      <c r="X1982" s="34"/>
      <c r="Y1982" s="34"/>
      <c r="Z1982" s="34"/>
      <c r="AA1982" s="34"/>
    </row>
    <row r="1983" spans="1:27" ht="15">
      <c r="A1983" s="66" t="s">
        <v>260</v>
      </c>
      <c r="B1983" s="66" t="s">
        <v>873</v>
      </c>
      <c r="C1983" s="67" t="s">
        <v>4454</v>
      </c>
      <c r="D1983" s="68">
        <v>5</v>
      </c>
      <c r="E1983" s="69"/>
      <c r="F1983" s="70">
        <v>20</v>
      </c>
      <c r="G1983" s="67"/>
      <c r="H1983" s="71"/>
      <c r="I1983" s="72"/>
      <c r="J1983" s="72"/>
      <c r="K1983" s="34" t="s">
        <v>65</v>
      </c>
      <c r="L1983" s="79">
        <v>1983</v>
      </c>
      <c r="M1983" s="79"/>
      <c r="N1983" s="74"/>
      <c r="O1983" s="81" t="s">
        <v>944</v>
      </c>
      <c r="P1983">
        <v>1</v>
      </c>
      <c r="Q1983" s="80" t="str">
        <f>REPLACE(INDEX(GroupVertices[Group],MATCH(Edges[[#This Row],[Vertex 1]],GroupVertices[Vertex],0)),1,1,"")</f>
        <v>2</v>
      </c>
      <c r="R1983" s="80" t="str">
        <f>REPLACE(INDEX(GroupVertices[Group],MATCH(Edges[[#This Row],[Vertex 2]],GroupVertices[Vertex],0)),1,1,"")</f>
        <v>3</v>
      </c>
      <c r="S1983" s="34"/>
      <c r="T1983" s="34"/>
      <c r="U1983" s="34"/>
      <c r="V1983" s="34"/>
      <c r="W1983" s="34"/>
      <c r="X1983" s="34"/>
      <c r="Y1983" s="34"/>
      <c r="Z1983" s="34"/>
      <c r="AA1983" s="34"/>
    </row>
    <row r="1984" spans="1:27" ht="15">
      <c r="A1984" s="66" t="s">
        <v>220</v>
      </c>
      <c r="B1984" s="66" t="s">
        <v>510</v>
      </c>
      <c r="C1984" s="67" t="s">
        <v>4454</v>
      </c>
      <c r="D1984" s="68">
        <v>5</v>
      </c>
      <c r="E1984" s="69"/>
      <c r="F1984" s="70">
        <v>20</v>
      </c>
      <c r="G1984" s="67"/>
      <c r="H1984" s="71"/>
      <c r="I1984" s="72"/>
      <c r="J1984" s="72"/>
      <c r="K1984" s="34" t="s">
        <v>65</v>
      </c>
      <c r="L1984" s="79">
        <v>1984</v>
      </c>
      <c r="M1984" s="79"/>
      <c r="N1984" s="74"/>
      <c r="O1984" s="81" t="s">
        <v>944</v>
      </c>
      <c r="P1984">
        <v>1</v>
      </c>
      <c r="Q1984" s="80" t="str">
        <f>REPLACE(INDEX(GroupVertices[Group],MATCH(Edges[[#This Row],[Vertex 1]],GroupVertices[Vertex],0)),1,1,"")</f>
        <v>2</v>
      </c>
      <c r="R1984" s="80" t="str">
        <f>REPLACE(INDEX(GroupVertices[Group],MATCH(Edges[[#This Row],[Vertex 2]],GroupVertices[Vertex],0)),1,1,"")</f>
        <v>2</v>
      </c>
      <c r="S1984" s="34"/>
      <c r="T1984" s="34"/>
      <c r="U1984" s="34"/>
      <c r="V1984" s="34"/>
      <c r="W1984" s="34"/>
      <c r="X1984" s="34"/>
      <c r="Y1984" s="34"/>
      <c r="Z1984" s="34"/>
      <c r="AA1984" s="34"/>
    </row>
    <row r="1985" spans="1:27" ht="15">
      <c r="A1985" s="66" t="s">
        <v>221</v>
      </c>
      <c r="B1985" s="66" t="s">
        <v>510</v>
      </c>
      <c r="C1985" s="67" t="s">
        <v>4454</v>
      </c>
      <c r="D1985" s="68">
        <v>5</v>
      </c>
      <c r="E1985" s="69"/>
      <c r="F1985" s="70">
        <v>20</v>
      </c>
      <c r="G1985" s="67"/>
      <c r="H1985" s="71"/>
      <c r="I1985" s="72"/>
      <c r="J1985" s="72"/>
      <c r="K1985" s="34" t="s">
        <v>65</v>
      </c>
      <c r="L1985" s="79">
        <v>1985</v>
      </c>
      <c r="M1985" s="79"/>
      <c r="N1985" s="74"/>
      <c r="O1985" s="81" t="s">
        <v>944</v>
      </c>
      <c r="P1985">
        <v>1</v>
      </c>
      <c r="Q1985" s="80" t="str">
        <f>REPLACE(INDEX(GroupVertices[Group],MATCH(Edges[[#This Row],[Vertex 1]],GroupVertices[Vertex],0)),1,1,"")</f>
        <v>2</v>
      </c>
      <c r="R1985" s="80" t="str">
        <f>REPLACE(INDEX(GroupVertices[Group],MATCH(Edges[[#This Row],[Vertex 2]],GroupVertices[Vertex],0)),1,1,"")</f>
        <v>2</v>
      </c>
      <c r="S1985" s="34"/>
      <c r="T1985" s="34"/>
      <c r="U1985" s="34"/>
      <c r="V1985" s="34"/>
      <c r="W1985" s="34"/>
      <c r="X1985" s="34"/>
      <c r="Y1985" s="34"/>
      <c r="Z1985" s="34"/>
      <c r="AA1985" s="34"/>
    </row>
    <row r="1986" spans="1:27" ht="15">
      <c r="A1986" s="66" t="s">
        <v>224</v>
      </c>
      <c r="B1986" s="66" t="s">
        <v>510</v>
      </c>
      <c r="C1986" s="67" t="s">
        <v>4454</v>
      </c>
      <c r="D1986" s="68">
        <v>5</v>
      </c>
      <c r="E1986" s="69"/>
      <c r="F1986" s="70">
        <v>20</v>
      </c>
      <c r="G1986" s="67"/>
      <c r="H1986" s="71"/>
      <c r="I1986" s="72"/>
      <c r="J1986" s="72"/>
      <c r="K1986" s="34" t="s">
        <v>65</v>
      </c>
      <c r="L1986" s="79">
        <v>1986</v>
      </c>
      <c r="M1986" s="79"/>
      <c r="N1986" s="74"/>
      <c r="O1986" s="81" t="s">
        <v>944</v>
      </c>
      <c r="P1986">
        <v>1</v>
      </c>
      <c r="Q1986" s="80" t="str">
        <f>REPLACE(INDEX(GroupVertices[Group],MATCH(Edges[[#This Row],[Vertex 1]],GroupVertices[Vertex],0)),1,1,"")</f>
        <v>2</v>
      </c>
      <c r="R1986" s="80" t="str">
        <f>REPLACE(INDEX(GroupVertices[Group],MATCH(Edges[[#This Row],[Vertex 2]],GroupVertices[Vertex],0)),1,1,"")</f>
        <v>2</v>
      </c>
      <c r="S1986" s="34"/>
      <c r="T1986" s="34"/>
      <c r="U1986" s="34"/>
      <c r="V1986" s="34"/>
      <c r="W1986" s="34"/>
      <c r="X1986" s="34"/>
      <c r="Y1986" s="34"/>
      <c r="Z1986" s="34"/>
      <c r="AA1986" s="34"/>
    </row>
    <row r="1987" spans="1:27" ht="15">
      <c r="A1987" s="66" t="s">
        <v>233</v>
      </c>
      <c r="B1987" s="66" t="s">
        <v>510</v>
      </c>
      <c r="C1987" s="67" t="s">
        <v>4454</v>
      </c>
      <c r="D1987" s="68">
        <v>5</v>
      </c>
      <c r="E1987" s="69"/>
      <c r="F1987" s="70">
        <v>20</v>
      </c>
      <c r="G1987" s="67"/>
      <c r="H1987" s="71"/>
      <c r="I1987" s="72"/>
      <c r="J1987" s="72"/>
      <c r="K1987" s="34" t="s">
        <v>65</v>
      </c>
      <c r="L1987" s="79">
        <v>1987</v>
      </c>
      <c r="M1987" s="79"/>
      <c r="N1987" s="74"/>
      <c r="O1987" s="81" t="s">
        <v>944</v>
      </c>
      <c r="P1987">
        <v>1</v>
      </c>
      <c r="Q1987" s="80" t="str">
        <f>REPLACE(INDEX(GroupVertices[Group],MATCH(Edges[[#This Row],[Vertex 1]],GroupVertices[Vertex],0)),1,1,"")</f>
        <v>2</v>
      </c>
      <c r="R1987" s="80" t="str">
        <f>REPLACE(INDEX(GroupVertices[Group],MATCH(Edges[[#This Row],[Vertex 2]],GroupVertices[Vertex],0)),1,1,"")</f>
        <v>2</v>
      </c>
      <c r="S1987" s="34"/>
      <c r="T1987" s="34"/>
      <c r="U1987" s="34"/>
      <c r="V1987" s="34"/>
      <c r="W1987" s="34"/>
      <c r="X1987" s="34"/>
      <c r="Y1987" s="34"/>
      <c r="Z1987" s="34"/>
      <c r="AA1987" s="34"/>
    </row>
    <row r="1988" spans="1:27" ht="15">
      <c r="A1988" s="66" t="s">
        <v>238</v>
      </c>
      <c r="B1988" s="66" t="s">
        <v>510</v>
      </c>
      <c r="C1988" s="67" t="s">
        <v>4454</v>
      </c>
      <c r="D1988" s="68">
        <v>5</v>
      </c>
      <c r="E1988" s="69"/>
      <c r="F1988" s="70">
        <v>20</v>
      </c>
      <c r="G1988" s="67"/>
      <c r="H1988" s="71"/>
      <c r="I1988" s="72"/>
      <c r="J1988" s="72"/>
      <c r="K1988" s="34" t="s">
        <v>65</v>
      </c>
      <c r="L1988" s="79">
        <v>1988</v>
      </c>
      <c r="M1988" s="79"/>
      <c r="N1988" s="74"/>
      <c r="O1988" s="81" t="s">
        <v>944</v>
      </c>
      <c r="P1988">
        <v>1</v>
      </c>
      <c r="Q1988" s="80" t="str">
        <f>REPLACE(INDEX(GroupVertices[Group],MATCH(Edges[[#This Row],[Vertex 1]],GroupVertices[Vertex],0)),1,1,"")</f>
        <v>2</v>
      </c>
      <c r="R1988" s="80" t="str">
        <f>REPLACE(INDEX(GroupVertices[Group],MATCH(Edges[[#This Row],[Vertex 2]],GroupVertices[Vertex],0)),1,1,"")</f>
        <v>2</v>
      </c>
      <c r="S1988" s="34"/>
      <c r="T1988" s="34"/>
      <c r="U1988" s="34"/>
      <c r="V1988" s="34"/>
      <c r="W1988" s="34"/>
      <c r="X1988" s="34"/>
      <c r="Y1988" s="34"/>
      <c r="Z1988" s="34"/>
      <c r="AA1988" s="34"/>
    </row>
    <row r="1989" spans="1:27" ht="15">
      <c r="A1989" s="66" t="s">
        <v>242</v>
      </c>
      <c r="B1989" s="66" t="s">
        <v>510</v>
      </c>
      <c r="C1989" s="67" t="s">
        <v>4454</v>
      </c>
      <c r="D1989" s="68">
        <v>5</v>
      </c>
      <c r="E1989" s="69"/>
      <c r="F1989" s="70">
        <v>20</v>
      </c>
      <c r="G1989" s="67"/>
      <c r="H1989" s="71"/>
      <c r="I1989" s="72"/>
      <c r="J1989" s="72"/>
      <c r="K1989" s="34" t="s">
        <v>65</v>
      </c>
      <c r="L1989" s="79">
        <v>1989</v>
      </c>
      <c r="M1989" s="79"/>
      <c r="N1989" s="74"/>
      <c r="O1989" s="81" t="s">
        <v>944</v>
      </c>
      <c r="P1989">
        <v>1</v>
      </c>
      <c r="Q1989" s="80" t="str">
        <f>REPLACE(INDEX(GroupVertices[Group],MATCH(Edges[[#This Row],[Vertex 1]],GroupVertices[Vertex],0)),1,1,"")</f>
        <v>1</v>
      </c>
      <c r="R1989" s="80" t="str">
        <f>REPLACE(INDEX(GroupVertices[Group],MATCH(Edges[[#This Row],[Vertex 2]],GroupVertices[Vertex],0)),1,1,"")</f>
        <v>2</v>
      </c>
      <c r="S1989" s="34"/>
      <c r="T1989" s="34"/>
      <c r="U1989" s="34"/>
      <c r="V1989" s="34"/>
      <c r="W1989" s="34"/>
      <c r="X1989" s="34"/>
      <c r="Y1989" s="34"/>
      <c r="Z1989" s="34"/>
      <c r="AA1989" s="34"/>
    </row>
    <row r="1990" spans="1:27" ht="15">
      <c r="A1990" s="66" t="s">
        <v>246</v>
      </c>
      <c r="B1990" s="66" t="s">
        <v>510</v>
      </c>
      <c r="C1990" s="67" t="s">
        <v>4454</v>
      </c>
      <c r="D1990" s="68">
        <v>5</v>
      </c>
      <c r="E1990" s="69"/>
      <c r="F1990" s="70">
        <v>20</v>
      </c>
      <c r="G1990" s="67"/>
      <c r="H1990" s="71"/>
      <c r="I1990" s="72"/>
      <c r="J1990" s="72"/>
      <c r="K1990" s="34" t="s">
        <v>65</v>
      </c>
      <c r="L1990" s="79">
        <v>1990</v>
      </c>
      <c r="M1990" s="79"/>
      <c r="N1990" s="74"/>
      <c r="O1990" s="81" t="s">
        <v>944</v>
      </c>
      <c r="P1990">
        <v>1</v>
      </c>
      <c r="Q1990" s="80" t="str">
        <f>REPLACE(INDEX(GroupVertices[Group],MATCH(Edges[[#This Row],[Vertex 1]],GroupVertices[Vertex],0)),1,1,"")</f>
        <v>2</v>
      </c>
      <c r="R1990" s="80" t="str">
        <f>REPLACE(INDEX(GroupVertices[Group],MATCH(Edges[[#This Row],[Vertex 2]],GroupVertices[Vertex],0)),1,1,"")</f>
        <v>2</v>
      </c>
      <c r="S1990" s="34"/>
      <c r="T1990" s="34"/>
      <c r="U1990" s="34"/>
      <c r="V1990" s="34"/>
      <c r="W1990" s="34"/>
      <c r="X1990" s="34"/>
      <c r="Y1990" s="34"/>
      <c r="Z1990" s="34"/>
      <c r="AA1990" s="34"/>
    </row>
    <row r="1991" spans="1:27" ht="15">
      <c r="A1991" s="66" t="s">
        <v>249</v>
      </c>
      <c r="B1991" s="66" t="s">
        <v>510</v>
      </c>
      <c r="C1991" s="67" t="s">
        <v>4454</v>
      </c>
      <c r="D1991" s="68">
        <v>5</v>
      </c>
      <c r="E1991" s="69"/>
      <c r="F1991" s="70">
        <v>20</v>
      </c>
      <c r="G1991" s="67"/>
      <c r="H1991" s="71"/>
      <c r="I1991" s="72"/>
      <c r="J1991" s="72"/>
      <c r="K1991" s="34" t="s">
        <v>65</v>
      </c>
      <c r="L1991" s="79">
        <v>1991</v>
      </c>
      <c r="M1991" s="79"/>
      <c r="N1991" s="74"/>
      <c r="O1991" s="81" t="s">
        <v>944</v>
      </c>
      <c r="P1991">
        <v>1</v>
      </c>
      <c r="Q1991" s="80" t="str">
        <f>REPLACE(INDEX(GroupVertices[Group],MATCH(Edges[[#This Row],[Vertex 1]],GroupVertices[Vertex],0)),1,1,"")</f>
        <v>2</v>
      </c>
      <c r="R1991" s="80" t="str">
        <f>REPLACE(INDEX(GroupVertices[Group],MATCH(Edges[[#This Row],[Vertex 2]],GroupVertices[Vertex],0)),1,1,"")</f>
        <v>2</v>
      </c>
      <c r="S1991" s="34"/>
      <c r="T1991" s="34"/>
      <c r="U1991" s="34"/>
      <c r="V1991" s="34"/>
      <c r="W1991" s="34"/>
      <c r="X1991" s="34"/>
      <c r="Y1991" s="34"/>
      <c r="Z1991" s="34"/>
      <c r="AA1991" s="34"/>
    </row>
    <row r="1992" spans="1:27" ht="15">
      <c r="A1992" s="66" t="s">
        <v>250</v>
      </c>
      <c r="B1992" s="66" t="s">
        <v>510</v>
      </c>
      <c r="C1992" s="67" t="s">
        <v>4454</v>
      </c>
      <c r="D1992" s="68">
        <v>5</v>
      </c>
      <c r="E1992" s="69"/>
      <c r="F1992" s="70">
        <v>20</v>
      </c>
      <c r="G1992" s="67"/>
      <c r="H1992" s="71"/>
      <c r="I1992" s="72"/>
      <c r="J1992" s="72"/>
      <c r="K1992" s="34" t="s">
        <v>65</v>
      </c>
      <c r="L1992" s="79">
        <v>1992</v>
      </c>
      <c r="M1992" s="79"/>
      <c r="N1992" s="74"/>
      <c r="O1992" s="81" t="s">
        <v>944</v>
      </c>
      <c r="P1992">
        <v>1</v>
      </c>
      <c r="Q1992" s="80" t="str">
        <f>REPLACE(INDEX(GroupVertices[Group],MATCH(Edges[[#This Row],[Vertex 1]],GroupVertices[Vertex],0)),1,1,"")</f>
        <v>2</v>
      </c>
      <c r="R1992" s="80" t="str">
        <f>REPLACE(INDEX(GroupVertices[Group],MATCH(Edges[[#This Row],[Vertex 2]],GroupVertices[Vertex],0)),1,1,"")</f>
        <v>2</v>
      </c>
      <c r="S1992" s="34"/>
      <c r="T1992" s="34"/>
      <c r="U1992" s="34"/>
      <c r="V1992" s="34"/>
      <c r="W1992" s="34"/>
      <c r="X1992" s="34"/>
      <c r="Y1992" s="34"/>
      <c r="Z1992" s="34"/>
      <c r="AA1992" s="34"/>
    </row>
    <row r="1993" spans="1:27" ht="15">
      <c r="A1993" s="66" t="s">
        <v>255</v>
      </c>
      <c r="B1993" s="66" t="s">
        <v>510</v>
      </c>
      <c r="C1993" s="67" t="s">
        <v>4454</v>
      </c>
      <c r="D1993" s="68">
        <v>5</v>
      </c>
      <c r="E1993" s="69"/>
      <c r="F1993" s="70">
        <v>20</v>
      </c>
      <c r="G1993" s="67"/>
      <c r="H1993" s="71"/>
      <c r="I1993" s="72"/>
      <c r="J1993" s="72"/>
      <c r="K1993" s="34" t="s">
        <v>65</v>
      </c>
      <c r="L1993" s="79">
        <v>1993</v>
      </c>
      <c r="M1993" s="79"/>
      <c r="N1993" s="74"/>
      <c r="O1993" s="81" t="s">
        <v>944</v>
      </c>
      <c r="P1993">
        <v>1</v>
      </c>
      <c r="Q1993" s="80" t="str">
        <f>REPLACE(INDEX(GroupVertices[Group],MATCH(Edges[[#This Row],[Vertex 1]],GroupVertices[Vertex],0)),1,1,"")</f>
        <v>4</v>
      </c>
      <c r="R1993" s="80" t="str">
        <f>REPLACE(INDEX(GroupVertices[Group],MATCH(Edges[[#This Row],[Vertex 2]],GroupVertices[Vertex],0)),1,1,"")</f>
        <v>2</v>
      </c>
      <c r="S1993" s="34"/>
      <c r="T1993" s="34"/>
      <c r="U1993" s="34"/>
      <c r="V1993" s="34"/>
      <c r="W1993" s="34"/>
      <c r="X1993" s="34"/>
      <c r="Y1993" s="34"/>
      <c r="Z1993" s="34"/>
      <c r="AA1993" s="34"/>
    </row>
    <row r="1994" spans="1:27" ht="15">
      <c r="A1994" s="66" t="s">
        <v>256</v>
      </c>
      <c r="B1994" s="66" t="s">
        <v>510</v>
      </c>
      <c r="C1994" s="67" t="s">
        <v>4454</v>
      </c>
      <c r="D1994" s="68">
        <v>5</v>
      </c>
      <c r="E1994" s="69"/>
      <c r="F1994" s="70">
        <v>20</v>
      </c>
      <c r="G1994" s="67"/>
      <c r="H1994" s="71"/>
      <c r="I1994" s="72"/>
      <c r="J1994" s="72"/>
      <c r="K1994" s="34" t="s">
        <v>65</v>
      </c>
      <c r="L1994" s="79">
        <v>1994</v>
      </c>
      <c r="M1994" s="79"/>
      <c r="N1994" s="74"/>
      <c r="O1994" s="81" t="s">
        <v>944</v>
      </c>
      <c r="P1994">
        <v>1</v>
      </c>
      <c r="Q1994" s="80" t="str">
        <f>REPLACE(INDEX(GroupVertices[Group],MATCH(Edges[[#This Row],[Vertex 1]],GroupVertices[Vertex],0)),1,1,"")</f>
        <v>1</v>
      </c>
      <c r="R1994" s="80" t="str">
        <f>REPLACE(INDEX(GroupVertices[Group],MATCH(Edges[[#This Row],[Vertex 2]],GroupVertices[Vertex],0)),1,1,"")</f>
        <v>2</v>
      </c>
      <c r="S1994" s="34"/>
      <c r="T1994" s="34"/>
      <c r="U1994" s="34"/>
      <c r="V1994" s="34"/>
      <c r="W1994" s="34"/>
      <c r="X1994" s="34"/>
      <c r="Y1994" s="34"/>
      <c r="Z1994" s="34"/>
      <c r="AA1994" s="34"/>
    </row>
    <row r="1995" spans="1:27" ht="15">
      <c r="A1995" s="66" t="s">
        <v>258</v>
      </c>
      <c r="B1995" s="66" t="s">
        <v>510</v>
      </c>
      <c r="C1995" s="67" t="s">
        <v>4454</v>
      </c>
      <c r="D1995" s="68">
        <v>5</v>
      </c>
      <c r="E1995" s="69"/>
      <c r="F1995" s="70">
        <v>20</v>
      </c>
      <c r="G1995" s="67"/>
      <c r="H1995" s="71"/>
      <c r="I1995" s="72"/>
      <c r="J1995" s="72"/>
      <c r="K1995" s="34" t="s">
        <v>65</v>
      </c>
      <c r="L1995" s="79">
        <v>1995</v>
      </c>
      <c r="M1995" s="79"/>
      <c r="N1995" s="74"/>
      <c r="O1995" s="81" t="s">
        <v>944</v>
      </c>
      <c r="P1995">
        <v>1</v>
      </c>
      <c r="Q1995" s="80" t="str">
        <f>REPLACE(INDEX(GroupVertices[Group],MATCH(Edges[[#This Row],[Vertex 1]],GroupVertices[Vertex],0)),1,1,"")</f>
        <v>1</v>
      </c>
      <c r="R1995" s="80" t="str">
        <f>REPLACE(INDEX(GroupVertices[Group],MATCH(Edges[[#This Row],[Vertex 2]],GroupVertices[Vertex],0)),1,1,"")</f>
        <v>2</v>
      </c>
      <c r="S1995" s="34"/>
      <c r="T1995" s="34"/>
      <c r="U1995" s="34"/>
      <c r="V1995" s="34"/>
      <c r="W1995" s="34"/>
      <c r="X1995" s="34"/>
      <c r="Y1995" s="34"/>
      <c r="Z1995" s="34"/>
      <c r="AA1995" s="34"/>
    </row>
    <row r="1996" spans="1:27" ht="15">
      <c r="A1996" s="66" t="s">
        <v>259</v>
      </c>
      <c r="B1996" s="66" t="s">
        <v>510</v>
      </c>
      <c r="C1996" s="67" t="s">
        <v>4454</v>
      </c>
      <c r="D1996" s="68">
        <v>5</v>
      </c>
      <c r="E1996" s="69"/>
      <c r="F1996" s="70">
        <v>20</v>
      </c>
      <c r="G1996" s="67"/>
      <c r="H1996" s="71"/>
      <c r="I1996" s="72"/>
      <c r="J1996" s="72"/>
      <c r="K1996" s="34" t="s">
        <v>65</v>
      </c>
      <c r="L1996" s="79">
        <v>1996</v>
      </c>
      <c r="M1996" s="79"/>
      <c r="N1996" s="74"/>
      <c r="O1996" s="81" t="s">
        <v>944</v>
      </c>
      <c r="P1996">
        <v>1</v>
      </c>
      <c r="Q1996" s="80" t="str">
        <f>REPLACE(INDEX(GroupVertices[Group],MATCH(Edges[[#This Row],[Vertex 1]],GroupVertices[Vertex],0)),1,1,"")</f>
        <v>2</v>
      </c>
      <c r="R1996" s="80" t="str">
        <f>REPLACE(INDEX(GroupVertices[Group],MATCH(Edges[[#This Row],[Vertex 2]],GroupVertices[Vertex],0)),1,1,"")</f>
        <v>2</v>
      </c>
      <c r="S1996" s="34"/>
      <c r="T1996" s="34"/>
      <c r="U1996" s="34"/>
      <c r="V1996" s="34"/>
      <c r="W1996" s="34"/>
      <c r="X1996" s="34"/>
      <c r="Y1996" s="34"/>
      <c r="Z1996" s="34"/>
      <c r="AA1996" s="34"/>
    </row>
    <row r="1997" spans="1:27" ht="15">
      <c r="A1997" s="66" t="s">
        <v>260</v>
      </c>
      <c r="B1997" s="66" t="s">
        <v>510</v>
      </c>
      <c r="C1997" s="67" t="s">
        <v>4454</v>
      </c>
      <c r="D1997" s="68">
        <v>5</v>
      </c>
      <c r="E1997" s="69"/>
      <c r="F1997" s="70">
        <v>20</v>
      </c>
      <c r="G1997" s="67"/>
      <c r="H1997" s="71"/>
      <c r="I1997" s="72"/>
      <c r="J1997" s="72"/>
      <c r="K1997" s="34" t="s">
        <v>65</v>
      </c>
      <c r="L1997" s="79">
        <v>1997</v>
      </c>
      <c r="M1997" s="79"/>
      <c r="N1997" s="74"/>
      <c r="O1997" s="81" t="s">
        <v>944</v>
      </c>
      <c r="P1997">
        <v>1</v>
      </c>
      <c r="Q1997" s="80" t="str">
        <f>REPLACE(INDEX(GroupVertices[Group],MATCH(Edges[[#This Row],[Vertex 1]],GroupVertices[Vertex],0)),1,1,"")</f>
        <v>2</v>
      </c>
      <c r="R1997" s="80" t="str">
        <f>REPLACE(INDEX(GroupVertices[Group],MATCH(Edges[[#This Row],[Vertex 2]],GroupVertices[Vertex],0)),1,1,"")</f>
        <v>2</v>
      </c>
      <c r="S1997" s="34"/>
      <c r="T1997" s="34"/>
      <c r="U1997" s="34"/>
      <c r="V1997" s="34"/>
      <c r="W1997" s="34"/>
      <c r="X1997" s="34"/>
      <c r="Y1997" s="34"/>
      <c r="Z1997" s="34"/>
      <c r="AA1997" s="34"/>
    </row>
    <row r="1998" spans="1:27" ht="15">
      <c r="A1998" s="66" t="s">
        <v>220</v>
      </c>
      <c r="B1998" s="66" t="s">
        <v>255</v>
      </c>
      <c r="C1998" s="67" t="s">
        <v>4454</v>
      </c>
      <c r="D1998" s="68">
        <v>5</v>
      </c>
      <c r="E1998" s="69"/>
      <c r="F1998" s="70">
        <v>20</v>
      </c>
      <c r="G1998" s="67"/>
      <c r="H1998" s="71"/>
      <c r="I1998" s="72"/>
      <c r="J1998" s="72"/>
      <c r="K1998" s="34" t="s">
        <v>65</v>
      </c>
      <c r="L1998" s="79">
        <v>1998</v>
      </c>
      <c r="M1998" s="79"/>
      <c r="N1998" s="74"/>
      <c r="O1998" s="81" t="s">
        <v>944</v>
      </c>
      <c r="P1998">
        <v>1</v>
      </c>
      <c r="Q1998" s="80" t="str">
        <f>REPLACE(INDEX(GroupVertices[Group],MATCH(Edges[[#This Row],[Vertex 1]],GroupVertices[Vertex],0)),1,1,"")</f>
        <v>2</v>
      </c>
      <c r="R1998" s="80" t="str">
        <f>REPLACE(INDEX(GroupVertices[Group],MATCH(Edges[[#This Row],[Vertex 2]],GroupVertices[Vertex],0)),1,1,"")</f>
        <v>4</v>
      </c>
      <c r="S1998" s="34"/>
      <c r="T1998" s="34"/>
      <c r="U1998" s="34"/>
      <c r="V1998" s="34"/>
      <c r="W1998" s="34"/>
      <c r="X1998" s="34"/>
      <c r="Y1998" s="34"/>
      <c r="Z1998" s="34"/>
      <c r="AA1998" s="34"/>
    </row>
    <row r="1999" spans="1:27" ht="15">
      <c r="A1999" s="66" t="s">
        <v>221</v>
      </c>
      <c r="B1999" s="66" t="s">
        <v>255</v>
      </c>
      <c r="C1999" s="67" t="s">
        <v>4454</v>
      </c>
      <c r="D1999" s="68">
        <v>5</v>
      </c>
      <c r="E1999" s="69"/>
      <c r="F1999" s="70">
        <v>20</v>
      </c>
      <c r="G1999" s="67"/>
      <c r="H1999" s="71"/>
      <c r="I1999" s="72"/>
      <c r="J1999" s="72"/>
      <c r="K1999" s="34" t="s">
        <v>65</v>
      </c>
      <c r="L1999" s="79">
        <v>1999</v>
      </c>
      <c r="M1999" s="79"/>
      <c r="N1999" s="74"/>
      <c r="O1999" s="81" t="s">
        <v>944</v>
      </c>
      <c r="P1999">
        <v>1</v>
      </c>
      <c r="Q1999" s="80" t="str">
        <f>REPLACE(INDEX(GroupVertices[Group],MATCH(Edges[[#This Row],[Vertex 1]],GroupVertices[Vertex],0)),1,1,"")</f>
        <v>2</v>
      </c>
      <c r="R1999" s="80" t="str">
        <f>REPLACE(INDEX(GroupVertices[Group],MATCH(Edges[[#This Row],[Vertex 2]],GroupVertices[Vertex],0)),1,1,"")</f>
        <v>4</v>
      </c>
      <c r="S1999" s="34"/>
      <c r="T1999" s="34"/>
      <c r="U1999" s="34"/>
      <c r="V1999" s="34"/>
      <c r="W1999" s="34"/>
      <c r="X1999" s="34"/>
      <c r="Y1999" s="34"/>
      <c r="Z1999" s="34"/>
      <c r="AA1999" s="34"/>
    </row>
    <row r="2000" spans="1:27" ht="15">
      <c r="A2000" s="66" t="s">
        <v>224</v>
      </c>
      <c r="B2000" s="66" t="s">
        <v>255</v>
      </c>
      <c r="C2000" s="67" t="s">
        <v>4454</v>
      </c>
      <c r="D2000" s="68">
        <v>5</v>
      </c>
      <c r="E2000" s="69"/>
      <c r="F2000" s="70">
        <v>20</v>
      </c>
      <c r="G2000" s="67"/>
      <c r="H2000" s="71"/>
      <c r="I2000" s="72"/>
      <c r="J2000" s="72"/>
      <c r="K2000" s="34" t="s">
        <v>65</v>
      </c>
      <c r="L2000" s="79">
        <v>2000</v>
      </c>
      <c r="M2000" s="79"/>
      <c r="N2000" s="74"/>
      <c r="O2000" s="81" t="s">
        <v>944</v>
      </c>
      <c r="P2000">
        <v>1</v>
      </c>
      <c r="Q2000" s="80" t="str">
        <f>REPLACE(INDEX(GroupVertices[Group],MATCH(Edges[[#This Row],[Vertex 1]],GroupVertices[Vertex],0)),1,1,"")</f>
        <v>2</v>
      </c>
      <c r="R2000" s="80" t="str">
        <f>REPLACE(INDEX(GroupVertices[Group],MATCH(Edges[[#This Row],[Vertex 2]],GroupVertices[Vertex],0)),1,1,"")</f>
        <v>4</v>
      </c>
      <c r="S2000" s="34"/>
      <c r="T2000" s="34"/>
      <c r="U2000" s="34"/>
      <c r="V2000" s="34"/>
      <c r="W2000" s="34"/>
      <c r="X2000" s="34"/>
      <c r="Y2000" s="34"/>
      <c r="Z2000" s="34"/>
      <c r="AA2000" s="34"/>
    </row>
    <row r="2001" spans="1:27" ht="15">
      <c r="A2001" s="66" t="s">
        <v>233</v>
      </c>
      <c r="B2001" s="66" t="s">
        <v>255</v>
      </c>
      <c r="C2001" s="67" t="s">
        <v>4454</v>
      </c>
      <c r="D2001" s="68">
        <v>5</v>
      </c>
      <c r="E2001" s="69"/>
      <c r="F2001" s="70">
        <v>20</v>
      </c>
      <c r="G2001" s="67"/>
      <c r="H2001" s="71"/>
      <c r="I2001" s="72"/>
      <c r="J2001" s="72"/>
      <c r="K2001" s="34" t="s">
        <v>65</v>
      </c>
      <c r="L2001" s="79">
        <v>2001</v>
      </c>
      <c r="M2001" s="79"/>
      <c r="N2001" s="74"/>
      <c r="O2001" s="81" t="s">
        <v>944</v>
      </c>
      <c r="P2001">
        <v>1</v>
      </c>
      <c r="Q2001" s="80" t="str">
        <f>REPLACE(INDEX(GroupVertices[Group],MATCH(Edges[[#This Row],[Vertex 1]],GroupVertices[Vertex],0)),1,1,"")</f>
        <v>2</v>
      </c>
      <c r="R2001" s="80" t="str">
        <f>REPLACE(INDEX(GroupVertices[Group],MATCH(Edges[[#This Row],[Vertex 2]],GroupVertices[Vertex],0)),1,1,"")</f>
        <v>4</v>
      </c>
      <c r="S2001" s="34"/>
      <c r="T2001" s="34"/>
      <c r="U2001" s="34"/>
      <c r="V2001" s="34"/>
      <c r="W2001" s="34"/>
      <c r="X2001" s="34"/>
      <c r="Y2001" s="34"/>
      <c r="Z2001" s="34"/>
      <c r="AA2001" s="34"/>
    </row>
    <row r="2002" spans="1:27" ht="15">
      <c r="A2002" s="66" t="s">
        <v>238</v>
      </c>
      <c r="B2002" s="66" t="s">
        <v>255</v>
      </c>
      <c r="C2002" s="67" t="s">
        <v>4454</v>
      </c>
      <c r="D2002" s="68">
        <v>5</v>
      </c>
      <c r="E2002" s="69"/>
      <c r="F2002" s="70">
        <v>20</v>
      </c>
      <c r="G2002" s="67"/>
      <c r="H2002" s="71"/>
      <c r="I2002" s="72"/>
      <c r="J2002" s="72"/>
      <c r="K2002" s="34" t="s">
        <v>65</v>
      </c>
      <c r="L2002" s="79">
        <v>2002</v>
      </c>
      <c r="M2002" s="79"/>
      <c r="N2002" s="74"/>
      <c r="O2002" s="81" t="s">
        <v>944</v>
      </c>
      <c r="P2002">
        <v>1</v>
      </c>
      <c r="Q2002" s="80" t="str">
        <f>REPLACE(INDEX(GroupVertices[Group],MATCH(Edges[[#This Row],[Vertex 1]],GroupVertices[Vertex],0)),1,1,"")</f>
        <v>2</v>
      </c>
      <c r="R2002" s="80" t="str">
        <f>REPLACE(INDEX(GroupVertices[Group],MATCH(Edges[[#This Row],[Vertex 2]],GroupVertices[Vertex],0)),1,1,"")</f>
        <v>4</v>
      </c>
      <c r="S2002" s="34"/>
      <c r="T2002" s="34"/>
      <c r="U2002" s="34"/>
      <c r="V2002" s="34"/>
      <c r="W2002" s="34"/>
      <c r="X2002" s="34"/>
      <c r="Y2002" s="34"/>
      <c r="Z2002" s="34"/>
      <c r="AA2002" s="34"/>
    </row>
    <row r="2003" spans="1:27" ht="15">
      <c r="A2003" s="66" t="s">
        <v>242</v>
      </c>
      <c r="B2003" s="66" t="s">
        <v>255</v>
      </c>
      <c r="C2003" s="67" t="s">
        <v>4454</v>
      </c>
      <c r="D2003" s="68">
        <v>5</v>
      </c>
      <c r="E2003" s="69"/>
      <c r="F2003" s="70">
        <v>20</v>
      </c>
      <c r="G2003" s="67"/>
      <c r="H2003" s="71"/>
      <c r="I2003" s="72"/>
      <c r="J2003" s="72"/>
      <c r="K2003" s="34" t="s">
        <v>65</v>
      </c>
      <c r="L2003" s="79">
        <v>2003</v>
      </c>
      <c r="M2003" s="79"/>
      <c r="N2003" s="74"/>
      <c r="O2003" s="81" t="s">
        <v>944</v>
      </c>
      <c r="P2003">
        <v>1</v>
      </c>
      <c r="Q2003" s="80" t="str">
        <f>REPLACE(INDEX(GroupVertices[Group],MATCH(Edges[[#This Row],[Vertex 1]],GroupVertices[Vertex],0)),1,1,"")</f>
        <v>1</v>
      </c>
      <c r="R2003" s="80" t="str">
        <f>REPLACE(INDEX(GroupVertices[Group],MATCH(Edges[[#This Row],[Vertex 2]],GroupVertices[Vertex],0)),1,1,"")</f>
        <v>4</v>
      </c>
      <c r="S2003" s="34"/>
      <c r="T2003" s="34"/>
      <c r="U2003" s="34"/>
      <c r="V2003" s="34"/>
      <c r="W2003" s="34"/>
      <c r="X2003" s="34"/>
      <c r="Y2003" s="34"/>
      <c r="Z2003" s="34"/>
      <c r="AA2003" s="34"/>
    </row>
    <row r="2004" spans="1:27" ht="15">
      <c r="A2004" s="66" t="s">
        <v>249</v>
      </c>
      <c r="B2004" s="66" t="s">
        <v>255</v>
      </c>
      <c r="C2004" s="67" t="s">
        <v>4454</v>
      </c>
      <c r="D2004" s="68">
        <v>5</v>
      </c>
      <c r="E2004" s="69"/>
      <c r="F2004" s="70">
        <v>20</v>
      </c>
      <c r="G2004" s="67"/>
      <c r="H2004" s="71"/>
      <c r="I2004" s="72"/>
      <c r="J2004" s="72"/>
      <c r="K2004" s="34" t="s">
        <v>65</v>
      </c>
      <c r="L2004" s="79">
        <v>2004</v>
      </c>
      <c r="M2004" s="79"/>
      <c r="N2004" s="74"/>
      <c r="O2004" s="81" t="s">
        <v>944</v>
      </c>
      <c r="P2004">
        <v>1</v>
      </c>
      <c r="Q2004" s="80" t="str">
        <f>REPLACE(INDEX(GroupVertices[Group],MATCH(Edges[[#This Row],[Vertex 1]],GroupVertices[Vertex],0)),1,1,"")</f>
        <v>2</v>
      </c>
      <c r="R2004" s="80" t="str">
        <f>REPLACE(INDEX(GroupVertices[Group],MATCH(Edges[[#This Row],[Vertex 2]],GroupVertices[Vertex],0)),1,1,"")</f>
        <v>4</v>
      </c>
      <c r="S2004" s="34"/>
      <c r="T2004" s="34"/>
      <c r="U2004" s="34"/>
      <c r="V2004" s="34"/>
      <c r="W2004" s="34"/>
      <c r="X2004" s="34"/>
      <c r="Y2004" s="34"/>
      <c r="Z2004" s="34"/>
      <c r="AA2004" s="34"/>
    </row>
    <row r="2005" spans="1:27" ht="15">
      <c r="A2005" s="66" t="s">
        <v>250</v>
      </c>
      <c r="B2005" s="66" t="s">
        <v>255</v>
      </c>
      <c r="C2005" s="67" t="s">
        <v>4454</v>
      </c>
      <c r="D2005" s="68">
        <v>5</v>
      </c>
      <c r="E2005" s="69"/>
      <c r="F2005" s="70">
        <v>20</v>
      </c>
      <c r="G2005" s="67"/>
      <c r="H2005" s="71"/>
      <c r="I2005" s="72"/>
      <c r="J2005" s="72"/>
      <c r="K2005" s="34" t="s">
        <v>66</v>
      </c>
      <c r="L2005" s="79">
        <v>2005</v>
      </c>
      <c r="M2005" s="79"/>
      <c r="N2005" s="74"/>
      <c r="O2005" s="81" t="s">
        <v>944</v>
      </c>
      <c r="P2005">
        <v>1</v>
      </c>
      <c r="Q2005" s="80" t="str">
        <f>REPLACE(INDEX(GroupVertices[Group],MATCH(Edges[[#This Row],[Vertex 1]],GroupVertices[Vertex],0)),1,1,"")</f>
        <v>2</v>
      </c>
      <c r="R2005" s="80" t="str">
        <f>REPLACE(INDEX(GroupVertices[Group],MATCH(Edges[[#This Row],[Vertex 2]],GroupVertices[Vertex],0)),1,1,"")</f>
        <v>4</v>
      </c>
      <c r="S2005" s="34"/>
      <c r="T2005" s="34"/>
      <c r="U2005" s="34"/>
      <c r="V2005" s="34"/>
      <c r="W2005" s="34"/>
      <c r="X2005" s="34"/>
      <c r="Y2005" s="34"/>
      <c r="Z2005" s="34"/>
      <c r="AA2005" s="34"/>
    </row>
    <row r="2006" spans="1:27" ht="15">
      <c r="A2006" s="66" t="s">
        <v>255</v>
      </c>
      <c r="B2006" s="66" t="s">
        <v>226</v>
      </c>
      <c r="C2006" s="67" t="s">
        <v>4454</v>
      </c>
      <c r="D2006" s="68">
        <v>5</v>
      </c>
      <c r="E2006" s="69"/>
      <c r="F2006" s="70">
        <v>20</v>
      </c>
      <c r="G2006" s="67"/>
      <c r="H2006" s="71"/>
      <c r="I2006" s="72"/>
      <c r="J2006" s="72"/>
      <c r="K2006" s="34" t="s">
        <v>65</v>
      </c>
      <c r="L2006" s="79">
        <v>2006</v>
      </c>
      <c r="M2006" s="79"/>
      <c r="N2006" s="74"/>
      <c r="O2006" s="81" t="s">
        <v>944</v>
      </c>
      <c r="P2006">
        <v>1</v>
      </c>
      <c r="Q2006" s="80" t="str">
        <f>REPLACE(INDEX(GroupVertices[Group],MATCH(Edges[[#This Row],[Vertex 1]],GroupVertices[Vertex],0)),1,1,"")</f>
        <v>4</v>
      </c>
      <c r="R2006" s="80" t="str">
        <f>REPLACE(INDEX(GroupVertices[Group],MATCH(Edges[[#This Row],[Vertex 2]],GroupVertices[Vertex],0)),1,1,"")</f>
        <v>4</v>
      </c>
      <c r="S2006" s="34"/>
      <c r="T2006" s="34"/>
      <c r="U2006" s="34"/>
      <c r="V2006" s="34"/>
      <c r="W2006" s="34"/>
      <c r="X2006" s="34"/>
      <c r="Y2006" s="34"/>
      <c r="Z2006" s="34"/>
      <c r="AA2006" s="34"/>
    </row>
    <row r="2007" spans="1:27" ht="15">
      <c r="A2007" s="66" t="s">
        <v>255</v>
      </c>
      <c r="B2007" s="66" t="s">
        <v>260</v>
      </c>
      <c r="C2007" s="67" t="s">
        <v>4454</v>
      </c>
      <c r="D2007" s="68">
        <v>5</v>
      </c>
      <c r="E2007" s="69"/>
      <c r="F2007" s="70">
        <v>20</v>
      </c>
      <c r="G2007" s="67"/>
      <c r="H2007" s="71"/>
      <c r="I2007" s="72"/>
      <c r="J2007" s="72"/>
      <c r="K2007" s="34" t="s">
        <v>66</v>
      </c>
      <c r="L2007" s="79">
        <v>2007</v>
      </c>
      <c r="M2007" s="79"/>
      <c r="N2007" s="74"/>
      <c r="O2007" s="81" t="s">
        <v>944</v>
      </c>
      <c r="P2007">
        <v>1</v>
      </c>
      <c r="Q2007" s="80" t="str">
        <f>REPLACE(INDEX(GroupVertices[Group],MATCH(Edges[[#This Row],[Vertex 1]],GroupVertices[Vertex],0)),1,1,"")</f>
        <v>4</v>
      </c>
      <c r="R2007" s="80" t="str">
        <f>REPLACE(INDEX(GroupVertices[Group],MATCH(Edges[[#This Row],[Vertex 2]],GroupVertices[Vertex],0)),1,1,"")</f>
        <v>2</v>
      </c>
      <c r="S2007" s="34"/>
      <c r="T2007" s="34"/>
      <c r="U2007" s="34"/>
      <c r="V2007" s="34"/>
      <c r="W2007" s="34"/>
      <c r="X2007" s="34"/>
      <c r="Y2007" s="34"/>
      <c r="Z2007" s="34"/>
      <c r="AA2007" s="34"/>
    </row>
    <row r="2008" spans="1:27" ht="15">
      <c r="A2008" s="66" t="s">
        <v>255</v>
      </c>
      <c r="B2008" s="66" t="s">
        <v>508</v>
      </c>
      <c r="C2008" s="67" t="s">
        <v>4454</v>
      </c>
      <c r="D2008" s="68">
        <v>5</v>
      </c>
      <c r="E2008" s="69"/>
      <c r="F2008" s="70">
        <v>20</v>
      </c>
      <c r="G2008" s="67"/>
      <c r="H2008" s="71"/>
      <c r="I2008" s="72"/>
      <c r="J2008" s="72"/>
      <c r="K2008" s="34" t="s">
        <v>65</v>
      </c>
      <c r="L2008" s="79">
        <v>2008</v>
      </c>
      <c r="M2008" s="79"/>
      <c r="N2008" s="74"/>
      <c r="O2008" s="81" t="s">
        <v>944</v>
      </c>
      <c r="P2008">
        <v>1</v>
      </c>
      <c r="Q2008" s="80" t="str">
        <f>REPLACE(INDEX(GroupVertices[Group],MATCH(Edges[[#This Row],[Vertex 1]],GroupVertices[Vertex],0)),1,1,"")</f>
        <v>4</v>
      </c>
      <c r="R2008" s="80" t="str">
        <f>REPLACE(INDEX(GroupVertices[Group],MATCH(Edges[[#This Row],[Vertex 2]],GroupVertices[Vertex],0)),1,1,"")</f>
        <v>1</v>
      </c>
      <c r="S2008" s="34"/>
      <c r="T2008" s="34"/>
      <c r="U2008" s="34"/>
      <c r="V2008" s="34"/>
      <c r="W2008" s="34"/>
      <c r="X2008" s="34"/>
      <c r="Y2008" s="34"/>
      <c r="Z2008" s="34"/>
      <c r="AA2008" s="34"/>
    </row>
    <row r="2009" spans="1:27" ht="15">
      <c r="A2009" s="66" t="s">
        <v>255</v>
      </c>
      <c r="B2009" s="66" t="s">
        <v>869</v>
      </c>
      <c r="C2009" s="67" t="s">
        <v>4454</v>
      </c>
      <c r="D2009" s="68">
        <v>5</v>
      </c>
      <c r="E2009" s="69"/>
      <c r="F2009" s="70">
        <v>20</v>
      </c>
      <c r="G2009" s="67"/>
      <c r="H2009" s="71"/>
      <c r="I2009" s="72"/>
      <c r="J2009" s="72"/>
      <c r="K2009" s="34" t="s">
        <v>65</v>
      </c>
      <c r="L2009" s="79">
        <v>2009</v>
      </c>
      <c r="M2009" s="79"/>
      <c r="N2009" s="74"/>
      <c r="O2009" s="81" t="s">
        <v>944</v>
      </c>
      <c r="P2009">
        <v>1</v>
      </c>
      <c r="Q2009" s="80" t="str">
        <f>REPLACE(INDEX(GroupVertices[Group],MATCH(Edges[[#This Row],[Vertex 1]],GroupVertices[Vertex],0)),1,1,"")</f>
        <v>4</v>
      </c>
      <c r="R2009" s="80" t="str">
        <f>REPLACE(INDEX(GroupVertices[Group],MATCH(Edges[[#This Row],[Vertex 2]],GroupVertices[Vertex],0)),1,1,"")</f>
        <v>1</v>
      </c>
      <c r="S2009" s="34"/>
      <c r="T2009" s="34"/>
      <c r="U2009" s="34"/>
      <c r="V2009" s="34"/>
      <c r="W2009" s="34"/>
      <c r="X2009" s="34"/>
      <c r="Y2009" s="34"/>
      <c r="Z2009" s="34"/>
      <c r="AA2009" s="34"/>
    </row>
    <row r="2010" spans="1:27" ht="15">
      <c r="A2010" s="66" t="s">
        <v>255</v>
      </c>
      <c r="B2010" s="66" t="s">
        <v>217</v>
      </c>
      <c r="C2010" s="67" t="s">
        <v>4454</v>
      </c>
      <c r="D2010" s="68">
        <v>5</v>
      </c>
      <c r="E2010" s="69"/>
      <c r="F2010" s="70">
        <v>20</v>
      </c>
      <c r="G2010" s="67"/>
      <c r="H2010" s="71"/>
      <c r="I2010" s="72"/>
      <c r="J2010" s="72"/>
      <c r="K2010" s="34" t="s">
        <v>65</v>
      </c>
      <c r="L2010" s="79">
        <v>2010</v>
      </c>
      <c r="M2010" s="79"/>
      <c r="N2010" s="74"/>
      <c r="O2010" s="81" t="s">
        <v>944</v>
      </c>
      <c r="P2010">
        <v>1</v>
      </c>
      <c r="Q2010" s="80" t="str">
        <f>REPLACE(INDEX(GroupVertices[Group],MATCH(Edges[[#This Row],[Vertex 1]],GroupVertices[Vertex],0)),1,1,"")</f>
        <v>4</v>
      </c>
      <c r="R2010" s="80" t="str">
        <f>REPLACE(INDEX(GroupVertices[Group],MATCH(Edges[[#This Row],[Vertex 2]],GroupVertices[Vertex],0)),1,1,"")</f>
        <v>4</v>
      </c>
      <c r="S2010" s="34"/>
      <c r="T2010" s="34"/>
      <c r="U2010" s="34"/>
      <c r="V2010" s="34"/>
      <c r="W2010" s="34"/>
      <c r="X2010" s="34"/>
      <c r="Y2010" s="34"/>
      <c r="Z2010" s="34"/>
      <c r="AA2010" s="34"/>
    </row>
    <row r="2011" spans="1:27" ht="15">
      <c r="A2011" s="66" t="s">
        <v>255</v>
      </c>
      <c r="B2011" s="66" t="s">
        <v>886</v>
      </c>
      <c r="C2011" s="67" t="s">
        <v>4454</v>
      </c>
      <c r="D2011" s="68">
        <v>5</v>
      </c>
      <c r="E2011" s="69"/>
      <c r="F2011" s="70">
        <v>20</v>
      </c>
      <c r="G2011" s="67"/>
      <c r="H2011" s="71"/>
      <c r="I2011" s="72"/>
      <c r="J2011" s="72"/>
      <c r="K2011" s="34" t="s">
        <v>65</v>
      </c>
      <c r="L2011" s="79">
        <v>2011</v>
      </c>
      <c r="M2011" s="79"/>
      <c r="N2011" s="74"/>
      <c r="O2011" s="81" t="s">
        <v>944</v>
      </c>
      <c r="P2011">
        <v>1</v>
      </c>
      <c r="Q2011" s="80" t="str">
        <f>REPLACE(INDEX(GroupVertices[Group],MATCH(Edges[[#This Row],[Vertex 1]],GroupVertices[Vertex],0)),1,1,"")</f>
        <v>4</v>
      </c>
      <c r="R2011" s="80" t="str">
        <f>REPLACE(INDEX(GroupVertices[Group],MATCH(Edges[[#This Row],[Vertex 2]],GroupVertices[Vertex],0)),1,1,"")</f>
        <v>4</v>
      </c>
      <c r="S2011" s="34"/>
      <c r="T2011" s="34"/>
      <c r="U2011" s="34"/>
      <c r="V2011" s="34"/>
      <c r="W2011" s="34"/>
      <c r="X2011" s="34"/>
      <c r="Y2011" s="34"/>
      <c r="Z2011" s="34"/>
      <c r="AA2011" s="34"/>
    </row>
    <row r="2012" spans="1:27" ht="15">
      <c r="A2012" s="66" t="s">
        <v>255</v>
      </c>
      <c r="B2012" s="66" t="s">
        <v>602</v>
      </c>
      <c r="C2012" s="67" t="s">
        <v>4454</v>
      </c>
      <c r="D2012" s="68">
        <v>5</v>
      </c>
      <c r="E2012" s="69"/>
      <c r="F2012" s="70">
        <v>20</v>
      </c>
      <c r="G2012" s="67"/>
      <c r="H2012" s="71"/>
      <c r="I2012" s="72"/>
      <c r="J2012" s="72"/>
      <c r="K2012" s="34" t="s">
        <v>65</v>
      </c>
      <c r="L2012" s="79">
        <v>2012</v>
      </c>
      <c r="M2012" s="79"/>
      <c r="N2012" s="74"/>
      <c r="O2012" s="81" t="s">
        <v>944</v>
      </c>
      <c r="P2012">
        <v>1</v>
      </c>
      <c r="Q2012" s="80" t="str">
        <f>REPLACE(INDEX(GroupVertices[Group],MATCH(Edges[[#This Row],[Vertex 1]],GroupVertices[Vertex],0)),1,1,"")</f>
        <v>4</v>
      </c>
      <c r="R2012" s="80" t="str">
        <f>REPLACE(INDEX(GroupVertices[Group],MATCH(Edges[[#This Row],[Vertex 2]],GroupVertices[Vertex],0)),1,1,"")</f>
        <v>2</v>
      </c>
      <c r="S2012" s="34"/>
      <c r="T2012" s="34"/>
      <c r="U2012" s="34"/>
      <c r="V2012" s="34"/>
      <c r="W2012" s="34"/>
      <c r="X2012" s="34"/>
      <c r="Y2012" s="34"/>
      <c r="Z2012" s="34"/>
      <c r="AA2012" s="34"/>
    </row>
    <row r="2013" spans="1:27" ht="15">
      <c r="A2013" s="66" t="s">
        <v>255</v>
      </c>
      <c r="B2013" s="66" t="s">
        <v>261</v>
      </c>
      <c r="C2013" s="67" t="s">
        <v>4454</v>
      </c>
      <c r="D2013" s="68">
        <v>5</v>
      </c>
      <c r="E2013" s="69"/>
      <c r="F2013" s="70">
        <v>20</v>
      </c>
      <c r="G2013" s="67"/>
      <c r="H2013" s="71"/>
      <c r="I2013" s="72"/>
      <c r="J2013" s="72"/>
      <c r="K2013" s="34" t="s">
        <v>65</v>
      </c>
      <c r="L2013" s="79">
        <v>2013</v>
      </c>
      <c r="M2013" s="79"/>
      <c r="N2013" s="74"/>
      <c r="O2013" s="81" t="s">
        <v>944</v>
      </c>
      <c r="P2013">
        <v>1</v>
      </c>
      <c r="Q2013" s="80" t="str">
        <f>REPLACE(INDEX(GroupVertices[Group],MATCH(Edges[[#This Row],[Vertex 1]],GroupVertices[Vertex],0)),1,1,"")</f>
        <v>4</v>
      </c>
      <c r="R2013" s="80" t="str">
        <f>REPLACE(INDEX(GroupVertices[Group],MATCH(Edges[[#This Row],[Vertex 2]],GroupVertices[Vertex],0)),1,1,"")</f>
        <v>1</v>
      </c>
      <c r="S2013" s="34"/>
      <c r="T2013" s="34"/>
      <c r="U2013" s="34"/>
      <c r="V2013" s="34"/>
      <c r="W2013" s="34"/>
      <c r="X2013" s="34"/>
      <c r="Y2013" s="34"/>
      <c r="Z2013" s="34"/>
      <c r="AA2013" s="34"/>
    </row>
    <row r="2014" spans="1:27" ht="15">
      <c r="A2014" s="66" t="s">
        <v>255</v>
      </c>
      <c r="B2014" s="66" t="s">
        <v>737</v>
      </c>
      <c r="C2014" s="67" t="s">
        <v>4454</v>
      </c>
      <c r="D2014" s="68">
        <v>5</v>
      </c>
      <c r="E2014" s="69"/>
      <c r="F2014" s="70">
        <v>20</v>
      </c>
      <c r="G2014" s="67"/>
      <c r="H2014" s="71"/>
      <c r="I2014" s="72"/>
      <c r="J2014" s="72"/>
      <c r="K2014" s="34" t="s">
        <v>65</v>
      </c>
      <c r="L2014" s="79">
        <v>2014</v>
      </c>
      <c r="M2014" s="79"/>
      <c r="N2014" s="74"/>
      <c r="O2014" s="81" t="s">
        <v>944</v>
      </c>
      <c r="P2014">
        <v>1</v>
      </c>
      <c r="Q2014" s="80" t="str">
        <f>REPLACE(INDEX(GroupVertices[Group],MATCH(Edges[[#This Row],[Vertex 1]],GroupVertices[Vertex],0)),1,1,"")</f>
        <v>4</v>
      </c>
      <c r="R2014" s="80" t="str">
        <f>REPLACE(INDEX(GroupVertices[Group],MATCH(Edges[[#This Row],[Vertex 2]],GroupVertices[Vertex],0)),1,1,"")</f>
        <v>1</v>
      </c>
      <c r="S2014" s="34"/>
      <c r="T2014" s="34"/>
      <c r="U2014" s="34"/>
      <c r="V2014" s="34"/>
      <c r="W2014" s="34"/>
      <c r="X2014" s="34"/>
      <c r="Y2014" s="34"/>
      <c r="Z2014" s="34"/>
      <c r="AA2014" s="34"/>
    </row>
    <row r="2015" spans="1:27" ht="15">
      <c r="A2015" s="66" t="s">
        <v>255</v>
      </c>
      <c r="B2015" s="66" t="s">
        <v>253</v>
      </c>
      <c r="C2015" s="67" t="s">
        <v>4454</v>
      </c>
      <c r="D2015" s="68">
        <v>5</v>
      </c>
      <c r="E2015" s="69"/>
      <c r="F2015" s="70">
        <v>20</v>
      </c>
      <c r="G2015" s="67"/>
      <c r="H2015" s="71"/>
      <c r="I2015" s="72"/>
      <c r="J2015" s="72"/>
      <c r="K2015" s="34" t="s">
        <v>65</v>
      </c>
      <c r="L2015" s="79">
        <v>2015</v>
      </c>
      <c r="M2015" s="79"/>
      <c r="N2015" s="74"/>
      <c r="O2015" s="81" t="s">
        <v>944</v>
      </c>
      <c r="P2015">
        <v>1</v>
      </c>
      <c r="Q2015" s="80" t="str">
        <f>REPLACE(INDEX(GroupVertices[Group],MATCH(Edges[[#This Row],[Vertex 1]],GroupVertices[Vertex],0)),1,1,"")</f>
        <v>4</v>
      </c>
      <c r="R2015" s="80" t="str">
        <f>REPLACE(INDEX(GroupVertices[Group],MATCH(Edges[[#This Row],[Vertex 2]],GroupVertices[Vertex],0)),1,1,"")</f>
        <v>1</v>
      </c>
      <c r="S2015" s="34"/>
      <c r="T2015" s="34"/>
      <c r="U2015" s="34"/>
      <c r="V2015" s="34"/>
      <c r="W2015" s="34"/>
      <c r="X2015" s="34"/>
      <c r="Y2015" s="34"/>
      <c r="Z2015" s="34"/>
      <c r="AA2015" s="34"/>
    </row>
    <row r="2016" spans="1:27" ht="15">
      <c r="A2016" s="66" t="s">
        <v>255</v>
      </c>
      <c r="B2016" s="66" t="s">
        <v>250</v>
      </c>
      <c r="C2016" s="67" t="s">
        <v>4454</v>
      </c>
      <c r="D2016" s="68">
        <v>5</v>
      </c>
      <c r="E2016" s="69"/>
      <c r="F2016" s="70">
        <v>20</v>
      </c>
      <c r="G2016" s="67"/>
      <c r="H2016" s="71"/>
      <c r="I2016" s="72"/>
      <c r="J2016" s="72"/>
      <c r="K2016" s="34" t="s">
        <v>66</v>
      </c>
      <c r="L2016" s="79">
        <v>2016</v>
      </c>
      <c r="M2016" s="79"/>
      <c r="N2016" s="74"/>
      <c r="O2016" s="81" t="s">
        <v>944</v>
      </c>
      <c r="P2016">
        <v>1</v>
      </c>
      <c r="Q2016" s="80" t="str">
        <f>REPLACE(INDEX(GroupVertices[Group],MATCH(Edges[[#This Row],[Vertex 1]],GroupVertices[Vertex],0)),1,1,"")</f>
        <v>4</v>
      </c>
      <c r="R2016" s="80" t="str">
        <f>REPLACE(INDEX(GroupVertices[Group],MATCH(Edges[[#This Row],[Vertex 2]],GroupVertices[Vertex],0)),1,1,"")</f>
        <v>2</v>
      </c>
      <c r="S2016" s="34"/>
      <c r="T2016" s="34"/>
      <c r="U2016" s="34"/>
      <c r="V2016" s="34"/>
      <c r="W2016" s="34"/>
      <c r="X2016" s="34"/>
      <c r="Y2016" s="34"/>
      <c r="Z2016" s="34"/>
      <c r="AA2016" s="34"/>
    </row>
    <row r="2017" spans="1:27" ht="15">
      <c r="A2017" s="66" t="s">
        <v>255</v>
      </c>
      <c r="B2017" s="66" t="s">
        <v>485</v>
      </c>
      <c r="C2017" s="67" t="s">
        <v>4454</v>
      </c>
      <c r="D2017" s="68">
        <v>5</v>
      </c>
      <c r="E2017" s="69"/>
      <c r="F2017" s="70">
        <v>20</v>
      </c>
      <c r="G2017" s="67"/>
      <c r="H2017" s="71"/>
      <c r="I2017" s="72"/>
      <c r="J2017" s="72"/>
      <c r="K2017" s="34" t="s">
        <v>65</v>
      </c>
      <c r="L2017" s="79">
        <v>2017</v>
      </c>
      <c r="M2017" s="79"/>
      <c r="N2017" s="74"/>
      <c r="O2017" s="81" t="s">
        <v>944</v>
      </c>
      <c r="P2017">
        <v>1</v>
      </c>
      <c r="Q2017" s="80" t="str">
        <f>REPLACE(INDEX(GroupVertices[Group],MATCH(Edges[[#This Row],[Vertex 1]],GroupVertices[Vertex],0)),1,1,"")</f>
        <v>4</v>
      </c>
      <c r="R2017" s="80" t="str">
        <f>REPLACE(INDEX(GroupVertices[Group],MATCH(Edges[[#This Row],[Vertex 2]],GroupVertices[Vertex],0)),1,1,"")</f>
        <v>1</v>
      </c>
      <c r="S2017" s="34"/>
      <c r="T2017" s="34"/>
      <c r="U2017" s="34"/>
      <c r="V2017" s="34"/>
      <c r="W2017" s="34"/>
      <c r="X2017" s="34"/>
      <c r="Y2017" s="34"/>
      <c r="Z2017" s="34"/>
      <c r="AA2017" s="34"/>
    </row>
    <row r="2018" spans="1:27" ht="15">
      <c r="A2018" s="66" t="s">
        <v>255</v>
      </c>
      <c r="B2018" s="66" t="s">
        <v>254</v>
      </c>
      <c r="C2018" s="67" t="s">
        <v>4454</v>
      </c>
      <c r="D2018" s="68">
        <v>5</v>
      </c>
      <c r="E2018" s="69"/>
      <c r="F2018" s="70">
        <v>20</v>
      </c>
      <c r="G2018" s="67"/>
      <c r="H2018" s="71"/>
      <c r="I2018" s="72"/>
      <c r="J2018" s="72"/>
      <c r="K2018" s="34" t="s">
        <v>65</v>
      </c>
      <c r="L2018" s="79">
        <v>2018</v>
      </c>
      <c r="M2018" s="79"/>
      <c r="N2018" s="74"/>
      <c r="O2018" s="81" t="s">
        <v>944</v>
      </c>
      <c r="P2018">
        <v>1</v>
      </c>
      <c r="Q2018" s="80" t="str">
        <f>REPLACE(INDEX(GroupVertices[Group],MATCH(Edges[[#This Row],[Vertex 1]],GroupVertices[Vertex],0)),1,1,"")</f>
        <v>4</v>
      </c>
      <c r="R2018" s="80" t="str">
        <f>REPLACE(INDEX(GroupVertices[Group],MATCH(Edges[[#This Row],[Vertex 2]],GroupVertices[Vertex],0)),1,1,"")</f>
        <v>3</v>
      </c>
      <c r="S2018" s="34"/>
      <c r="T2018" s="34"/>
      <c r="U2018" s="34"/>
      <c r="V2018" s="34"/>
      <c r="W2018" s="34"/>
      <c r="X2018" s="34"/>
      <c r="Y2018" s="34"/>
      <c r="Z2018" s="34"/>
      <c r="AA2018" s="34"/>
    </row>
    <row r="2019" spans="1:27" ht="15">
      <c r="A2019" s="66" t="s">
        <v>255</v>
      </c>
      <c r="B2019" s="66" t="s">
        <v>888</v>
      </c>
      <c r="C2019" s="67" t="s">
        <v>4454</v>
      </c>
      <c r="D2019" s="68">
        <v>5</v>
      </c>
      <c r="E2019" s="69"/>
      <c r="F2019" s="70">
        <v>20</v>
      </c>
      <c r="G2019" s="67"/>
      <c r="H2019" s="71"/>
      <c r="I2019" s="72"/>
      <c r="J2019" s="72"/>
      <c r="K2019" s="34" t="s">
        <v>65</v>
      </c>
      <c r="L2019" s="79">
        <v>2019</v>
      </c>
      <c r="M2019" s="79"/>
      <c r="N2019" s="74"/>
      <c r="O2019" s="81" t="s">
        <v>944</v>
      </c>
      <c r="P2019">
        <v>1</v>
      </c>
      <c r="Q2019" s="80" t="str">
        <f>REPLACE(INDEX(GroupVertices[Group],MATCH(Edges[[#This Row],[Vertex 1]],GroupVertices[Vertex],0)),1,1,"")</f>
        <v>4</v>
      </c>
      <c r="R2019" s="80" t="str">
        <f>REPLACE(INDEX(GroupVertices[Group],MATCH(Edges[[#This Row],[Vertex 2]],GroupVertices[Vertex],0)),1,1,"")</f>
        <v>4</v>
      </c>
      <c r="S2019" s="34"/>
      <c r="T2019" s="34"/>
      <c r="U2019" s="34"/>
      <c r="V2019" s="34"/>
      <c r="W2019" s="34"/>
      <c r="X2019" s="34"/>
      <c r="Y2019" s="34"/>
      <c r="Z2019" s="34"/>
      <c r="AA2019" s="34"/>
    </row>
    <row r="2020" spans="1:27" ht="15">
      <c r="A2020" s="66" t="s">
        <v>255</v>
      </c>
      <c r="B2020" s="66" t="s">
        <v>736</v>
      </c>
      <c r="C2020" s="67" t="s">
        <v>4454</v>
      </c>
      <c r="D2020" s="68">
        <v>5</v>
      </c>
      <c r="E2020" s="69"/>
      <c r="F2020" s="70">
        <v>20</v>
      </c>
      <c r="G2020" s="67"/>
      <c r="H2020" s="71"/>
      <c r="I2020" s="72"/>
      <c r="J2020" s="72"/>
      <c r="K2020" s="34" t="s">
        <v>65</v>
      </c>
      <c r="L2020" s="79">
        <v>2020</v>
      </c>
      <c r="M2020" s="79"/>
      <c r="N2020" s="74"/>
      <c r="O2020" s="81" t="s">
        <v>944</v>
      </c>
      <c r="P2020">
        <v>1</v>
      </c>
      <c r="Q2020" s="80" t="str">
        <f>REPLACE(INDEX(GroupVertices[Group],MATCH(Edges[[#This Row],[Vertex 1]],GroupVertices[Vertex],0)),1,1,"")</f>
        <v>4</v>
      </c>
      <c r="R2020" s="80" t="str">
        <f>REPLACE(INDEX(GroupVertices[Group],MATCH(Edges[[#This Row],[Vertex 2]],GroupVertices[Vertex],0)),1,1,"")</f>
        <v>1</v>
      </c>
      <c r="S2020" s="34"/>
      <c r="T2020" s="34"/>
      <c r="U2020" s="34"/>
      <c r="V2020" s="34"/>
      <c r="W2020" s="34"/>
      <c r="X2020" s="34"/>
      <c r="Y2020" s="34"/>
      <c r="Z2020" s="34"/>
      <c r="AA2020" s="34"/>
    </row>
    <row r="2021" spans="1:27" ht="15">
      <c r="A2021" s="66" t="s">
        <v>255</v>
      </c>
      <c r="B2021" s="66" t="s">
        <v>616</v>
      </c>
      <c r="C2021" s="67" t="s">
        <v>4454</v>
      </c>
      <c r="D2021" s="68">
        <v>5</v>
      </c>
      <c r="E2021" s="69"/>
      <c r="F2021" s="70">
        <v>20</v>
      </c>
      <c r="G2021" s="67"/>
      <c r="H2021" s="71"/>
      <c r="I2021" s="72"/>
      <c r="J2021" s="72"/>
      <c r="K2021" s="34" t="s">
        <v>65</v>
      </c>
      <c r="L2021" s="79">
        <v>2021</v>
      </c>
      <c r="M2021" s="79"/>
      <c r="N2021" s="74"/>
      <c r="O2021" s="81" t="s">
        <v>944</v>
      </c>
      <c r="P2021">
        <v>1</v>
      </c>
      <c r="Q2021" s="80" t="str">
        <f>REPLACE(INDEX(GroupVertices[Group],MATCH(Edges[[#This Row],[Vertex 1]],GroupVertices[Vertex],0)),1,1,"")</f>
        <v>4</v>
      </c>
      <c r="R2021" s="80" t="str">
        <f>REPLACE(INDEX(GroupVertices[Group],MATCH(Edges[[#This Row],[Vertex 2]],GroupVertices[Vertex],0)),1,1,"")</f>
        <v>1</v>
      </c>
      <c r="S2021" s="34"/>
      <c r="T2021" s="34"/>
      <c r="U2021" s="34"/>
      <c r="V2021" s="34"/>
      <c r="W2021" s="34"/>
      <c r="X2021" s="34"/>
      <c r="Y2021" s="34"/>
      <c r="Z2021" s="34"/>
      <c r="AA2021" s="34"/>
    </row>
    <row r="2022" spans="1:27" ht="15">
      <c r="A2022" s="66" t="s">
        <v>255</v>
      </c>
      <c r="B2022" s="66" t="s">
        <v>259</v>
      </c>
      <c r="C2022" s="67" t="s">
        <v>4454</v>
      </c>
      <c r="D2022" s="68">
        <v>5</v>
      </c>
      <c r="E2022" s="69"/>
      <c r="F2022" s="70">
        <v>20</v>
      </c>
      <c r="G2022" s="67"/>
      <c r="H2022" s="71"/>
      <c r="I2022" s="72"/>
      <c r="J2022" s="72"/>
      <c r="K2022" s="34" t="s">
        <v>66</v>
      </c>
      <c r="L2022" s="79">
        <v>2022</v>
      </c>
      <c r="M2022" s="79"/>
      <c r="N2022" s="74"/>
      <c r="O2022" s="81" t="s">
        <v>944</v>
      </c>
      <c r="P2022">
        <v>1</v>
      </c>
      <c r="Q2022" s="80" t="str">
        <f>REPLACE(INDEX(GroupVertices[Group],MATCH(Edges[[#This Row],[Vertex 1]],GroupVertices[Vertex],0)),1,1,"")</f>
        <v>4</v>
      </c>
      <c r="R2022" s="80" t="str">
        <f>REPLACE(INDEX(GroupVertices[Group],MATCH(Edges[[#This Row],[Vertex 2]],GroupVertices[Vertex],0)),1,1,"")</f>
        <v>2</v>
      </c>
      <c r="S2022" s="34"/>
      <c r="T2022" s="34"/>
      <c r="U2022" s="34"/>
      <c r="V2022" s="34"/>
      <c r="W2022" s="34"/>
      <c r="X2022" s="34"/>
      <c r="Y2022" s="34"/>
      <c r="Z2022" s="34"/>
      <c r="AA2022" s="34"/>
    </row>
    <row r="2023" spans="1:27" ht="15">
      <c r="A2023" s="66" t="s">
        <v>256</v>
      </c>
      <c r="B2023" s="66" t="s">
        <v>255</v>
      </c>
      <c r="C2023" s="67" t="s">
        <v>4454</v>
      </c>
      <c r="D2023" s="68">
        <v>5</v>
      </c>
      <c r="E2023" s="69"/>
      <c r="F2023" s="70">
        <v>20</v>
      </c>
      <c r="G2023" s="67"/>
      <c r="H2023" s="71"/>
      <c r="I2023" s="72"/>
      <c r="J2023" s="72"/>
      <c r="K2023" s="34" t="s">
        <v>65</v>
      </c>
      <c r="L2023" s="79">
        <v>2023</v>
      </c>
      <c r="M2023" s="79"/>
      <c r="N2023" s="74"/>
      <c r="O2023" s="81" t="s">
        <v>944</v>
      </c>
      <c r="P2023">
        <v>1</v>
      </c>
      <c r="Q2023" s="80" t="str">
        <f>REPLACE(INDEX(GroupVertices[Group],MATCH(Edges[[#This Row],[Vertex 1]],GroupVertices[Vertex],0)),1,1,"")</f>
        <v>1</v>
      </c>
      <c r="R2023" s="80" t="str">
        <f>REPLACE(INDEX(GroupVertices[Group],MATCH(Edges[[#This Row],[Vertex 2]],GroupVertices[Vertex],0)),1,1,"")</f>
        <v>4</v>
      </c>
      <c r="S2023" s="34"/>
      <c r="T2023" s="34"/>
      <c r="U2023" s="34"/>
      <c r="V2023" s="34"/>
      <c r="W2023" s="34"/>
      <c r="X2023" s="34"/>
      <c r="Y2023" s="34"/>
      <c r="Z2023" s="34"/>
      <c r="AA2023" s="34"/>
    </row>
    <row r="2024" spans="1:27" ht="15">
      <c r="A2024" s="66" t="s">
        <v>259</v>
      </c>
      <c r="B2024" s="66" t="s">
        <v>255</v>
      </c>
      <c r="C2024" s="67" t="s">
        <v>4454</v>
      </c>
      <c r="D2024" s="68">
        <v>5</v>
      </c>
      <c r="E2024" s="69"/>
      <c r="F2024" s="70">
        <v>20</v>
      </c>
      <c r="G2024" s="67"/>
      <c r="H2024" s="71"/>
      <c r="I2024" s="72"/>
      <c r="J2024" s="72"/>
      <c r="K2024" s="34" t="s">
        <v>66</v>
      </c>
      <c r="L2024" s="79">
        <v>2024</v>
      </c>
      <c r="M2024" s="79"/>
      <c r="N2024" s="74"/>
      <c r="O2024" s="81" t="s">
        <v>944</v>
      </c>
      <c r="P2024">
        <v>1</v>
      </c>
      <c r="Q2024" s="80" t="str">
        <f>REPLACE(INDEX(GroupVertices[Group],MATCH(Edges[[#This Row],[Vertex 1]],GroupVertices[Vertex],0)),1,1,"")</f>
        <v>2</v>
      </c>
      <c r="R2024" s="80" t="str">
        <f>REPLACE(INDEX(GroupVertices[Group],MATCH(Edges[[#This Row],[Vertex 2]],GroupVertices[Vertex],0)),1,1,"")</f>
        <v>4</v>
      </c>
      <c r="S2024" s="34"/>
      <c r="T2024" s="34"/>
      <c r="U2024" s="34"/>
      <c r="V2024" s="34"/>
      <c r="W2024" s="34"/>
      <c r="X2024" s="34"/>
      <c r="Y2024" s="34"/>
      <c r="Z2024" s="34"/>
      <c r="AA2024" s="34"/>
    </row>
    <row r="2025" spans="1:27" ht="15">
      <c r="A2025" s="66" t="s">
        <v>260</v>
      </c>
      <c r="B2025" s="66" t="s">
        <v>255</v>
      </c>
      <c r="C2025" s="67" t="s">
        <v>4454</v>
      </c>
      <c r="D2025" s="68">
        <v>5</v>
      </c>
      <c r="E2025" s="69"/>
      <c r="F2025" s="70">
        <v>20</v>
      </c>
      <c r="G2025" s="67"/>
      <c r="H2025" s="71"/>
      <c r="I2025" s="72"/>
      <c r="J2025" s="72"/>
      <c r="K2025" s="34" t="s">
        <v>66</v>
      </c>
      <c r="L2025" s="79">
        <v>2025</v>
      </c>
      <c r="M2025" s="79"/>
      <c r="N2025" s="74"/>
      <c r="O2025" s="81" t="s">
        <v>944</v>
      </c>
      <c r="P2025">
        <v>1</v>
      </c>
      <c r="Q2025" s="80" t="str">
        <f>REPLACE(INDEX(GroupVertices[Group],MATCH(Edges[[#This Row],[Vertex 1]],GroupVertices[Vertex],0)),1,1,"")</f>
        <v>2</v>
      </c>
      <c r="R2025" s="80" t="str">
        <f>REPLACE(INDEX(GroupVertices[Group],MATCH(Edges[[#This Row],[Vertex 2]],GroupVertices[Vertex],0)),1,1,"")</f>
        <v>4</v>
      </c>
      <c r="S2025" s="34"/>
      <c r="T2025" s="34"/>
      <c r="U2025" s="34"/>
      <c r="V2025" s="34"/>
      <c r="W2025" s="34"/>
      <c r="X2025" s="34"/>
      <c r="Y2025" s="34"/>
      <c r="Z2025" s="34"/>
      <c r="AA2025" s="34"/>
    </row>
    <row r="2026" spans="1:27" ht="15">
      <c r="A2026" s="66" t="s">
        <v>220</v>
      </c>
      <c r="B2026" s="66" t="s">
        <v>246</v>
      </c>
      <c r="C2026" s="67" t="s">
        <v>4454</v>
      </c>
      <c r="D2026" s="68">
        <v>5</v>
      </c>
      <c r="E2026" s="69"/>
      <c r="F2026" s="70">
        <v>20</v>
      </c>
      <c r="G2026" s="67"/>
      <c r="H2026" s="71"/>
      <c r="I2026" s="72"/>
      <c r="J2026" s="72"/>
      <c r="K2026" s="34" t="s">
        <v>66</v>
      </c>
      <c r="L2026" s="79">
        <v>2026</v>
      </c>
      <c r="M2026" s="79"/>
      <c r="N2026" s="74"/>
      <c r="O2026" s="81" t="s">
        <v>944</v>
      </c>
      <c r="P2026">
        <v>1</v>
      </c>
      <c r="Q2026" s="80" t="str">
        <f>REPLACE(INDEX(GroupVertices[Group],MATCH(Edges[[#This Row],[Vertex 1]],GroupVertices[Vertex],0)),1,1,"")</f>
        <v>2</v>
      </c>
      <c r="R2026" s="80" t="str">
        <f>REPLACE(INDEX(GroupVertices[Group],MATCH(Edges[[#This Row],[Vertex 2]],GroupVertices[Vertex],0)),1,1,"")</f>
        <v>2</v>
      </c>
      <c r="S2026" s="34"/>
      <c r="T2026" s="34"/>
      <c r="U2026" s="34"/>
      <c r="V2026" s="34"/>
      <c r="W2026" s="34"/>
      <c r="X2026" s="34"/>
      <c r="Y2026" s="34"/>
      <c r="Z2026" s="34"/>
      <c r="AA2026" s="34"/>
    </row>
    <row r="2027" spans="1:27" ht="15">
      <c r="A2027" s="66" t="s">
        <v>221</v>
      </c>
      <c r="B2027" s="66" t="s">
        <v>246</v>
      </c>
      <c r="C2027" s="67" t="s">
        <v>4454</v>
      </c>
      <c r="D2027" s="68">
        <v>5</v>
      </c>
      <c r="E2027" s="69"/>
      <c r="F2027" s="70">
        <v>20</v>
      </c>
      <c r="G2027" s="67"/>
      <c r="H2027" s="71"/>
      <c r="I2027" s="72"/>
      <c r="J2027" s="72"/>
      <c r="K2027" s="34" t="s">
        <v>66</v>
      </c>
      <c r="L2027" s="79">
        <v>2027</v>
      </c>
      <c r="M2027" s="79"/>
      <c r="N2027" s="74"/>
      <c r="O2027" s="81" t="s">
        <v>944</v>
      </c>
      <c r="P2027">
        <v>1</v>
      </c>
      <c r="Q2027" s="80" t="str">
        <f>REPLACE(INDEX(GroupVertices[Group],MATCH(Edges[[#This Row],[Vertex 1]],GroupVertices[Vertex],0)),1,1,"")</f>
        <v>2</v>
      </c>
      <c r="R2027" s="80" t="str">
        <f>REPLACE(INDEX(GroupVertices[Group],MATCH(Edges[[#This Row],[Vertex 2]],GroupVertices[Vertex],0)),1,1,"")</f>
        <v>2</v>
      </c>
      <c r="S2027" s="34"/>
      <c r="T2027" s="34"/>
      <c r="U2027" s="34"/>
      <c r="V2027" s="34"/>
      <c r="W2027" s="34"/>
      <c r="X2027" s="34"/>
      <c r="Y2027" s="34"/>
      <c r="Z2027" s="34"/>
      <c r="AA2027" s="34"/>
    </row>
    <row r="2028" spans="1:27" ht="15">
      <c r="A2028" s="66" t="s">
        <v>224</v>
      </c>
      <c r="B2028" s="66" t="s">
        <v>246</v>
      </c>
      <c r="C2028" s="67" t="s">
        <v>4454</v>
      </c>
      <c r="D2028" s="68">
        <v>5</v>
      </c>
      <c r="E2028" s="69"/>
      <c r="F2028" s="70">
        <v>20</v>
      </c>
      <c r="G2028" s="67"/>
      <c r="H2028" s="71"/>
      <c r="I2028" s="72"/>
      <c r="J2028" s="72"/>
      <c r="K2028" s="34" t="s">
        <v>66</v>
      </c>
      <c r="L2028" s="79">
        <v>2028</v>
      </c>
      <c r="M2028" s="79"/>
      <c r="N2028" s="74"/>
      <c r="O2028" s="81" t="s">
        <v>944</v>
      </c>
      <c r="P2028">
        <v>1</v>
      </c>
      <c r="Q2028" s="80" t="str">
        <f>REPLACE(INDEX(GroupVertices[Group],MATCH(Edges[[#This Row],[Vertex 1]],GroupVertices[Vertex],0)),1,1,"")</f>
        <v>2</v>
      </c>
      <c r="R2028" s="80" t="str">
        <f>REPLACE(INDEX(GroupVertices[Group],MATCH(Edges[[#This Row],[Vertex 2]],GroupVertices[Vertex],0)),1,1,"")</f>
        <v>2</v>
      </c>
      <c r="S2028" s="34"/>
      <c r="T2028" s="34"/>
      <c r="U2028" s="34"/>
      <c r="V2028" s="34"/>
      <c r="W2028" s="34"/>
      <c r="X2028" s="34"/>
      <c r="Y2028" s="34"/>
      <c r="Z2028" s="34"/>
      <c r="AA2028" s="34"/>
    </row>
    <row r="2029" spans="1:27" ht="15">
      <c r="A2029" s="66" t="s">
        <v>233</v>
      </c>
      <c r="B2029" s="66" t="s">
        <v>246</v>
      </c>
      <c r="C2029" s="67" t="s">
        <v>4454</v>
      </c>
      <c r="D2029" s="68">
        <v>5</v>
      </c>
      <c r="E2029" s="69"/>
      <c r="F2029" s="70">
        <v>20</v>
      </c>
      <c r="G2029" s="67"/>
      <c r="H2029" s="71"/>
      <c r="I2029" s="72"/>
      <c r="J2029" s="72"/>
      <c r="K2029" s="34" t="s">
        <v>66</v>
      </c>
      <c r="L2029" s="79">
        <v>2029</v>
      </c>
      <c r="M2029" s="79"/>
      <c r="N2029" s="74"/>
      <c r="O2029" s="81" t="s">
        <v>944</v>
      </c>
      <c r="P2029">
        <v>1</v>
      </c>
      <c r="Q2029" s="80" t="str">
        <f>REPLACE(INDEX(GroupVertices[Group],MATCH(Edges[[#This Row],[Vertex 1]],GroupVertices[Vertex],0)),1,1,"")</f>
        <v>2</v>
      </c>
      <c r="R2029" s="80" t="str">
        <f>REPLACE(INDEX(GroupVertices[Group],MATCH(Edges[[#This Row],[Vertex 2]],GroupVertices[Vertex],0)),1,1,"")</f>
        <v>2</v>
      </c>
      <c r="S2029" s="34"/>
      <c r="T2029" s="34"/>
      <c r="U2029" s="34"/>
      <c r="V2029" s="34"/>
      <c r="W2029" s="34"/>
      <c r="X2029" s="34"/>
      <c r="Y2029" s="34"/>
      <c r="Z2029" s="34"/>
      <c r="AA2029" s="34"/>
    </row>
    <row r="2030" spans="1:27" ht="15">
      <c r="A2030" s="66" t="s">
        <v>238</v>
      </c>
      <c r="B2030" s="66" t="s">
        <v>246</v>
      </c>
      <c r="C2030" s="67" t="s">
        <v>4454</v>
      </c>
      <c r="D2030" s="68">
        <v>5</v>
      </c>
      <c r="E2030" s="69"/>
      <c r="F2030" s="70">
        <v>20</v>
      </c>
      <c r="G2030" s="67"/>
      <c r="H2030" s="71"/>
      <c r="I2030" s="72"/>
      <c r="J2030" s="72"/>
      <c r="K2030" s="34" t="s">
        <v>66</v>
      </c>
      <c r="L2030" s="79">
        <v>2030</v>
      </c>
      <c r="M2030" s="79"/>
      <c r="N2030" s="74"/>
      <c r="O2030" s="81" t="s">
        <v>944</v>
      </c>
      <c r="P2030">
        <v>1</v>
      </c>
      <c r="Q2030" s="80" t="str">
        <f>REPLACE(INDEX(GroupVertices[Group],MATCH(Edges[[#This Row],[Vertex 1]],GroupVertices[Vertex],0)),1,1,"")</f>
        <v>2</v>
      </c>
      <c r="R2030" s="80" t="str">
        <f>REPLACE(INDEX(GroupVertices[Group],MATCH(Edges[[#This Row],[Vertex 2]],GroupVertices[Vertex],0)),1,1,"")</f>
        <v>2</v>
      </c>
      <c r="S2030" s="34"/>
      <c r="T2030" s="34"/>
      <c r="U2030" s="34"/>
      <c r="V2030" s="34"/>
      <c r="W2030" s="34"/>
      <c r="X2030" s="34"/>
      <c r="Y2030" s="34"/>
      <c r="Z2030" s="34"/>
      <c r="AA2030" s="34"/>
    </row>
    <row r="2031" spans="1:27" ht="15">
      <c r="A2031" s="66" t="s">
        <v>242</v>
      </c>
      <c r="B2031" s="66" t="s">
        <v>246</v>
      </c>
      <c r="C2031" s="67" t="s">
        <v>4454</v>
      </c>
      <c r="D2031" s="68">
        <v>5</v>
      </c>
      <c r="E2031" s="69"/>
      <c r="F2031" s="70">
        <v>20</v>
      </c>
      <c r="G2031" s="67"/>
      <c r="H2031" s="71"/>
      <c r="I2031" s="72"/>
      <c r="J2031" s="72"/>
      <c r="K2031" s="34" t="s">
        <v>66</v>
      </c>
      <c r="L2031" s="79">
        <v>2031</v>
      </c>
      <c r="M2031" s="79"/>
      <c r="N2031" s="74"/>
      <c r="O2031" s="81" t="s">
        <v>944</v>
      </c>
      <c r="P2031">
        <v>1</v>
      </c>
      <c r="Q2031" s="80" t="str">
        <f>REPLACE(INDEX(GroupVertices[Group],MATCH(Edges[[#This Row],[Vertex 1]],GroupVertices[Vertex],0)),1,1,"")</f>
        <v>1</v>
      </c>
      <c r="R2031" s="80" t="str">
        <f>REPLACE(INDEX(GroupVertices[Group],MATCH(Edges[[#This Row],[Vertex 2]],GroupVertices[Vertex],0)),1,1,"")</f>
        <v>2</v>
      </c>
      <c r="S2031" s="34"/>
      <c r="T2031" s="34"/>
      <c r="U2031" s="34"/>
      <c r="V2031" s="34"/>
      <c r="W2031" s="34"/>
      <c r="X2031" s="34"/>
      <c r="Y2031" s="34"/>
      <c r="Z2031" s="34"/>
      <c r="AA2031" s="34"/>
    </row>
    <row r="2032" spans="1:27" ht="15">
      <c r="A2032" s="66" t="s">
        <v>246</v>
      </c>
      <c r="B2032" s="66" t="s">
        <v>663</v>
      </c>
      <c r="C2032" s="67" t="s">
        <v>4454</v>
      </c>
      <c r="D2032" s="68">
        <v>5</v>
      </c>
      <c r="E2032" s="69"/>
      <c r="F2032" s="70">
        <v>20</v>
      </c>
      <c r="G2032" s="67"/>
      <c r="H2032" s="71"/>
      <c r="I2032" s="72"/>
      <c r="J2032" s="72"/>
      <c r="K2032" s="34" t="s">
        <v>65</v>
      </c>
      <c r="L2032" s="79">
        <v>2032</v>
      </c>
      <c r="M2032" s="79"/>
      <c r="N2032" s="74"/>
      <c r="O2032" s="81" t="s">
        <v>944</v>
      </c>
      <c r="P2032">
        <v>1</v>
      </c>
      <c r="Q2032" s="80" t="str">
        <f>REPLACE(INDEX(GroupVertices[Group],MATCH(Edges[[#This Row],[Vertex 1]],GroupVertices[Vertex],0)),1,1,"")</f>
        <v>2</v>
      </c>
      <c r="R2032" s="80" t="str">
        <f>REPLACE(INDEX(GroupVertices[Group],MATCH(Edges[[#This Row],[Vertex 2]],GroupVertices[Vertex],0)),1,1,"")</f>
        <v>1</v>
      </c>
      <c r="S2032" s="34"/>
      <c r="T2032" s="34"/>
      <c r="U2032" s="34"/>
      <c r="V2032" s="34"/>
      <c r="W2032" s="34"/>
      <c r="X2032" s="34"/>
      <c r="Y2032" s="34"/>
      <c r="Z2032" s="34"/>
      <c r="AA2032" s="34"/>
    </row>
    <row r="2033" spans="1:27" ht="15">
      <c r="A2033" s="66" t="s">
        <v>246</v>
      </c>
      <c r="B2033" s="66" t="s">
        <v>226</v>
      </c>
      <c r="C2033" s="67" t="s">
        <v>4454</v>
      </c>
      <c r="D2033" s="68">
        <v>5</v>
      </c>
      <c r="E2033" s="69"/>
      <c r="F2033" s="70">
        <v>20</v>
      </c>
      <c r="G2033" s="67"/>
      <c r="H2033" s="71"/>
      <c r="I2033" s="72"/>
      <c r="J2033" s="72"/>
      <c r="K2033" s="34" t="s">
        <v>65</v>
      </c>
      <c r="L2033" s="79">
        <v>2033</v>
      </c>
      <c r="M2033" s="79"/>
      <c r="N2033" s="74"/>
      <c r="O2033" s="81" t="s">
        <v>944</v>
      </c>
      <c r="P2033">
        <v>1</v>
      </c>
      <c r="Q2033" s="80" t="str">
        <f>REPLACE(INDEX(GroupVertices[Group],MATCH(Edges[[#This Row],[Vertex 1]],GroupVertices[Vertex],0)),1,1,"")</f>
        <v>2</v>
      </c>
      <c r="R2033" s="80" t="str">
        <f>REPLACE(INDEX(GroupVertices[Group],MATCH(Edges[[#This Row],[Vertex 2]],GroupVertices[Vertex],0)),1,1,"")</f>
        <v>4</v>
      </c>
      <c r="S2033" s="34"/>
      <c r="T2033" s="34"/>
      <c r="U2033" s="34"/>
      <c r="V2033" s="34"/>
      <c r="W2033" s="34"/>
      <c r="X2033" s="34"/>
      <c r="Y2033" s="34"/>
      <c r="Z2033" s="34"/>
      <c r="AA2033" s="34"/>
    </row>
    <row r="2034" spans="1:27" ht="15">
      <c r="A2034" s="66" t="s">
        <v>246</v>
      </c>
      <c r="B2034" s="66" t="s">
        <v>258</v>
      </c>
      <c r="C2034" s="67" t="s">
        <v>4454</v>
      </c>
      <c r="D2034" s="68">
        <v>5</v>
      </c>
      <c r="E2034" s="69"/>
      <c r="F2034" s="70">
        <v>20</v>
      </c>
      <c r="G2034" s="67"/>
      <c r="H2034" s="71"/>
      <c r="I2034" s="72"/>
      <c r="J2034" s="72"/>
      <c r="K2034" s="34" t="s">
        <v>65</v>
      </c>
      <c r="L2034" s="79">
        <v>2034</v>
      </c>
      <c r="M2034" s="79"/>
      <c r="N2034" s="74"/>
      <c r="O2034" s="81" t="s">
        <v>944</v>
      </c>
      <c r="P2034">
        <v>1</v>
      </c>
      <c r="Q2034" s="80" t="str">
        <f>REPLACE(INDEX(GroupVertices[Group],MATCH(Edges[[#This Row],[Vertex 1]],GroupVertices[Vertex],0)),1,1,"")</f>
        <v>2</v>
      </c>
      <c r="R2034" s="80" t="str">
        <f>REPLACE(INDEX(GroupVertices[Group],MATCH(Edges[[#This Row],[Vertex 2]],GroupVertices[Vertex],0)),1,1,"")</f>
        <v>1</v>
      </c>
      <c r="S2034" s="34"/>
      <c r="T2034" s="34"/>
      <c r="U2034" s="34"/>
      <c r="V2034" s="34"/>
      <c r="W2034" s="34"/>
      <c r="X2034" s="34"/>
      <c r="Y2034" s="34"/>
      <c r="Z2034" s="34"/>
      <c r="AA2034" s="34"/>
    </row>
    <row r="2035" spans="1:27" ht="15">
      <c r="A2035" s="66" t="s">
        <v>246</v>
      </c>
      <c r="B2035" s="66" t="s">
        <v>256</v>
      </c>
      <c r="C2035" s="67" t="s">
        <v>4454</v>
      </c>
      <c r="D2035" s="68">
        <v>5</v>
      </c>
      <c r="E2035" s="69"/>
      <c r="F2035" s="70">
        <v>20</v>
      </c>
      <c r="G2035" s="67"/>
      <c r="H2035" s="71"/>
      <c r="I2035" s="72"/>
      <c r="J2035" s="72"/>
      <c r="K2035" s="34" t="s">
        <v>66</v>
      </c>
      <c r="L2035" s="79">
        <v>2035</v>
      </c>
      <c r="M2035" s="79"/>
      <c r="N2035" s="74"/>
      <c r="O2035" s="81" t="s">
        <v>944</v>
      </c>
      <c r="P2035">
        <v>1</v>
      </c>
      <c r="Q2035" s="80" t="str">
        <f>REPLACE(INDEX(GroupVertices[Group],MATCH(Edges[[#This Row],[Vertex 1]],GroupVertices[Vertex],0)),1,1,"")</f>
        <v>2</v>
      </c>
      <c r="R2035" s="80" t="str">
        <f>REPLACE(INDEX(GroupVertices[Group],MATCH(Edges[[#This Row],[Vertex 2]],GroupVertices[Vertex],0)),1,1,"")</f>
        <v>1</v>
      </c>
      <c r="S2035" s="34"/>
      <c r="T2035" s="34"/>
      <c r="U2035" s="34"/>
      <c r="V2035" s="34"/>
      <c r="W2035" s="34"/>
      <c r="X2035" s="34"/>
      <c r="Y2035" s="34"/>
      <c r="Z2035" s="34"/>
      <c r="AA2035" s="34"/>
    </row>
    <row r="2036" spans="1:27" ht="15">
      <c r="A2036" s="66" t="s">
        <v>246</v>
      </c>
      <c r="B2036" s="66" t="s">
        <v>224</v>
      </c>
      <c r="C2036" s="67" t="s">
        <v>4454</v>
      </c>
      <c r="D2036" s="68">
        <v>5</v>
      </c>
      <c r="E2036" s="69"/>
      <c r="F2036" s="70">
        <v>20</v>
      </c>
      <c r="G2036" s="67"/>
      <c r="H2036" s="71"/>
      <c r="I2036" s="72"/>
      <c r="J2036" s="72"/>
      <c r="K2036" s="34" t="s">
        <v>66</v>
      </c>
      <c r="L2036" s="79">
        <v>2036</v>
      </c>
      <c r="M2036" s="79"/>
      <c r="N2036" s="74"/>
      <c r="O2036" s="81" t="s">
        <v>944</v>
      </c>
      <c r="P2036">
        <v>1</v>
      </c>
      <c r="Q2036" s="80" t="str">
        <f>REPLACE(INDEX(GroupVertices[Group],MATCH(Edges[[#This Row],[Vertex 1]],GroupVertices[Vertex],0)),1,1,"")</f>
        <v>2</v>
      </c>
      <c r="R2036" s="80" t="str">
        <f>REPLACE(INDEX(GroupVertices[Group],MATCH(Edges[[#This Row],[Vertex 2]],GroupVertices[Vertex],0)),1,1,"")</f>
        <v>2</v>
      </c>
      <c r="S2036" s="34"/>
      <c r="T2036" s="34"/>
      <c r="U2036" s="34"/>
      <c r="V2036" s="34"/>
      <c r="W2036" s="34"/>
      <c r="X2036" s="34"/>
      <c r="Y2036" s="34"/>
      <c r="Z2036" s="34"/>
      <c r="AA2036" s="34"/>
    </row>
    <row r="2037" spans="1:27" ht="15">
      <c r="A2037" s="66" t="s">
        <v>246</v>
      </c>
      <c r="B2037" s="66" t="s">
        <v>238</v>
      </c>
      <c r="C2037" s="67" t="s">
        <v>4454</v>
      </c>
      <c r="D2037" s="68">
        <v>5</v>
      </c>
      <c r="E2037" s="69"/>
      <c r="F2037" s="70">
        <v>20</v>
      </c>
      <c r="G2037" s="67"/>
      <c r="H2037" s="71"/>
      <c r="I2037" s="72"/>
      <c r="J2037" s="72"/>
      <c r="K2037" s="34" t="s">
        <v>66</v>
      </c>
      <c r="L2037" s="79">
        <v>2037</v>
      </c>
      <c r="M2037" s="79"/>
      <c r="N2037" s="74"/>
      <c r="O2037" s="81" t="s">
        <v>944</v>
      </c>
      <c r="P2037">
        <v>1</v>
      </c>
      <c r="Q2037" s="80" t="str">
        <f>REPLACE(INDEX(GroupVertices[Group],MATCH(Edges[[#This Row],[Vertex 1]],GroupVertices[Vertex],0)),1,1,"")</f>
        <v>2</v>
      </c>
      <c r="R2037" s="80" t="str">
        <f>REPLACE(INDEX(GroupVertices[Group],MATCH(Edges[[#This Row],[Vertex 2]],GroupVertices[Vertex],0)),1,1,"")</f>
        <v>2</v>
      </c>
      <c r="S2037" s="34"/>
      <c r="T2037" s="34"/>
      <c r="U2037" s="34"/>
      <c r="V2037" s="34"/>
      <c r="W2037" s="34"/>
      <c r="X2037" s="34"/>
      <c r="Y2037" s="34"/>
      <c r="Z2037" s="34"/>
      <c r="AA2037" s="34"/>
    </row>
    <row r="2038" spans="1:27" ht="15">
      <c r="A2038" s="66" t="s">
        <v>246</v>
      </c>
      <c r="B2038" s="66" t="s">
        <v>242</v>
      </c>
      <c r="C2038" s="67" t="s">
        <v>4454</v>
      </c>
      <c r="D2038" s="68">
        <v>5</v>
      </c>
      <c r="E2038" s="69"/>
      <c r="F2038" s="70">
        <v>20</v>
      </c>
      <c r="G2038" s="67"/>
      <c r="H2038" s="71"/>
      <c r="I2038" s="72"/>
      <c r="J2038" s="72"/>
      <c r="K2038" s="34" t="s">
        <v>66</v>
      </c>
      <c r="L2038" s="79">
        <v>2038</v>
      </c>
      <c r="M2038" s="79"/>
      <c r="N2038" s="74"/>
      <c r="O2038" s="81" t="s">
        <v>944</v>
      </c>
      <c r="P2038">
        <v>1</v>
      </c>
      <c r="Q2038" s="80" t="str">
        <f>REPLACE(INDEX(GroupVertices[Group],MATCH(Edges[[#This Row],[Vertex 1]],GroupVertices[Vertex],0)),1,1,"")</f>
        <v>2</v>
      </c>
      <c r="R2038" s="80" t="str">
        <f>REPLACE(INDEX(GroupVertices[Group],MATCH(Edges[[#This Row],[Vertex 2]],GroupVertices[Vertex],0)),1,1,"")</f>
        <v>1</v>
      </c>
      <c r="S2038" s="34"/>
      <c r="T2038" s="34"/>
      <c r="U2038" s="34"/>
      <c r="V2038" s="34"/>
      <c r="W2038" s="34"/>
      <c r="X2038" s="34"/>
      <c r="Y2038" s="34"/>
      <c r="Z2038" s="34"/>
      <c r="AA2038" s="34"/>
    </row>
    <row r="2039" spans="1:27" ht="15">
      <c r="A2039" s="66" t="s">
        <v>246</v>
      </c>
      <c r="B2039" s="66" t="s">
        <v>602</v>
      </c>
      <c r="C2039" s="67" t="s">
        <v>4454</v>
      </c>
      <c r="D2039" s="68">
        <v>5</v>
      </c>
      <c r="E2039" s="69"/>
      <c r="F2039" s="70">
        <v>20</v>
      </c>
      <c r="G2039" s="67"/>
      <c r="H2039" s="71"/>
      <c r="I2039" s="72"/>
      <c r="J2039" s="72"/>
      <c r="K2039" s="34" t="s">
        <v>65</v>
      </c>
      <c r="L2039" s="79">
        <v>2039</v>
      </c>
      <c r="M2039" s="79"/>
      <c r="N2039" s="74"/>
      <c r="O2039" s="81" t="s">
        <v>944</v>
      </c>
      <c r="P2039">
        <v>1</v>
      </c>
      <c r="Q2039" s="80" t="str">
        <f>REPLACE(INDEX(GroupVertices[Group],MATCH(Edges[[#This Row],[Vertex 1]],GroupVertices[Vertex],0)),1,1,"")</f>
        <v>2</v>
      </c>
      <c r="R2039" s="80" t="str">
        <f>REPLACE(INDEX(GroupVertices[Group],MATCH(Edges[[#This Row],[Vertex 2]],GroupVertices[Vertex],0)),1,1,"")</f>
        <v>2</v>
      </c>
      <c r="S2039" s="34"/>
      <c r="T2039" s="34"/>
      <c r="U2039" s="34"/>
      <c r="V2039" s="34"/>
      <c r="W2039" s="34"/>
      <c r="X2039" s="34"/>
      <c r="Y2039" s="34"/>
      <c r="Z2039" s="34"/>
      <c r="AA2039" s="34"/>
    </row>
    <row r="2040" spans="1:27" ht="15">
      <c r="A2040" s="66" t="s">
        <v>246</v>
      </c>
      <c r="B2040" s="66" t="s">
        <v>252</v>
      </c>
      <c r="C2040" s="67" t="s">
        <v>4454</v>
      </c>
      <c r="D2040" s="68">
        <v>5</v>
      </c>
      <c r="E2040" s="69"/>
      <c r="F2040" s="70">
        <v>20</v>
      </c>
      <c r="G2040" s="67"/>
      <c r="H2040" s="71"/>
      <c r="I2040" s="72"/>
      <c r="J2040" s="72"/>
      <c r="K2040" s="34" t="s">
        <v>65</v>
      </c>
      <c r="L2040" s="79">
        <v>2040</v>
      </c>
      <c r="M2040" s="79"/>
      <c r="N2040" s="74"/>
      <c r="O2040" s="81" t="s">
        <v>944</v>
      </c>
      <c r="P2040">
        <v>1</v>
      </c>
      <c r="Q2040" s="80" t="str">
        <f>REPLACE(INDEX(GroupVertices[Group],MATCH(Edges[[#This Row],[Vertex 1]],GroupVertices[Vertex],0)),1,1,"")</f>
        <v>2</v>
      </c>
      <c r="R2040" s="80" t="str">
        <f>REPLACE(INDEX(GroupVertices[Group],MATCH(Edges[[#This Row],[Vertex 2]],GroupVertices[Vertex],0)),1,1,"")</f>
        <v>1</v>
      </c>
      <c r="S2040" s="34"/>
      <c r="T2040" s="34"/>
      <c r="U2040" s="34"/>
      <c r="V2040" s="34"/>
      <c r="W2040" s="34"/>
      <c r="X2040" s="34"/>
      <c r="Y2040" s="34"/>
      <c r="Z2040" s="34"/>
      <c r="AA2040" s="34"/>
    </row>
    <row r="2041" spans="1:27" ht="15">
      <c r="A2041" s="66" t="s">
        <v>246</v>
      </c>
      <c r="B2041" s="66" t="s">
        <v>260</v>
      </c>
      <c r="C2041" s="67" t="s">
        <v>4454</v>
      </c>
      <c r="D2041" s="68">
        <v>5</v>
      </c>
      <c r="E2041" s="69"/>
      <c r="F2041" s="70">
        <v>20</v>
      </c>
      <c r="G2041" s="67"/>
      <c r="H2041" s="71"/>
      <c r="I2041" s="72"/>
      <c r="J2041" s="72"/>
      <c r="K2041" s="34" t="s">
        <v>66</v>
      </c>
      <c r="L2041" s="79">
        <v>2041</v>
      </c>
      <c r="M2041" s="79"/>
      <c r="N2041" s="74"/>
      <c r="O2041" s="81" t="s">
        <v>944</v>
      </c>
      <c r="P2041">
        <v>1</v>
      </c>
      <c r="Q2041" s="80" t="str">
        <f>REPLACE(INDEX(GroupVertices[Group],MATCH(Edges[[#This Row],[Vertex 1]],GroupVertices[Vertex],0)),1,1,"")</f>
        <v>2</v>
      </c>
      <c r="R2041" s="80" t="str">
        <f>REPLACE(INDEX(GroupVertices[Group],MATCH(Edges[[#This Row],[Vertex 2]],GroupVertices[Vertex],0)),1,1,"")</f>
        <v>2</v>
      </c>
      <c r="S2041" s="34"/>
      <c r="T2041" s="34"/>
      <c r="U2041" s="34"/>
      <c r="V2041" s="34"/>
      <c r="W2041" s="34"/>
      <c r="X2041" s="34"/>
      <c r="Y2041" s="34"/>
      <c r="Z2041" s="34"/>
      <c r="AA2041" s="34"/>
    </row>
    <row r="2042" spans="1:27" ht="15">
      <c r="A2042" s="66" t="s">
        <v>246</v>
      </c>
      <c r="B2042" s="66" t="s">
        <v>221</v>
      </c>
      <c r="C2042" s="67" t="s">
        <v>4454</v>
      </c>
      <c r="D2042" s="68">
        <v>5</v>
      </c>
      <c r="E2042" s="69"/>
      <c r="F2042" s="70">
        <v>20</v>
      </c>
      <c r="G2042" s="67"/>
      <c r="H2042" s="71"/>
      <c r="I2042" s="72"/>
      <c r="J2042" s="72"/>
      <c r="K2042" s="34" t="s">
        <v>66</v>
      </c>
      <c r="L2042" s="79">
        <v>2042</v>
      </c>
      <c r="M2042" s="79"/>
      <c r="N2042" s="74"/>
      <c r="O2042" s="81" t="s">
        <v>944</v>
      </c>
      <c r="P2042">
        <v>1</v>
      </c>
      <c r="Q2042" s="80" t="str">
        <f>REPLACE(INDEX(GroupVertices[Group],MATCH(Edges[[#This Row],[Vertex 1]],GroupVertices[Vertex],0)),1,1,"")</f>
        <v>2</v>
      </c>
      <c r="R2042" s="80" t="str">
        <f>REPLACE(INDEX(GroupVertices[Group],MATCH(Edges[[#This Row],[Vertex 2]],GroupVertices[Vertex],0)),1,1,"")</f>
        <v>2</v>
      </c>
      <c r="S2042" s="34"/>
      <c r="T2042" s="34"/>
      <c r="U2042" s="34"/>
      <c r="V2042" s="34"/>
      <c r="W2042" s="34"/>
      <c r="X2042" s="34"/>
      <c r="Y2042" s="34"/>
      <c r="Z2042" s="34"/>
      <c r="AA2042" s="34"/>
    </row>
    <row r="2043" spans="1:27" ht="15">
      <c r="A2043" s="66" t="s">
        <v>246</v>
      </c>
      <c r="B2043" s="66" t="s">
        <v>485</v>
      </c>
      <c r="C2043" s="67" t="s">
        <v>4454</v>
      </c>
      <c r="D2043" s="68">
        <v>5</v>
      </c>
      <c r="E2043" s="69"/>
      <c r="F2043" s="70">
        <v>20</v>
      </c>
      <c r="G2043" s="67"/>
      <c r="H2043" s="71"/>
      <c r="I2043" s="72"/>
      <c r="J2043" s="72"/>
      <c r="K2043" s="34" t="s">
        <v>65</v>
      </c>
      <c r="L2043" s="79">
        <v>2043</v>
      </c>
      <c r="M2043" s="79"/>
      <c r="N2043" s="74"/>
      <c r="O2043" s="81" t="s">
        <v>944</v>
      </c>
      <c r="P2043">
        <v>1</v>
      </c>
      <c r="Q2043" s="80" t="str">
        <f>REPLACE(INDEX(GroupVertices[Group],MATCH(Edges[[#This Row],[Vertex 1]],GroupVertices[Vertex],0)),1,1,"")</f>
        <v>2</v>
      </c>
      <c r="R2043" s="80" t="str">
        <f>REPLACE(INDEX(GroupVertices[Group],MATCH(Edges[[#This Row],[Vertex 2]],GroupVertices[Vertex],0)),1,1,"")</f>
        <v>1</v>
      </c>
      <c r="S2043" s="34"/>
      <c r="T2043" s="34"/>
      <c r="U2043" s="34"/>
      <c r="V2043" s="34"/>
      <c r="W2043" s="34"/>
      <c r="X2043" s="34"/>
      <c r="Y2043" s="34"/>
      <c r="Z2043" s="34"/>
      <c r="AA2043" s="34"/>
    </row>
    <row r="2044" spans="1:27" ht="15">
      <c r="A2044" s="66" t="s">
        <v>246</v>
      </c>
      <c r="B2044" s="66" t="s">
        <v>249</v>
      </c>
      <c r="C2044" s="67" t="s">
        <v>4454</v>
      </c>
      <c r="D2044" s="68">
        <v>5</v>
      </c>
      <c r="E2044" s="69"/>
      <c r="F2044" s="70">
        <v>20</v>
      </c>
      <c r="G2044" s="67"/>
      <c r="H2044" s="71"/>
      <c r="I2044" s="72"/>
      <c r="J2044" s="72"/>
      <c r="K2044" s="34" t="s">
        <v>66</v>
      </c>
      <c r="L2044" s="79">
        <v>2044</v>
      </c>
      <c r="M2044" s="79"/>
      <c r="N2044" s="74"/>
      <c r="O2044" s="81" t="s">
        <v>944</v>
      </c>
      <c r="P2044">
        <v>1</v>
      </c>
      <c r="Q2044" s="80" t="str">
        <f>REPLACE(INDEX(GroupVertices[Group],MATCH(Edges[[#This Row],[Vertex 1]],GroupVertices[Vertex],0)),1,1,"")</f>
        <v>2</v>
      </c>
      <c r="R2044" s="80" t="str">
        <f>REPLACE(INDEX(GroupVertices[Group],MATCH(Edges[[#This Row],[Vertex 2]],GroupVertices[Vertex],0)),1,1,"")</f>
        <v>2</v>
      </c>
      <c r="S2044" s="34"/>
      <c r="T2044" s="34"/>
      <c r="U2044" s="34"/>
      <c r="V2044" s="34"/>
      <c r="W2044" s="34"/>
      <c r="X2044" s="34"/>
      <c r="Y2044" s="34"/>
      <c r="Z2044" s="34"/>
      <c r="AA2044" s="34"/>
    </row>
    <row r="2045" spans="1:27" ht="15">
      <c r="A2045" s="66" t="s">
        <v>246</v>
      </c>
      <c r="B2045" s="66" t="s">
        <v>846</v>
      </c>
      <c r="C2045" s="67" t="s">
        <v>4454</v>
      </c>
      <c r="D2045" s="68">
        <v>5</v>
      </c>
      <c r="E2045" s="69"/>
      <c r="F2045" s="70">
        <v>20</v>
      </c>
      <c r="G2045" s="67"/>
      <c r="H2045" s="71"/>
      <c r="I2045" s="72"/>
      <c r="J2045" s="72"/>
      <c r="K2045" s="34" t="s">
        <v>65</v>
      </c>
      <c r="L2045" s="79">
        <v>2045</v>
      </c>
      <c r="M2045" s="79"/>
      <c r="N2045" s="74"/>
      <c r="O2045" s="81" t="s">
        <v>944</v>
      </c>
      <c r="P2045">
        <v>1</v>
      </c>
      <c r="Q2045" s="80" t="str">
        <f>REPLACE(INDEX(GroupVertices[Group],MATCH(Edges[[#This Row],[Vertex 1]],GroupVertices[Vertex],0)),1,1,"")</f>
        <v>2</v>
      </c>
      <c r="R2045" s="80" t="str">
        <f>REPLACE(INDEX(GroupVertices[Group],MATCH(Edges[[#This Row],[Vertex 2]],GroupVertices[Vertex],0)),1,1,"")</f>
        <v>1</v>
      </c>
      <c r="S2045" s="34"/>
      <c r="T2045" s="34"/>
      <c r="U2045" s="34"/>
      <c r="V2045" s="34"/>
      <c r="W2045" s="34"/>
      <c r="X2045" s="34"/>
      <c r="Y2045" s="34"/>
      <c r="Z2045" s="34"/>
      <c r="AA2045" s="34"/>
    </row>
    <row r="2046" spans="1:27" ht="15">
      <c r="A2046" s="66" t="s">
        <v>246</v>
      </c>
      <c r="B2046" s="66" t="s">
        <v>220</v>
      </c>
      <c r="C2046" s="67" t="s">
        <v>4454</v>
      </c>
      <c r="D2046" s="68">
        <v>5</v>
      </c>
      <c r="E2046" s="69"/>
      <c r="F2046" s="70">
        <v>20</v>
      </c>
      <c r="G2046" s="67"/>
      <c r="H2046" s="71"/>
      <c r="I2046" s="72"/>
      <c r="J2046" s="72"/>
      <c r="K2046" s="34" t="s">
        <v>66</v>
      </c>
      <c r="L2046" s="79">
        <v>2046</v>
      </c>
      <c r="M2046" s="79"/>
      <c r="N2046" s="74"/>
      <c r="O2046" s="81" t="s">
        <v>944</v>
      </c>
      <c r="P2046">
        <v>1</v>
      </c>
      <c r="Q2046" s="80" t="str">
        <f>REPLACE(INDEX(GroupVertices[Group],MATCH(Edges[[#This Row],[Vertex 1]],GroupVertices[Vertex],0)),1,1,"")</f>
        <v>2</v>
      </c>
      <c r="R2046" s="80" t="str">
        <f>REPLACE(INDEX(GroupVertices[Group],MATCH(Edges[[#This Row],[Vertex 2]],GroupVertices[Vertex],0)),1,1,"")</f>
        <v>2</v>
      </c>
      <c r="S2046" s="34"/>
      <c r="T2046" s="34"/>
      <c r="U2046" s="34"/>
      <c r="V2046" s="34"/>
      <c r="W2046" s="34"/>
      <c r="X2046" s="34"/>
      <c r="Y2046" s="34"/>
      <c r="Z2046" s="34"/>
      <c r="AA2046" s="34"/>
    </row>
    <row r="2047" spans="1:27" ht="15">
      <c r="A2047" s="66" t="s">
        <v>246</v>
      </c>
      <c r="B2047" s="66" t="s">
        <v>250</v>
      </c>
      <c r="C2047" s="67" t="s">
        <v>4454</v>
      </c>
      <c r="D2047" s="68">
        <v>5</v>
      </c>
      <c r="E2047" s="69"/>
      <c r="F2047" s="70">
        <v>20</v>
      </c>
      <c r="G2047" s="67"/>
      <c r="H2047" s="71"/>
      <c r="I2047" s="72"/>
      <c r="J2047" s="72"/>
      <c r="K2047" s="34" t="s">
        <v>66</v>
      </c>
      <c r="L2047" s="79">
        <v>2047</v>
      </c>
      <c r="M2047" s="79"/>
      <c r="N2047" s="74"/>
      <c r="O2047" s="81" t="s">
        <v>944</v>
      </c>
      <c r="P2047">
        <v>1</v>
      </c>
      <c r="Q2047" s="80" t="str">
        <f>REPLACE(INDEX(GroupVertices[Group],MATCH(Edges[[#This Row],[Vertex 1]],GroupVertices[Vertex],0)),1,1,"")</f>
        <v>2</v>
      </c>
      <c r="R2047" s="80" t="str">
        <f>REPLACE(INDEX(GroupVertices[Group],MATCH(Edges[[#This Row],[Vertex 2]],GroupVertices[Vertex],0)),1,1,"")</f>
        <v>2</v>
      </c>
      <c r="S2047" s="34"/>
      <c r="T2047" s="34"/>
      <c r="U2047" s="34"/>
      <c r="V2047" s="34"/>
      <c r="W2047" s="34"/>
      <c r="X2047" s="34"/>
      <c r="Y2047" s="34"/>
      <c r="Z2047" s="34"/>
      <c r="AA2047" s="34"/>
    </row>
    <row r="2048" spans="1:27" ht="15">
      <c r="A2048" s="66" t="s">
        <v>246</v>
      </c>
      <c r="B2048" s="66" t="s">
        <v>253</v>
      </c>
      <c r="C2048" s="67" t="s">
        <v>4454</v>
      </c>
      <c r="D2048" s="68">
        <v>5</v>
      </c>
      <c r="E2048" s="69"/>
      <c r="F2048" s="70">
        <v>20</v>
      </c>
      <c r="G2048" s="67"/>
      <c r="H2048" s="71"/>
      <c r="I2048" s="72"/>
      <c r="J2048" s="72"/>
      <c r="K2048" s="34" t="s">
        <v>65</v>
      </c>
      <c r="L2048" s="79">
        <v>2048</v>
      </c>
      <c r="M2048" s="79"/>
      <c r="N2048" s="74"/>
      <c r="O2048" s="81" t="s">
        <v>944</v>
      </c>
      <c r="P2048">
        <v>1</v>
      </c>
      <c r="Q2048" s="80" t="str">
        <f>REPLACE(INDEX(GroupVertices[Group],MATCH(Edges[[#This Row],[Vertex 1]],GroupVertices[Vertex],0)),1,1,"")</f>
        <v>2</v>
      </c>
      <c r="R2048" s="80" t="str">
        <f>REPLACE(INDEX(GroupVertices[Group],MATCH(Edges[[#This Row],[Vertex 2]],GroupVertices[Vertex],0)),1,1,"")</f>
        <v>1</v>
      </c>
      <c r="S2048" s="34"/>
      <c r="T2048" s="34"/>
      <c r="U2048" s="34"/>
      <c r="V2048" s="34"/>
      <c r="W2048" s="34"/>
      <c r="X2048" s="34"/>
      <c r="Y2048" s="34"/>
      <c r="Z2048" s="34"/>
      <c r="AA2048" s="34"/>
    </row>
    <row r="2049" spans="1:27" ht="15">
      <c r="A2049" s="66" t="s">
        <v>246</v>
      </c>
      <c r="B2049" s="66" t="s">
        <v>233</v>
      </c>
      <c r="C2049" s="67" t="s">
        <v>4454</v>
      </c>
      <c r="D2049" s="68">
        <v>5</v>
      </c>
      <c r="E2049" s="69"/>
      <c r="F2049" s="70">
        <v>20</v>
      </c>
      <c r="G2049" s="67"/>
      <c r="H2049" s="71"/>
      <c r="I2049" s="72"/>
      <c r="J2049" s="72"/>
      <c r="K2049" s="34" t="s">
        <v>66</v>
      </c>
      <c r="L2049" s="79">
        <v>2049</v>
      </c>
      <c r="M2049" s="79"/>
      <c r="N2049" s="74"/>
      <c r="O2049" s="81" t="s">
        <v>944</v>
      </c>
      <c r="P2049">
        <v>1</v>
      </c>
      <c r="Q2049" s="80" t="str">
        <f>REPLACE(INDEX(GroupVertices[Group],MATCH(Edges[[#This Row],[Vertex 1]],GroupVertices[Vertex],0)),1,1,"")</f>
        <v>2</v>
      </c>
      <c r="R2049" s="80" t="str">
        <f>REPLACE(INDEX(GroupVertices[Group],MATCH(Edges[[#This Row],[Vertex 2]],GroupVertices[Vertex],0)),1,1,"")</f>
        <v>2</v>
      </c>
      <c r="S2049" s="34"/>
      <c r="T2049" s="34"/>
      <c r="U2049" s="34"/>
      <c r="V2049" s="34"/>
      <c r="W2049" s="34"/>
      <c r="X2049" s="34"/>
      <c r="Y2049" s="34"/>
      <c r="Z2049" s="34"/>
      <c r="AA2049" s="34"/>
    </row>
    <row r="2050" spans="1:27" ht="15">
      <c r="A2050" s="66" t="s">
        <v>246</v>
      </c>
      <c r="B2050" s="66" t="s">
        <v>259</v>
      </c>
      <c r="C2050" s="67" t="s">
        <v>4454</v>
      </c>
      <c r="D2050" s="68">
        <v>5</v>
      </c>
      <c r="E2050" s="69"/>
      <c r="F2050" s="70">
        <v>20</v>
      </c>
      <c r="G2050" s="67"/>
      <c r="H2050" s="71"/>
      <c r="I2050" s="72"/>
      <c r="J2050" s="72"/>
      <c r="K2050" s="34" t="s">
        <v>65</v>
      </c>
      <c r="L2050" s="79">
        <v>2050</v>
      </c>
      <c r="M2050" s="79"/>
      <c r="N2050" s="74"/>
      <c r="O2050" s="81" t="s">
        <v>944</v>
      </c>
      <c r="P2050">
        <v>1</v>
      </c>
      <c r="Q2050" s="80" t="str">
        <f>REPLACE(INDEX(GroupVertices[Group],MATCH(Edges[[#This Row],[Vertex 1]],GroupVertices[Vertex],0)),1,1,"")</f>
        <v>2</v>
      </c>
      <c r="R2050" s="80" t="str">
        <f>REPLACE(INDEX(GroupVertices[Group],MATCH(Edges[[#This Row],[Vertex 2]],GroupVertices[Vertex],0)),1,1,"")</f>
        <v>2</v>
      </c>
      <c r="S2050" s="34"/>
      <c r="T2050" s="34"/>
      <c r="U2050" s="34"/>
      <c r="V2050" s="34"/>
      <c r="W2050" s="34"/>
      <c r="X2050" s="34"/>
      <c r="Y2050" s="34"/>
      <c r="Z2050" s="34"/>
      <c r="AA2050" s="34"/>
    </row>
    <row r="2051" spans="1:27" ht="15">
      <c r="A2051" s="66" t="s">
        <v>246</v>
      </c>
      <c r="B2051" s="66" t="s">
        <v>254</v>
      </c>
      <c r="C2051" s="67" t="s">
        <v>4454</v>
      </c>
      <c r="D2051" s="68">
        <v>5</v>
      </c>
      <c r="E2051" s="69"/>
      <c r="F2051" s="70">
        <v>20</v>
      </c>
      <c r="G2051" s="67"/>
      <c r="H2051" s="71"/>
      <c r="I2051" s="72"/>
      <c r="J2051" s="72"/>
      <c r="K2051" s="34" t="s">
        <v>65</v>
      </c>
      <c r="L2051" s="79">
        <v>2051</v>
      </c>
      <c r="M2051" s="79"/>
      <c r="N2051" s="74"/>
      <c r="O2051" s="81" t="s">
        <v>944</v>
      </c>
      <c r="P2051">
        <v>1</v>
      </c>
      <c r="Q2051" s="80" t="str">
        <f>REPLACE(INDEX(GroupVertices[Group],MATCH(Edges[[#This Row],[Vertex 1]],GroupVertices[Vertex],0)),1,1,"")</f>
        <v>2</v>
      </c>
      <c r="R2051" s="80" t="str">
        <f>REPLACE(INDEX(GroupVertices[Group],MATCH(Edges[[#This Row],[Vertex 2]],GroupVertices[Vertex],0)),1,1,"")</f>
        <v>3</v>
      </c>
      <c r="S2051" s="34"/>
      <c r="T2051" s="34"/>
      <c r="U2051" s="34"/>
      <c r="V2051" s="34"/>
      <c r="W2051" s="34"/>
      <c r="X2051" s="34"/>
      <c r="Y2051" s="34"/>
      <c r="Z2051" s="34"/>
      <c r="AA2051" s="34"/>
    </row>
    <row r="2052" spans="1:27" ht="15">
      <c r="A2052" s="66" t="s">
        <v>246</v>
      </c>
      <c r="B2052" s="66" t="s">
        <v>261</v>
      </c>
      <c r="C2052" s="67" t="s">
        <v>4454</v>
      </c>
      <c r="D2052" s="68">
        <v>5</v>
      </c>
      <c r="E2052" s="69"/>
      <c r="F2052" s="70">
        <v>20</v>
      </c>
      <c r="G2052" s="67"/>
      <c r="H2052" s="71"/>
      <c r="I2052" s="72"/>
      <c r="J2052" s="72"/>
      <c r="K2052" s="34" t="s">
        <v>65</v>
      </c>
      <c r="L2052" s="79">
        <v>2052</v>
      </c>
      <c r="M2052" s="79"/>
      <c r="N2052" s="74"/>
      <c r="O2052" s="81" t="s">
        <v>944</v>
      </c>
      <c r="P2052">
        <v>1</v>
      </c>
      <c r="Q2052" s="80" t="str">
        <f>REPLACE(INDEX(GroupVertices[Group],MATCH(Edges[[#This Row],[Vertex 1]],GroupVertices[Vertex],0)),1,1,"")</f>
        <v>2</v>
      </c>
      <c r="R2052" s="80" t="str">
        <f>REPLACE(INDEX(GroupVertices[Group],MATCH(Edges[[#This Row],[Vertex 2]],GroupVertices[Vertex],0)),1,1,"")</f>
        <v>1</v>
      </c>
      <c r="S2052" s="34"/>
      <c r="T2052" s="34"/>
      <c r="U2052" s="34"/>
      <c r="V2052" s="34"/>
      <c r="W2052" s="34"/>
      <c r="X2052" s="34"/>
      <c r="Y2052" s="34"/>
      <c r="Z2052" s="34"/>
      <c r="AA2052" s="34"/>
    </row>
    <row r="2053" spans="1:27" ht="15">
      <c r="A2053" s="66" t="s">
        <v>249</v>
      </c>
      <c r="B2053" s="66" t="s">
        <v>246</v>
      </c>
      <c r="C2053" s="67" t="s">
        <v>4454</v>
      </c>
      <c r="D2053" s="68">
        <v>5</v>
      </c>
      <c r="E2053" s="69"/>
      <c r="F2053" s="70">
        <v>20</v>
      </c>
      <c r="G2053" s="67"/>
      <c r="H2053" s="71"/>
      <c r="I2053" s="72"/>
      <c r="J2053" s="72"/>
      <c r="K2053" s="34" t="s">
        <v>66</v>
      </c>
      <c r="L2053" s="79">
        <v>2053</v>
      </c>
      <c r="M2053" s="79"/>
      <c r="N2053" s="74"/>
      <c r="O2053" s="81" t="s">
        <v>944</v>
      </c>
      <c r="P2053">
        <v>1</v>
      </c>
      <c r="Q2053" s="80" t="str">
        <f>REPLACE(INDEX(GroupVertices[Group],MATCH(Edges[[#This Row],[Vertex 1]],GroupVertices[Vertex],0)),1,1,"")</f>
        <v>2</v>
      </c>
      <c r="R2053" s="80" t="str">
        <f>REPLACE(INDEX(GroupVertices[Group],MATCH(Edges[[#This Row],[Vertex 2]],GroupVertices[Vertex],0)),1,1,"")</f>
        <v>2</v>
      </c>
      <c r="S2053" s="34"/>
      <c r="T2053" s="34"/>
      <c r="U2053" s="34"/>
      <c r="V2053" s="34"/>
      <c r="W2053" s="34"/>
      <c r="X2053" s="34"/>
      <c r="Y2053" s="34"/>
      <c r="Z2053" s="34"/>
      <c r="AA2053" s="34"/>
    </row>
    <row r="2054" spans="1:27" ht="15">
      <c r="A2054" s="66" t="s">
        <v>250</v>
      </c>
      <c r="B2054" s="66" t="s">
        <v>246</v>
      </c>
      <c r="C2054" s="67" t="s">
        <v>4454</v>
      </c>
      <c r="D2054" s="68">
        <v>5</v>
      </c>
      <c r="E2054" s="69"/>
      <c r="F2054" s="70">
        <v>20</v>
      </c>
      <c r="G2054" s="67"/>
      <c r="H2054" s="71"/>
      <c r="I2054" s="72"/>
      <c r="J2054" s="72"/>
      <c r="K2054" s="34" t="s">
        <v>66</v>
      </c>
      <c r="L2054" s="79">
        <v>2054</v>
      </c>
      <c r="M2054" s="79"/>
      <c r="N2054" s="74"/>
      <c r="O2054" s="81" t="s">
        <v>944</v>
      </c>
      <c r="P2054">
        <v>1</v>
      </c>
      <c r="Q2054" s="80" t="str">
        <f>REPLACE(INDEX(GroupVertices[Group],MATCH(Edges[[#This Row],[Vertex 1]],GroupVertices[Vertex],0)),1,1,"")</f>
        <v>2</v>
      </c>
      <c r="R2054" s="80" t="str">
        <f>REPLACE(INDEX(GroupVertices[Group],MATCH(Edges[[#This Row],[Vertex 2]],GroupVertices[Vertex],0)),1,1,"")</f>
        <v>2</v>
      </c>
      <c r="S2054" s="34"/>
      <c r="T2054" s="34"/>
      <c r="U2054" s="34"/>
      <c r="V2054" s="34"/>
      <c r="W2054" s="34"/>
      <c r="X2054" s="34"/>
      <c r="Y2054" s="34"/>
      <c r="Z2054" s="34"/>
      <c r="AA2054" s="34"/>
    </row>
    <row r="2055" spans="1:27" ht="15">
      <c r="A2055" s="66" t="s">
        <v>256</v>
      </c>
      <c r="B2055" s="66" t="s">
        <v>246</v>
      </c>
      <c r="C2055" s="67" t="s">
        <v>4454</v>
      </c>
      <c r="D2055" s="68">
        <v>5</v>
      </c>
      <c r="E2055" s="69"/>
      <c r="F2055" s="70">
        <v>20</v>
      </c>
      <c r="G2055" s="67"/>
      <c r="H2055" s="71"/>
      <c r="I2055" s="72"/>
      <c r="J2055" s="72"/>
      <c r="K2055" s="34" t="s">
        <v>66</v>
      </c>
      <c r="L2055" s="79">
        <v>2055</v>
      </c>
      <c r="M2055" s="79"/>
      <c r="N2055" s="74"/>
      <c r="O2055" s="81" t="s">
        <v>944</v>
      </c>
      <c r="P2055">
        <v>1</v>
      </c>
      <c r="Q2055" s="80" t="str">
        <f>REPLACE(INDEX(GroupVertices[Group],MATCH(Edges[[#This Row],[Vertex 1]],GroupVertices[Vertex],0)),1,1,"")</f>
        <v>1</v>
      </c>
      <c r="R2055" s="80" t="str">
        <f>REPLACE(INDEX(GroupVertices[Group],MATCH(Edges[[#This Row],[Vertex 2]],GroupVertices[Vertex],0)),1,1,"")</f>
        <v>2</v>
      </c>
      <c r="S2055" s="34"/>
      <c r="T2055" s="34"/>
      <c r="U2055" s="34"/>
      <c r="V2055" s="34"/>
      <c r="W2055" s="34"/>
      <c r="X2055" s="34"/>
      <c r="Y2055" s="34"/>
      <c r="Z2055" s="34"/>
      <c r="AA2055" s="34"/>
    </row>
    <row r="2056" spans="1:27" ht="15">
      <c r="A2056" s="66" t="s">
        <v>260</v>
      </c>
      <c r="B2056" s="66" t="s">
        <v>246</v>
      </c>
      <c r="C2056" s="67" t="s">
        <v>4454</v>
      </c>
      <c r="D2056" s="68">
        <v>5</v>
      </c>
      <c r="E2056" s="69"/>
      <c r="F2056" s="70">
        <v>20</v>
      </c>
      <c r="G2056" s="67"/>
      <c r="H2056" s="71"/>
      <c r="I2056" s="72"/>
      <c r="J2056" s="72"/>
      <c r="K2056" s="34" t="s">
        <v>66</v>
      </c>
      <c r="L2056" s="79">
        <v>2056</v>
      </c>
      <c r="M2056" s="79"/>
      <c r="N2056" s="74"/>
      <c r="O2056" s="81" t="s">
        <v>944</v>
      </c>
      <c r="P2056">
        <v>1</v>
      </c>
      <c r="Q2056" s="80" t="str">
        <f>REPLACE(INDEX(GroupVertices[Group],MATCH(Edges[[#This Row],[Vertex 1]],GroupVertices[Vertex],0)),1,1,"")</f>
        <v>2</v>
      </c>
      <c r="R2056" s="80" t="str">
        <f>REPLACE(INDEX(GroupVertices[Group],MATCH(Edges[[#This Row],[Vertex 2]],GroupVertices[Vertex],0)),1,1,"")</f>
        <v>2</v>
      </c>
      <c r="S2056" s="34"/>
      <c r="T2056" s="34"/>
      <c r="U2056" s="34"/>
      <c r="V2056" s="34"/>
      <c r="W2056" s="34"/>
      <c r="X2056" s="34"/>
      <c r="Y2056" s="34"/>
      <c r="Z2056" s="34"/>
      <c r="AA2056" s="34"/>
    </row>
    <row r="2057" spans="1:27" ht="15">
      <c r="A2057" s="66" t="s">
        <v>217</v>
      </c>
      <c r="B2057" s="66" t="s">
        <v>486</v>
      </c>
      <c r="C2057" s="67" t="s">
        <v>4454</v>
      </c>
      <c r="D2057" s="68">
        <v>5</v>
      </c>
      <c r="E2057" s="69"/>
      <c r="F2057" s="70">
        <v>20</v>
      </c>
      <c r="G2057" s="67"/>
      <c r="H2057" s="71"/>
      <c r="I2057" s="72"/>
      <c r="J2057" s="72"/>
      <c r="K2057" s="34" t="s">
        <v>65</v>
      </c>
      <c r="L2057" s="79">
        <v>2057</v>
      </c>
      <c r="M2057" s="79"/>
      <c r="N2057" s="74"/>
      <c r="O2057" s="81" t="s">
        <v>944</v>
      </c>
      <c r="P2057">
        <v>1</v>
      </c>
      <c r="Q2057" s="80" t="str">
        <f>REPLACE(INDEX(GroupVertices[Group],MATCH(Edges[[#This Row],[Vertex 1]],GroupVertices[Vertex],0)),1,1,"")</f>
        <v>4</v>
      </c>
      <c r="R2057" s="80" t="str">
        <f>REPLACE(INDEX(GroupVertices[Group],MATCH(Edges[[#This Row],[Vertex 2]],GroupVertices[Vertex],0)),1,1,"")</f>
        <v>2</v>
      </c>
      <c r="S2057" s="34"/>
      <c r="T2057" s="34"/>
      <c r="U2057" s="34"/>
      <c r="V2057" s="34"/>
      <c r="W2057" s="34"/>
      <c r="X2057" s="34"/>
      <c r="Y2057" s="34"/>
      <c r="Z2057" s="34"/>
      <c r="AA2057" s="34"/>
    </row>
    <row r="2058" spans="1:27" ht="15">
      <c r="A2058" s="66" t="s">
        <v>220</v>
      </c>
      <c r="B2058" s="66" t="s">
        <v>486</v>
      </c>
      <c r="C2058" s="67" t="s">
        <v>4454</v>
      </c>
      <c r="D2058" s="68">
        <v>5</v>
      </c>
      <c r="E2058" s="69"/>
      <c r="F2058" s="70">
        <v>20</v>
      </c>
      <c r="G2058" s="67"/>
      <c r="H2058" s="71"/>
      <c r="I2058" s="72"/>
      <c r="J2058" s="72"/>
      <c r="K2058" s="34" t="s">
        <v>65</v>
      </c>
      <c r="L2058" s="79">
        <v>2058</v>
      </c>
      <c r="M2058" s="79"/>
      <c r="N2058" s="74"/>
      <c r="O2058" s="81" t="s">
        <v>944</v>
      </c>
      <c r="P2058">
        <v>1</v>
      </c>
      <c r="Q2058" s="80" t="str">
        <f>REPLACE(INDEX(GroupVertices[Group],MATCH(Edges[[#This Row],[Vertex 1]],GroupVertices[Vertex],0)),1,1,"")</f>
        <v>2</v>
      </c>
      <c r="R2058" s="80" t="str">
        <f>REPLACE(INDEX(GroupVertices[Group],MATCH(Edges[[#This Row],[Vertex 2]],GroupVertices[Vertex],0)),1,1,"")</f>
        <v>2</v>
      </c>
      <c r="S2058" s="34"/>
      <c r="T2058" s="34"/>
      <c r="U2058" s="34"/>
      <c r="V2058" s="34"/>
      <c r="W2058" s="34"/>
      <c r="X2058" s="34"/>
      <c r="Y2058" s="34"/>
      <c r="Z2058" s="34"/>
      <c r="AA2058" s="34"/>
    </row>
    <row r="2059" spans="1:27" ht="15">
      <c r="A2059" s="66" t="s">
        <v>221</v>
      </c>
      <c r="B2059" s="66" t="s">
        <v>486</v>
      </c>
      <c r="C2059" s="67" t="s">
        <v>4454</v>
      </c>
      <c r="D2059" s="68">
        <v>5</v>
      </c>
      <c r="E2059" s="69"/>
      <c r="F2059" s="70">
        <v>20</v>
      </c>
      <c r="G2059" s="67"/>
      <c r="H2059" s="71"/>
      <c r="I2059" s="72"/>
      <c r="J2059" s="72"/>
      <c r="K2059" s="34" t="s">
        <v>65</v>
      </c>
      <c r="L2059" s="79">
        <v>2059</v>
      </c>
      <c r="M2059" s="79"/>
      <c r="N2059" s="74"/>
      <c r="O2059" s="81" t="s">
        <v>944</v>
      </c>
      <c r="P2059">
        <v>1</v>
      </c>
      <c r="Q2059" s="80" t="str">
        <f>REPLACE(INDEX(GroupVertices[Group],MATCH(Edges[[#This Row],[Vertex 1]],GroupVertices[Vertex],0)),1,1,"")</f>
        <v>2</v>
      </c>
      <c r="R2059" s="80" t="str">
        <f>REPLACE(INDEX(GroupVertices[Group],MATCH(Edges[[#This Row],[Vertex 2]],GroupVertices[Vertex],0)),1,1,"")</f>
        <v>2</v>
      </c>
      <c r="S2059" s="34"/>
      <c r="T2059" s="34"/>
      <c r="U2059" s="34"/>
      <c r="V2059" s="34"/>
      <c r="W2059" s="34"/>
      <c r="X2059" s="34"/>
      <c r="Y2059" s="34"/>
      <c r="Z2059" s="34"/>
      <c r="AA2059" s="34"/>
    </row>
    <row r="2060" spans="1:27" ht="15">
      <c r="A2060" s="66" t="s">
        <v>260</v>
      </c>
      <c r="B2060" s="66" t="s">
        <v>486</v>
      </c>
      <c r="C2060" s="67" t="s">
        <v>4454</v>
      </c>
      <c r="D2060" s="68">
        <v>5</v>
      </c>
      <c r="E2060" s="69"/>
      <c r="F2060" s="70">
        <v>20</v>
      </c>
      <c r="G2060" s="67"/>
      <c r="H2060" s="71"/>
      <c r="I2060" s="72"/>
      <c r="J2060" s="72"/>
      <c r="K2060" s="34" t="s">
        <v>65</v>
      </c>
      <c r="L2060" s="79">
        <v>2060</v>
      </c>
      <c r="M2060" s="79"/>
      <c r="N2060" s="74"/>
      <c r="O2060" s="81" t="s">
        <v>944</v>
      </c>
      <c r="P2060">
        <v>1</v>
      </c>
      <c r="Q2060" s="80" t="str">
        <f>REPLACE(INDEX(GroupVertices[Group],MATCH(Edges[[#This Row],[Vertex 1]],GroupVertices[Vertex],0)),1,1,"")</f>
        <v>2</v>
      </c>
      <c r="R2060" s="80" t="str">
        <f>REPLACE(INDEX(GroupVertices[Group],MATCH(Edges[[#This Row],[Vertex 2]],GroupVertices[Vertex],0)),1,1,"")</f>
        <v>2</v>
      </c>
      <c r="S2060" s="34"/>
      <c r="T2060" s="34"/>
      <c r="U2060" s="34"/>
      <c r="V2060" s="34"/>
      <c r="W2060" s="34"/>
      <c r="X2060" s="34"/>
      <c r="Y2060" s="34"/>
      <c r="Z2060" s="34"/>
      <c r="AA2060" s="34"/>
    </row>
    <row r="2061" spans="1:27" ht="15">
      <c r="A2061" s="66" t="s">
        <v>220</v>
      </c>
      <c r="B2061" s="66" t="s">
        <v>221</v>
      </c>
      <c r="C2061" s="67" t="s">
        <v>4454</v>
      </c>
      <c r="D2061" s="68">
        <v>5</v>
      </c>
      <c r="E2061" s="69"/>
      <c r="F2061" s="70">
        <v>20</v>
      </c>
      <c r="G2061" s="67"/>
      <c r="H2061" s="71"/>
      <c r="I2061" s="72"/>
      <c r="J2061" s="72"/>
      <c r="K2061" s="34" t="s">
        <v>66</v>
      </c>
      <c r="L2061" s="79">
        <v>2061</v>
      </c>
      <c r="M2061" s="79"/>
      <c r="N2061" s="74"/>
      <c r="O2061" s="81" t="s">
        <v>944</v>
      </c>
      <c r="P2061">
        <v>1</v>
      </c>
      <c r="Q2061" s="80" t="str">
        <f>REPLACE(INDEX(GroupVertices[Group],MATCH(Edges[[#This Row],[Vertex 1]],GroupVertices[Vertex],0)),1,1,"")</f>
        <v>2</v>
      </c>
      <c r="R2061" s="80" t="str">
        <f>REPLACE(INDEX(GroupVertices[Group],MATCH(Edges[[#This Row],[Vertex 2]],GroupVertices[Vertex],0)),1,1,"")</f>
        <v>2</v>
      </c>
      <c r="S2061" s="34"/>
      <c r="T2061" s="34"/>
      <c r="U2061" s="34"/>
      <c r="V2061" s="34"/>
      <c r="W2061" s="34"/>
      <c r="X2061" s="34"/>
      <c r="Y2061" s="34"/>
      <c r="Z2061" s="34"/>
      <c r="AA2061" s="34"/>
    </row>
    <row r="2062" spans="1:27" ht="15">
      <c r="A2062" s="66" t="s">
        <v>221</v>
      </c>
      <c r="B2062" s="66" t="s">
        <v>602</v>
      </c>
      <c r="C2062" s="67" t="s">
        <v>4454</v>
      </c>
      <c r="D2062" s="68">
        <v>5</v>
      </c>
      <c r="E2062" s="69"/>
      <c r="F2062" s="70">
        <v>20</v>
      </c>
      <c r="G2062" s="67"/>
      <c r="H2062" s="71"/>
      <c r="I2062" s="72"/>
      <c r="J2062" s="72"/>
      <c r="K2062" s="34" t="s">
        <v>65</v>
      </c>
      <c r="L2062" s="79">
        <v>2062</v>
      </c>
      <c r="M2062" s="79"/>
      <c r="N2062" s="74"/>
      <c r="O2062" s="81" t="s">
        <v>944</v>
      </c>
      <c r="P2062">
        <v>1</v>
      </c>
      <c r="Q2062" s="80" t="str">
        <f>REPLACE(INDEX(GroupVertices[Group],MATCH(Edges[[#This Row],[Vertex 1]],GroupVertices[Vertex],0)),1,1,"")</f>
        <v>2</v>
      </c>
      <c r="R2062" s="80" t="str">
        <f>REPLACE(INDEX(GroupVertices[Group],MATCH(Edges[[#This Row],[Vertex 2]],GroupVertices[Vertex],0)),1,1,"")</f>
        <v>2</v>
      </c>
      <c r="S2062" s="34"/>
      <c r="T2062" s="34"/>
      <c r="U2062" s="34"/>
      <c r="V2062" s="34"/>
      <c r="W2062" s="34"/>
      <c r="X2062" s="34"/>
      <c r="Y2062" s="34"/>
      <c r="Z2062" s="34"/>
      <c r="AA2062" s="34"/>
    </row>
    <row r="2063" spans="1:27" ht="15">
      <c r="A2063" s="66" t="s">
        <v>221</v>
      </c>
      <c r="B2063" s="66" t="s">
        <v>242</v>
      </c>
      <c r="C2063" s="67" t="s">
        <v>4454</v>
      </c>
      <c r="D2063" s="68">
        <v>5</v>
      </c>
      <c r="E2063" s="69"/>
      <c r="F2063" s="70">
        <v>20</v>
      </c>
      <c r="G2063" s="67"/>
      <c r="H2063" s="71"/>
      <c r="I2063" s="72"/>
      <c r="J2063" s="72"/>
      <c r="K2063" s="34" t="s">
        <v>66</v>
      </c>
      <c r="L2063" s="79">
        <v>2063</v>
      </c>
      <c r="M2063" s="79"/>
      <c r="N2063" s="74"/>
      <c r="O2063" s="81" t="s">
        <v>944</v>
      </c>
      <c r="P2063">
        <v>1</v>
      </c>
      <c r="Q2063" s="80" t="str">
        <f>REPLACE(INDEX(GroupVertices[Group],MATCH(Edges[[#This Row],[Vertex 1]],GroupVertices[Vertex],0)),1,1,"")</f>
        <v>2</v>
      </c>
      <c r="R2063" s="80" t="str">
        <f>REPLACE(INDEX(GroupVertices[Group],MATCH(Edges[[#This Row],[Vertex 2]],GroupVertices[Vertex],0)),1,1,"")</f>
        <v>1</v>
      </c>
      <c r="S2063" s="34"/>
      <c r="T2063" s="34"/>
      <c r="U2063" s="34"/>
      <c r="V2063" s="34"/>
      <c r="W2063" s="34"/>
      <c r="X2063" s="34"/>
      <c r="Y2063" s="34"/>
      <c r="Z2063" s="34"/>
      <c r="AA2063" s="34"/>
    </row>
    <row r="2064" spans="1:27" ht="15">
      <c r="A2064" s="66" t="s">
        <v>221</v>
      </c>
      <c r="B2064" s="66" t="s">
        <v>248</v>
      </c>
      <c r="C2064" s="67" t="s">
        <v>4454</v>
      </c>
      <c r="D2064" s="68">
        <v>5</v>
      </c>
      <c r="E2064" s="69"/>
      <c r="F2064" s="70">
        <v>20</v>
      </c>
      <c r="G2064" s="67"/>
      <c r="H2064" s="71"/>
      <c r="I2064" s="72"/>
      <c r="J2064" s="72"/>
      <c r="K2064" s="34" t="s">
        <v>65</v>
      </c>
      <c r="L2064" s="79">
        <v>2064</v>
      </c>
      <c r="M2064" s="79"/>
      <c r="N2064" s="74"/>
      <c r="O2064" s="81" t="s">
        <v>944</v>
      </c>
      <c r="P2064">
        <v>1</v>
      </c>
      <c r="Q2064" s="80" t="str">
        <f>REPLACE(INDEX(GroupVertices[Group],MATCH(Edges[[#This Row],[Vertex 1]],GroupVertices[Vertex],0)),1,1,"")</f>
        <v>2</v>
      </c>
      <c r="R2064" s="80" t="str">
        <f>REPLACE(INDEX(GroupVertices[Group],MATCH(Edges[[#This Row],[Vertex 2]],GroupVertices[Vertex],0)),1,1,"")</f>
        <v>1</v>
      </c>
      <c r="S2064" s="34"/>
      <c r="T2064" s="34"/>
      <c r="U2064" s="34"/>
      <c r="V2064" s="34"/>
      <c r="W2064" s="34"/>
      <c r="X2064" s="34"/>
      <c r="Y2064" s="34"/>
      <c r="Z2064" s="34"/>
      <c r="AA2064" s="34"/>
    </row>
    <row r="2065" spans="1:27" ht="15">
      <c r="A2065" s="66" t="s">
        <v>221</v>
      </c>
      <c r="B2065" s="66" t="s">
        <v>261</v>
      </c>
      <c r="C2065" s="67" t="s">
        <v>4454</v>
      </c>
      <c r="D2065" s="68">
        <v>5</v>
      </c>
      <c r="E2065" s="69"/>
      <c r="F2065" s="70">
        <v>20</v>
      </c>
      <c r="G2065" s="67"/>
      <c r="H2065" s="71"/>
      <c r="I2065" s="72"/>
      <c r="J2065" s="72"/>
      <c r="K2065" s="34" t="s">
        <v>65</v>
      </c>
      <c r="L2065" s="79">
        <v>2065</v>
      </c>
      <c r="M2065" s="79"/>
      <c r="N2065" s="74"/>
      <c r="O2065" s="81" t="s">
        <v>944</v>
      </c>
      <c r="P2065">
        <v>1</v>
      </c>
      <c r="Q2065" s="80" t="str">
        <f>REPLACE(INDEX(GroupVertices[Group],MATCH(Edges[[#This Row],[Vertex 1]],GroupVertices[Vertex],0)),1,1,"")</f>
        <v>2</v>
      </c>
      <c r="R2065" s="80" t="str">
        <f>REPLACE(INDEX(GroupVertices[Group],MATCH(Edges[[#This Row],[Vertex 2]],GroupVertices[Vertex],0)),1,1,"")</f>
        <v>1</v>
      </c>
      <c r="S2065" s="34"/>
      <c r="T2065" s="34"/>
      <c r="U2065" s="34"/>
      <c r="V2065" s="34"/>
      <c r="W2065" s="34"/>
      <c r="X2065" s="34"/>
      <c r="Y2065" s="34"/>
      <c r="Z2065" s="34"/>
      <c r="AA2065" s="34"/>
    </row>
    <row r="2066" spans="1:27" ht="15">
      <c r="A2066" s="66" t="s">
        <v>221</v>
      </c>
      <c r="B2066" s="66" t="s">
        <v>619</v>
      </c>
      <c r="C2066" s="67" t="s">
        <v>4454</v>
      </c>
      <c r="D2066" s="68">
        <v>5</v>
      </c>
      <c r="E2066" s="69"/>
      <c r="F2066" s="70">
        <v>20</v>
      </c>
      <c r="G2066" s="67"/>
      <c r="H2066" s="71"/>
      <c r="I2066" s="72"/>
      <c r="J2066" s="72"/>
      <c r="K2066" s="34" t="s">
        <v>65</v>
      </c>
      <c r="L2066" s="79">
        <v>2066</v>
      </c>
      <c r="M2066" s="79"/>
      <c r="N2066" s="74"/>
      <c r="O2066" s="81" t="s">
        <v>944</v>
      </c>
      <c r="P2066">
        <v>1</v>
      </c>
      <c r="Q2066" s="80" t="str">
        <f>REPLACE(INDEX(GroupVertices[Group],MATCH(Edges[[#This Row],[Vertex 1]],GroupVertices[Vertex],0)),1,1,"")</f>
        <v>2</v>
      </c>
      <c r="R2066" s="80" t="str">
        <f>REPLACE(INDEX(GroupVertices[Group],MATCH(Edges[[#This Row],[Vertex 2]],GroupVertices[Vertex],0)),1,1,"")</f>
        <v>2</v>
      </c>
      <c r="S2066" s="34"/>
      <c r="T2066" s="34"/>
      <c r="U2066" s="34"/>
      <c r="V2066" s="34"/>
      <c r="W2066" s="34"/>
      <c r="X2066" s="34"/>
      <c r="Y2066" s="34"/>
      <c r="Z2066" s="34"/>
      <c r="AA2066" s="34"/>
    </row>
    <row r="2067" spans="1:27" ht="15">
      <c r="A2067" s="66" t="s">
        <v>221</v>
      </c>
      <c r="B2067" s="66" t="s">
        <v>224</v>
      </c>
      <c r="C2067" s="67" t="s">
        <v>4454</v>
      </c>
      <c r="D2067" s="68">
        <v>5</v>
      </c>
      <c r="E2067" s="69"/>
      <c r="F2067" s="70">
        <v>20</v>
      </c>
      <c r="G2067" s="67"/>
      <c r="H2067" s="71"/>
      <c r="I2067" s="72"/>
      <c r="J2067" s="72"/>
      <c r="K2067" s="34" t="s">
        <v>66</v>
      </c>
      <c r="L2067" s="79">
        <v>2067</v>
      </c>
      <c r="M2067" s="79"/>
      <c r="N2067" s="74"/>
      <c r="O2067" s="81" t="s">
        <v>944</v>
      </c>
      <c r="P2067">
        <v>1</v>
      </c>
      <c r="Q2067" s="80" t="str">
        <f>REPLACE(INDEX(GroupVertices[Group],MATCH(Edges[[#This Row],[Vertex 1]],GroupVertices[Vertex],0)),1,1,"")</f>
        <v>2</v>
      </c>
      <c r="R2067" s="80" t="str">
        <f>REPLACE(INDEX(GroupVertices[Group],MATCH(Edges[[#This Row],[Vertex 2]],GroupVertices[Vertex],0)),1,1,"")</f>
        <v>2</v>
      </c>
      <c r="S2067" s="34"/>
      <c r="T2067" s="34"/>
      <c r="U2067" s="34"/>
      <c r="V2067" s="34"/>
      <c r="W2067" s="34"/>
      <c r="X2067" s="34"/>
      <c r="Y2067" s="34"/>
      <c r="Z2067" s="34"/>
      <c r="AA2067" s="34"/>
    </row>
    <row r="2068" spans="1:27" ht="15">
      <c r="A2068" s="66" t="s">
        <v>221</v>
      </c>
      <c r="B2068" s="66" t="s">
        <v>260</v>
      </c>
      <c r="C2068" s="67" t="s">
        <v>4454</v>
      </c>
      <c r="D2068" s="68">
        <v>5</v>
      </c>
      <c r="E2068" s="69"/>
      <c r="F2068" s="70">
        <v>20</v>
      </c>
      <c r="G2068" s="67"/>
      <c r="H2068" s="71"/>
      <c r="I2068" s="72"/>
      <c r="J2068" s="72"/>
      <c r="K2068" s="34" t="s">
        <v>66</v>
      </c>
      <c r="L2068" s="79">
        <v>2068</v>
      </c>
      <c r="M2068" s="79"/>
      <c r="N2068" s="74"/>
      <c r="O2068" s="81" t="s">
        <v>944</v>
      </c>
      <c r="P2068">
        <v>1</v>
      </c>
      <c r="Q2068" s="80" t="str">
        <f>REPLACE(INDEX(GroupVertices[Group],MATCH(Edges[[#This Row],[Vertex 1]],GroupVertices[Vertex],0)),1,1,"")</f>
        <v>2</v>
      </c>
      <c r="R2068" s="80" t="str">
        <f>REPLACE(INDEX(GroupVertices[Group],MATCH(Edges[[#This Row],[Vertex 2]],GroupVertices[Vertex],0)),1,1,"")</f>
        <v>2</v>
      </c>
      <c r="S2068" s="34"/>
      <c r="T2068" s="34"/>
      <c r="U2068" s="34"/>
      <c r="V2068" s="34"/>
      <c r="W2068" s="34"/>
      <c r="X2068" s="34"/>
      <c r="Y2068" s="34"/>
      <c r="Z2068" s="34"/>
      <c r="AA2068" s="34"/>
    </row>
    <row r="2069" spans="1:27" ht="15">
      <c r="A2069" s="66" t="s">
        <v>221</v>
      </c>
      <c r="B2069" s="66" t="s">
        <v>238</v>
      </c>
      <c r="C2069" s="67" t="s">
        <v>4454</v>
      </c>
      <c r="D2069" s="68">
        <v>5</v>
      </c>
      <c r="E2069" s="69"/>
      <c r="F2069" s="70">
        <v>20</v>
      </c>
      <c r="G2069" s="67"/>
      <c r="H2069" s="71"/>
      <c r="I2069" s="72"/>
      <c r="J2069" s="72"/>
      <c r="K2069" s="34" t="s">
        <v>65</v>
      </c>
      <c r="L2069" s="79">
        <v>2069</v>
      </c>
      <c r="M2069" s="79"/>
      <c r="N2069" s="74"/>
      <c r="O2069" s="81" t="s">
        <v>944</v>
      </c>
      <c r="P2069">
        <v>1</v>
      </c>
      <c r="Q2069" s="80" t="str">
        <f>REPLACE(INDEX(GroupVertices[Group],MATCH(Edges[[#This Row],[Vertex 1]],GroupVertices[Vertex],0)),1,1,"")</f>
        <v>2</v>
      </c>
      <c r="R2069" s="80" t="str">
        <f>REPLACE(INDEX(GroupVertices[Group],MATCH(Edges[[#This Row],[Vertex 2]],GroupVertices[Vertex],0)),1,1,"")</f>
        <v>2</v>
      </c>
      <c r="S2069" s="34"/>
      <c r="T2069" s="34"/>
      <c r="U2069" s="34"/>
      <c r="V2069" s="34"/>
      <c r="W2069" s="34"/>
      <c r="X2069" s="34"/>
      <c r="Y2069" s="34"/>
      <c r="Z2069" s="34"/>
      <c r="AA2069" s="34"/>
    </row>
    <row r="2070" spans="1:27" ht="15">
      <c r="A2070" s="66" t="s">
        <v>221</v>
      </c>
      <c r="B2070" s="66" t="s">
        <v>249</v>
      </c>
      <c r="C2070" s="67" t="s">
        <v>4454</v>
      </c>
      <c r="D2070" s="68">
        <v>5</v>
      </c>
      <c r="E2070" s="69"/>
      <c r="F2070" s="70">
        <v>20</v>
      </c>
      <c r="G2070" s="67"/>
      <c r="H2070" s="71"/>
      <c r="I2070" s="72"/>
      <c r="J2070" s="72"/>
      <c r="K2070" s="34" t="s">
        <v>66</v>
      </c>
      <c r="L2070" s="79">
        <v>2070</v>
      </c>
      <c r="M2070" s="79"/>
      <c r="N2070" s="74"/>
      <c r="O2070" s="81" t="s">
        <v>944</v>
      </c>
      <c r="P2070">
        <v>1</v>
      </c>
      <c r="Q2070" s="80" t="str">
        <f>REPLACE(INDEX(GroupVertices[Group],MATCH(Edges[[#This Row],[Vertex 1]],GroupVertices[Vertex],0)),1,1,"")</f>
        <v>2</v>
      </c>
      <c r="R2070" s="80" t="str">
        <f>REPLACE(INDEX(GroupVertices[Group],MATCH(Edges[[#This Row],[Vertex 2]],GroupVertices[Vertex],0)),1,1,"")</f>
        <v>2</v>
      </c>
      <c r="S2070" s="34"/>
      <c r="T2070" s="34"/>
      <c r="U2070" s="34"/>
      <c r="V2070" s="34"/>
      <c r="W2070" s="34"/>
      <c r="X2070" s="34"/>
      <c r="Y2070" s="34"/>
      <c r="Z2070" s="34"/>
      <c r="AA2070" s="34"/>
    </row>
    <row r="2071" spans="1:27" ht="15">
      <c r="A2071" s="66" t="s">
        <v>221</v>
      </c>
      <c r="B2071" s="66" t="s">
        <v>846</v>
      </c>
      <c r="C2071" s="67" t="s">
        <v>4454</v>
      </c>
      <c r="D2071" s="68">
        <v>5</v>
      </c>
      <c r="E2071" s="69"/>
      <c r="F2071" s="70">
        <v>20</v>
      </c>
      <c r="G2071" s="67"/>
      <c r="H2071" s="71"/>
      <c r="I2071" s="72"/>
      <c r="J2071" s="72"/>
      <c r="K2071" s="34" t="s">
        <v>65</v>
      </c>
      <c r="L2071" s="79">
        <v>2071</v>
      </c>
      <c r="M2071" s="79"/>
      <c r="N2071" s="74"/>
      <c r="O2071" s="81" t="s">
        <v>944</v>
      </c>
      <c r="P2071">
        <v>1</v>
      </c>
      <c r="Q2071" s="80" t="str">
        <f>REPLACE(INDEX(GroupVertices[Group],MATCH(Edges[[#This Row],[Vertex 1]],GroupVertices[Vertex],0)),1,1,"")</f>
        <v>2</v>
      </c>
      <c r="R2071" s="80" t="str">
        <f>REPLACE(INDEX(GroupVertices[Group],MATCH(Edges[[#This Row],[Vertex 2]],GroupVertices[Vertex],0)),1,1,"")</f>
        <v>1</v>
      </c>
      <c r="S2071" s="34"/>
      <c r="T2071" s="34"/>
      <c r="U2071" s="34"/>
      <c r="V2071" s="34"/>
      <c r="W2071" s="34"/>
      <c r="X2071" s="34"/>
      <c r="Y2071" s="34"/>
      <c r="Z2071" s="34"/>
      <c r="AA2071" s="34"/>
    </row>
    <row r="2072" spans="1:27" ht="15">
      <c r="A2072" s="66" t="s">
        <v>221</v>
      </c>
      <c r="B2072" s="66" t="s">
        <v>253</v>
      </c>
      <c r="C2072" s="67" t="s">
        <v>4454</v>
      </c>
      <c r="D2072" s="68">
        <v>5</v>
      </c>
      <c r="E2072" s="69"/>
      <c r="F2072" s="70">
        <v>20</v>
      </c>
      <c r="G2072" s="67"/>
      <c r="H2072" s="71"/>
      <c r="I2072" s="72"/>
      <c r="J2072" s="72"/>
      <c r="K2072" s="34" t="s">
        <v>65</v>
      </c>
      <c r="L2072" s="79">
        <v>2072</v>
      </c>
      <c r="M2072" s="79"/>
      <c r="N2072" s="74"/>
      <c r="O2072" s="81" t="s">
        <v>944</v>
      </c>
      <c r="P2072">
        <v>1</v>
      </c>
      <c r="Q2072" s="80" t="str">
        <f>REPLACE(INDEX(GroupVertices[Group],MATCH(Edges[[#This Row],[Vertex 1]],GroupVertices[Vertex],0)),1,1,"")</f>
        <v>2</v>
      </c>
      <c r="R2072" s="80" t="str">
        <f>REPLACE(INDEX(GroupVertices[Group],MATCH(Edges[[#This Row],[Vertex 2]],GroupVertices[Vertex],0)),1,1,"")</f>
        <v>1</v>
      </c>
      <c r="S2072" s="34"/>
      <c r="T2072" s="34"/>
      <c r="U2072" s="34"/>
      <c r="V2072" s="34"/>
      <c r="W2072" s="34"/>
      <c r="X2072" s="34"/>
      <c r="Y2072" s="34"/>
      <c r="Z2072" s="34"/>
      <c r="AA2072" s="34"/>
    </row>
    <row r="2073" spans="1:27" ht="15">
      <c r="A2073" s="66" t="s">
        <v>221</v>
      </c>
      <c r="B2073" s="66" t="s">
        <v>217</v>
      </c>
      <c r="C2073" s="67" t="s">
        <v>4454</v>
      </c>
      <c r="D2073" s="68">
        <v>5</v>
      </c>
      <c r="E2073" s="69"/>
      <c r="F2073" s="70">
        <v>20</v>
      </c>
      <c r="G2073" s="67"/>
      <c r="H2073" s="71"/>
      <c r="I2073" s="72"/>
      <c r="J2073" s="72"/>
      <c r="K2073" s="34" t="s">
        <v>65</v>
      </c>
      <c r="L2073" s="79">
        <v>2073</v>
      </c>
      <c r="M2073" s="79"/>
      <c r="N2073" s="74"/>
      <c r="O2073" s="81" t="s">
        <v>944</v>
      </c>
      <c r="P2073">
        <v>1</v>
      </c>
      <c r="Q2073" s="80" t="str">
        <f>REPLACE(INDEX(GroupVertices[Group],MATCH(Edges[[#This Row],[Vertex 1]],GroupVertices[Vertex],0)),1,1,"")</f>
        <v>2</v>
      </c>
      <c r="R2073" s="80" t="str">
        <f>REPLACE(INDEX(GroupVertices[Group],MATCH(Edges[[#This Row],[Vertex 2]],GroupVertices[Vertex],0)),1,1,"")</f>
        <v>4</v>
      </c>
      <c r="S2073" s="34"/>
      <c r="T2073" s="34"/>
      <c r="U2073" s="34"/>
      <c r="V2073" s="34"/>
      <c r="W2073" s="34"/>
      <c r="X2073" s="34"/>
      <c r="Y2073" s="34"/>
      <c r="Z2073" s="34"/>
      <c r="AA2073" s="34"/>
    </row>
    <row r="2074" spans="1:27" ht="15">
      <c r="A2074" s="66" t="s">
        <v>221</v>
      </c>
      <c r="B2074" s="66" t="s">
        <v>233</v>
      </c>
      <c r="C2074" s="67" t="s">
        <v>4454</v>
      </c>
      <c r="D2074" s="68">
        <v>5</v>
      </c>
      <c r="E2074" s="69"/>
      <c r="F2074" s="70">
        <v>20</v>
      </c>
      <c r="G2074" s="67"/>
      <c r="H2074" s="71"/>
      <c r="I2074" s="72"/>
      <c r="J2074" s="72"/>
      <c r="K2074" s="34" t="s">
        <v>66</v>
      </c>
      <c r="L2074" s="79">
        <v>2074</v>
      </c>
      <c r="M2074" s="79"/>
      <c r="N2074" s="74"/>
      <c r="O2074" s="81" t="s">
        <v>944</v>
      </c>
      <c r="P2074">
        <v>1</v>
      </c>
      <c r="Q2074" s="80" t="str">
        <f>REPLACE(INDEX(GroupVertices[Group],MATCH(Edges[[#This Row],[Vertex 1]],GroupVertices[Vertex],0)),1,1,"")</f>
        <v>2</v>
      </c>
      <c r="R2074" s="80" t="str">
        <f>REPLACE(INDEX(GroupVertices[Group],MATCH(Edges[[#This Row],[Vertex 2]],GroupVertices[Vertex],0)),1,1,"")</f>
        <v>2</v>
      </c>
      <c r="S2074" s="34"/>
      <c r="T2074" s="34"/>
      <c r="U2074" s="34"/>
      <c r="V2074" s="34"/>
      <c r="W2074" s="34"/>
      <c r="X2074" s="34"/>
      <c r="Y2074" s="34"/>
      <c r="Z2074" s="34"/>
      <c r="AA2074" s="34"/>
    </row>
    <row r="2075" spans="1:27" ht="15">
      <c r="A2075" s="66" t="s">
        <v>221</v>
      </c>
      <c r="B2075" s="66" t="s">
        <v>250</v>
      </c>
      <c r="C2075" s="67" t="s">
        <v>4454</v>
      </c>
      <c r="D2075" s="68">
        <v>5</v>
      </c>
      <c r="E2075" s="69"/>
      <c r="F2075" s="70">
        <v>20</v>
      </c>
      <c r="G2075" s="67"/>
      <c r="H2075" s="71"/>
      <c r="I2075" s="72"/>
      <c r="J2075" s="72"/>
      <c r="K2075" s="34" t="s">
        <v>66</v>
      </c>
      <c r="L2075" s="79">
        <v>2075</v>
      </c>
      <c r="M2075" s="79"/>
      <c r="N2075" s="74"/>
      <c r="O2075" s="81" t="s">
        <v>944</v>
      </c>
      <c r="P2075">
        <v>1</v>
      </c>
      <c r="Q2075" s="80" t="str">
        <f>REPLACE(INDEX(GroupVertices[Group],MATCH(Edges[[#This Row],[Vertex 1]],GroupVertices[Vertex],0)),1,1,"")</f>
        <v>2</v>
      </c>
      <c r="R2075" s="80" t="str">
        <f>REPLACE(INDEX(GroupVertices[Group],MATCH(Edges[[#This Row],[Vertex 2]],GroupVertices[Vertex],0)),1,1,"")</f>
        <v>2</v>
      </c>
      <c r="S2075" s="34"/>
      <c r="T2075" s="34"/>
      <c r="U2075" s="34"/>
      <c r="V2075" s="34"/>
      <c r="W2075" s="34"/>
      <c r="X2075" s="34"/>
      <c r="Y2075" s="34"/>
      <c r="Z2075" s="34"/>
      <c r="AA2075" s="34"/>
    </row>
    <row r="2076" spans="1:27" ht="15">
      <c r="A2076" s="66" t="s">
        <v>221</v>
      </c>
      <c r="B2076" s="66" t="s">
        <v>220</v>
      </c>
      <c r="C2076" s="67" t="s">
        <v>4454</v>
      </c>
      <c r="D2076" s="68">
        <v>5</v>
      </c>
      <c r="E2076" s="69"/>
      <c r="F2076" s="70">
        <v>20</v>
      </c>
      <c r="G2076" s="67"/>
      <c r="H2076" s="71"/>
      <c r="I2076" s="72"/>
      <c r="J2076" s="72"/>
      <c r="K2076" s="34" t="s">
        <v>66</v>
      </c>
      <c r="L2076" s="79">
        <v>2076</v>
      </c>
      <c r="M2076" s="79"/>
      <c r="N2076" s="74"/>
      <c r="O2076" s="81" t="s">
        <v>944</v>
      </c>
      <c r="P2076">
        <v>1</v>
      </c>
      <c r="Q2076" s="80" t="str">
        <f>REPLACE(INDEX(GroupVertices[Group],MATCH(Edges[[#This Row],[Vertex 1]],GroupVertices[Vertex],0)),1,1,"")</f>
        <v>2</v>
      </c>
      <c r="R2076" s="80" t="str">
        <f>REPLACE(INDEX(GroupVertices[Group],MATCH(Edges[[#This Row],[Vertex 2]],GroupVertices[Vertex],0)),1,1,"")</f>
        <v>2</v>
      </c>
      <c r="S2076" s="34"/>
      <c r="T2076" s="34"/>
      <c r="U2076" s="34"/>
      <c r="V2076" s="34"/>
      <c r="W2076" s="34"/>
      <c r="X2076" s="34"/>
      <c r="Y2076" s="34"/>
      <c r="Z2076" s="34"/>
      <c r="AA2076" s="34"/>
    </row>
    <row r="2077" spans="1:27" ht="15">
      <c r="A2077" s="66" t="s">
        <v>221</v>
      </c>
      <c r="B2077" s="66" t="s">
        <v>259</v>
      </c>
      <c r="C2077" s="67" t="s">
        <v>4454</v>
      </c>
      <c r="D2077" s="68">
        <v>5</v>
      </c>
      <c r="E2077" s="69"/>
      <c r="F2077" s="70">
        <v>20</v>
      </c>
      <c r="G2077" s="67"/>
      <c r="H2077" s="71"/>
      <c r="I2077" s="72"/>
      <c r="J2077" s="72"/>
      <c r="K2077" s="34" t="s">
        <v>65</v>
      </c>
      <c r="L2077" s="79">
        <v>2077</v>
      </c>
      <c r="M2077" s="79"/>
      <c r="N2077" s="74"/>
      <c r="O2077" s="81" t="s">
        <v>944</v>
      </c>
      <c r="P2077">
        <v>1</v>
      </c>
      <c r="Q2077" s="80" t="str">
        <f>REPLACE(INDEX(GroupVertices[Group],MATCH(Edges[[#This Row],[Vertex 1]],GroupVertices[Vertex],0)),1,1,"")</f>
        <v>2</v>
      </c>
      <c r="R2077" s="80" t="str">
        <f>REPLACE(INDEX(GroupVertices[Group],MATCH(Edges[[#This Row],[Vertex 2]],GroupVertices[Vertex],0)),1,1,"")</f>
        <v>2</v>
      </c>
      <c r="S2077" s="34"/>
      <c r="T2077" s="34"/>
      <c r="U2077" s="34"/>
      <c r="V2077" s="34"/>
      <c r="W2077" s="34"/>
      <c r="X2077" s="34"/>
      <c r="Y2077" s="34"/>
      <c r="Z2077" s="34"/>
      <c r="AA2077" s="34"/>
    </row>
    <row r="2078" spans="1:27" ht="15">
      <c r="A2078" s="66" t="s">
        <v>224</v>
      </c>
      <c r="B2078" s="66" t="s">
        <v>221</v>
      </c>
      <c r="C2078" s="67" t="s">
        <v>4454</v>
      </c>
      <c r="D2078" s="68">
        <v>5</v>
      </c>
      <c r="E2078" s="69"/>
      <c r="F2078" s="70">
        <v>20</v>
      </c>
      <c r="G2078" s="67"/>
      <c r="H2078" s="71"/>
      <c r="I2078" s="72"/>
      <c r="J2078" s="72"/>
      <c r="K2078" s="34" t="s">
        <v>66</v>
      </c>
      <c r="L2078" s="79">
        <v>2078</v>
      </c>
      <c r="M2078" s="79"/>
      <c r="N2078" s="74"/>
      <c r="O2078" s="81" t="s">
        <v>944</v>
      </c>
      <c r="P2078">
        <v>1</v>
      </c>
      <c r="Q2078" s="80" t="str">
        <f>REPLACE(INDEX(GroupVertices[Group],MATCH(Edges[[#This Row],[Vertex 1]],GroupVertices[Vertex],0)),1,1,"")</f>
        <v>2</v>
      </c>
      <c r="R2078" s="80" t="str">
        <f>REPLACE(INDEX(GroupVertices[Group],MATCH(Edges[[#This Row],[Vertex 2]],GroupVertices[Vertex],0)),1,1,"")</f>
        <v>2</v>
      </c>
      <c r="S2078" s="34"/>
      <c r="T2078" s="34"/>
      <c r="U2078" s="34"/>
      <c r="V2078" s="34"/>
      <c r="W2078" s="34"/>
      <c r="X2078" s="34"/>
      <c r="Y2078" s="34"/>
      <c r="Z2078" s="34"/>
      <c r="AA2078" s="34"/>
    </row>
    <row r="2079" spans="1:27" ht="15">
      <c r="A2079" s="66" t="s">
        <v>233</v>
      </c>
      <c r="B2079" s="66" t="s">
        <v>221</v>
      </c>
      <c r="C2079" s="67" t="s">
        <v>4454</v>
      </c>
      <c r="D2079" s="68">
        <v>5</v>
      </c>
      <c r="E2079" s="69"/>
      <c r="F2079" s="70">
        <v>20</v>
      </c>
      <c r="G2079" s="67"/>
      <c r="H2079" s="71"/>
      <c r="I2079" s="72"/>
      <c r="J2079" s="72"/>
      <c r="K2079" s="34" t="s">
        <v>66</v>
      </c>
      <c r="L2079" s="79">
        <v>2079</v>
      </c>
      <c r="M2079" s="79"/>
      <c r="N2079" s="74"/>
      <c r="O2079" s="81" t="s">
        <v>944</v>
      </c>
      <c r="P2079">
        <v>1</v>
      </c>
      <c r="Q2079" s="80" t="str">
        <f>REPLACE(INDEX(GroupVertices[Group],MATCH(Edges[[#This Row],[Vertex 1]],GroupVertices[Vertex],0)),1,1,"")</f>
        <v>2</v>
      </c>
      <c r="R2079" s="80" t="str">
        <f>REPLACE(INDEX(GroupVertices[Group],MATCH(Edges[[#This Row],[Vertex 2]],GroupVertices[Vertex],0)),1,1,"")</f>
        <v>2</v>
      </c>
      <c r="S2079" s="34"/>
      <c r="T2079" s="34"/>
      <c r="U2079" s="34"/>
      <c r="V2079" s="34"/>
      <c r="W2079" s="34"/>
      <c r="X2079" s="34"/>
      <c r="Y2079" s="34"/>
      <c r="Z2079" s="34"/>
      <c r="AA2079" s="34"/>
    </row>
    <row r="2080" spans="1:27" ht="15">
      <c r="A2080" s="66" t="s">
        <v>242</v>
      </c>
      <c r="B2080" s="66" t="s">
        <v>221</v>
      </c>
      <c r="C2080" s="67" t="s">
        <v>4454</v>
      </c>
      <c r="D2080" s="68">
        <v>5</v>
      </c>
      <c r="E2080" s="69"/>
      <c r="F2080" s="70">
        <v>20</v>
      </c>
      <c r="G2080" s="67"/>
      <c r="H2080" s="71"/>
      <c r="I2080" s="72"/>
      <c r="J2080" s="72"/>
      <c r="K2080" s="34" t="s">
        <v>66</v>
      </c>
      <c r="L2080" s="79">
        <v>2080</v>
      </c>
      <c r="M2080" s="79"/>
      <c r="N2080" s="74"/>
      <c r="O2080" s="81" t="s">
        <v>944</v>
      </c>
      <c r="P2080">
        <v>1</v>
      </c>
      <c r="Q2080" s="80" t="str">
        <f>REPLACE(INDEX(GroupVertices[Group],MATCH(Edges[[#This Row],[Vertex 1]],GroupVertices[Vertex],0)),1,1,"")</f>
        <v>1</v>
      </c>
      <c r="R2080" s="80" t="str">
        <f>REPLACE(INDEX(GroupVertices[Group],MATCH(Edges[[#This Row],[Vertex 2]],GroupVertices[Vertex],0)),1,1,"")</f>
        <v>2</v>
      </c>
      <c r="S2080" s="34"/>
      <c r="T2080" s="34"/>
      <c r="U2080" s="34"/>
      <c r="V2080" s="34"/>
      <c r="W2080" s="34"/>
      <c r="X2080" s="34"/>
      <c r="Y2080" s="34"/>
      <c r="Z2080" s="34"/>
      <c r="AA2080" s="34"/>
    </row>
    <row r="2081" spans="1:27" ht="15">
      <c r="A2081" s="66" t="s">
        <v>249</v>
      </c>
      <c r="B2081" s="66" t="s">
        <v>221</v>
      </c>
      <c r="C2081" s="67" t="s">
        <v>4454</v>
      </c>
      <c r="D2081" s="68">
        <v>5</v>
      </c>
      <c r="E2081" s="69"/>
      <c r="F2081" s="70">
        <v>20</v>
      </c>
      <c r="G2081" s="67"/>
      <c r="H2081" s="71"/>
      <c r="I2081" s="72"/>
      <c r="J2081" s="72"/>
      <c r="K2081" s="34" t="s">
        <v>66</v>
      </c>
      <c r="L2081" s="79">
        <v>2081</v>
      </c>
      <c r="M2081" s="79"/>
      <c r="N2081" s="74"/>
      <c r="O2081" s="81" t="s">
        <v>944</v>
      </c>
      <c r="P2081">
        <v>1</v>
      </c>
      <c r="Q2081" s="80" t="str">
        <f>REPLACE(INDEX(GroupVertices[Group],MATCH(Edges[[#This Row],[Vertex 1]],GroupVertices[Vertex],0)),1,1,"")</f>
        <v>2</v>
      </c>
      <c r="R2081" s="80" t="str">
        <f>REPLACE(INDEX(GroupVertices[Group],MATCH(Edges[[#This Row],[Vertex 2]],GroupVertices[Vertex],0)),1,1,"")</f>
        <v>2</v>
      </c>
      <c r="S2081" s="34"/>
      <c r="T2081" s="34"/>
      <c r="U2081" s="34"/>
      <c r="V2081" s="34"/>
      <c r="W2081" s="34"/>
      <c r="X2081" s="34"/>
      <c r="Y2081" s="34"/>
      <c r="Z2081" s="34"/>
      <c r="AA2081" s="34"/>
    </row>
    <row r="2082" spans="1:27" ht="15">
      <c r="A2082" s="66" t="s">
        <v>250</v>
      </c>
      <c r="B2082" s="66" t="s">
        <v>221</v>
      </c>
      <c r="C2082" s="67" t="s">
        <v>4454</v>
      </c>
      <c r="D2082" s="68">
        <v>5</v>
      </c>
      <c r="E2082" s="69"/>
      <c r="F2082" s="70">
        <v>20</v>
      </c>
      <c r="G2082" s="67"/>
      <c r="H2082" s="71"/>
      <c r="I2082" s="72"/>
      <c r="J2082" s="72"/>
      <c r="K2082" s="34" t="s">
        <v>66</v>
      </c>
      <c r="L2082" s="79">
        <v>2082</v>
      </c>
      <c r="M2082" s="79"/>
      <c r="N2082" s="74"/>
      <c r="O2082" s="81" t="s">
        <v>944</v>
      </c>
      <c r="P2082">
        <v>1</v>
      </c>
      <c r="Q2082" s="80" t="str">
        <f>REPLACE(INDEX(GroupVertices[Group],MATCH(Edges[[#This Row],[Vertex 1]],GroupVertices[Vertex],0)),1,1,"")</f>
        <v>2</v>
      </c>
      <c r="R2082" s="80" t="str">
        <f>REPLACE(INDEX(GroupVertices[Group],MATCH(Edges[[#This Row],[Vertex 2]],GroupVertices[Vertex],0)),1,1,"")</f>
        <v>2</v>
      </c>
      <c r="S2082" s="34"/>
      <c r="T2082" s="34"/>
      <c r="U2082" s="34"/>
      <c r="V2082" s="34"/>
      <c r="W2082" s="34"/>
      <c r="X2082" s="34"/>
      <c r="Y2082" s="34"/>
      <c r="Z2082" s="34"/>
      <c r="AA2082" s="34"/>
    </row>
    <row r="2083" spans="1:27" ht="15">
      <c r="A2083" s="66" t="s">
        <v>260</v>
      </c>
      <c r="B2083" s="66" t="s">
        <v>221</v>
      </c>
      <c r="C2083" s="67" t="s">
        <v>4454</v>
      </c>
      <c r="D2083" s="68">
        <v>5</v>
      </c>
      <c r="E2083" s="69"/>
      <c r="F2083" s="70">
        <v>20</v>
      </c>
      <c r="G2083" s="67"/>
      <c r="H2083" s="71"/>
      <c r="I2083" s="72"/>
      <c r="J2083" s="72"/>
      <c r="K2083" s="34" t="s">
        <v>66</v>
      </c>
      <c r="L2083" s="79">
        <v>2083</v>
      </c>
      <c r="M2083" s="79"/>
      <c r="N2083" s="74"/>
      <c r="O2083" s="81" t="s">
        <v>944</v>
      </c>
      <c r="P2083">
        <v>1</v>
      </c>
      <c r="Q2083" s="80" t="str">
        <f>REPLACE(INDEX(GroupVertices[Group],MATCH(Edges[[#This Row],[Vertex 1]],GroupVertices[Vertex],0)),1,1,"")</f>
        <v>2</v>
      </c>
      <c r="R2083" s="80" t="str">
        <f>REPLACE(INDEX(GroupVertices[Group],MATCH(Edges[[#This Row],[Vertex 2]],GroupVertices[Vertex],0)),1,1,"")</f>
        <v>2</v>
      </c>
      <c r="S2083" s="34"/>
      <c r="T2083" s="34"/>
      <c r="U2083" s="34"/>
      <c r="V2083" s="34"/>
      <c r="W2083" s="34"/>
      <c r="X2083" s="34"/>
      <c r="Y2083" s="34"/>
      <c r="Z2083" s="34"/>
      <c r="AA2083" s="34"/>
    </row>
    <row r="2084" spans="1:27" ht="15">
      <c r="A2084" s="66" t="s">
        <v>220</v>
      </c>
      <c r="B2084" s="66" t="s">
        <v>242</v>
      </c>
      <c r="C2084" s="67" t="s">
        <v>4454</v>
      </c>
      <c r="D2084" s="68">
        <v>5</v>
      </c>
      <c r="E2084" s="69"/>
      <c r="F2084" s="70">
        <v>20</v>
      </c>
      <c r="G2084" s="67"/>
      <c r="H2084" s="71"/>
      <c r="I2084" s="72"/>
      <c r="J2084" s="72"/>
      <c r="K2084" s="34" t="s">
        <v>66</v>
      </c>
      <c r="L2084" s="79">
        <v>2084</v>
      </c>
      <c r="M2084" s="79"/>
      <c r="N2084" s="74"/>
      <c r="O2084" s="81" t="s">
        <v>944</v>
      </c>
      <c r="P2084">
        <v>1</v>
      </c>
      <c r="Q2084" s="80" t="str">
        <f>REPLACE(INDEX(GroupVertices[Group],MATCH(Edges[[#This Row],[Vertex 1]],GroupVertices[Vertex],0)),1,1,"")</f>
        <v>2</v>
      </c>
      <c r="R2084" s="80" t="str">
        <f>REPLACE(INDEX(GroupVertices[Group],MATCH(Edges[[#This Row],[Vertex 2]],GroupVertices[Vertex],0)),1,1,"")</f>
        <v>1</v>
      </c>
      <c r="S2084" s="34"/>
      <c r="T2084" s="34"/>
      <c r="U2084" s="34"/>
      <c r="V2084" s="34"/>
      <c r="W2084" s="34"/>
      <c r="X2084" s="34"/>
      <c r="Y2084" s="34"/>
      <c r="Z2084" s="34"/>
      <c r="AA2084" s="34"/>
    </row>
    <row r="2085" spans="1:27" ht="15">
      <c r="A2085" s="66" t="s">
        <v>224</v>
      </c>
      <c r="B2085" s="66" t="s">
        <v>242</v>
      </c>
      <c r="C2085" s="67" t="s">
        <v>4454</v>
      </c>
      <c r="D2085" s="68">
        <v>5</v>
      </c>
      <c r="E2085" s="69"/>
      <c r="F2085" s="70">
        <v>20</v>
      </c>
      <c r="G2085" s="67"/>
      <c r="H2085" s="71"/>
      <c r="I2085" s="72"/>
      <c r="J2085" s="72"/>
      <c r="K2085" s="34" t="s">
        <v>66</v>
      </c>
      <c r="L2085" s="79">
        <v>2085</v>
      </c>
      <c r="M2085" s="79"/>
      <c r="N2085" s="74"/>
      <c r="O2085" s="81" t="s">
        <v>944</v>
      </c>
      <c r="P2085">
        <v>1</v>
      </c>
      <c r="Q2085" s="80" t="str">
        <f>REPLACE(INDEX(GroupVertices[Group],MATCH(Edges[[#This Row],[Vertex 1]],GroupVertices[Vertex],0)),1,1,"")</f>
        <v>2</v>
      </c>
      <c r="R2085" s="80" t="str">
        <f>REPLACE(INDEX(GroupVertices[Group],MATCH(Edges[[#This Row],[Vertex 2]],GroupVertices[Vertex],0)),1,1,"")</f>
        <v>1</v>
      </c>
      <c r="S2085" s="34"/>
      <c r="T2085" s="34"/>
      <c r="U2085" s="34"/>
      <c r="V2085" s="34"/>
      <c r="W2085" s="34"/>
      <c r="X2085" s="34"/>
      <c r="Y2085" s="34"/>
      <c r="Z2085" s="34"/>
      <c r="AA2085" s="34"/>
    </row>
    <row r="2086" spans="1:27" ht="15">
      <c r="A2086" s="66" t="s">
        <v>238</v>
      </c>
      <c r="B2086" s="66" t="s">
        <v>242</v>
      </c>
      <c r="C2086" s="67" t="s">
        <v>4454</v>
      </c>
      <c r="D2086" s="68">
        <v>5</v>
      </c>
      <c r="E2086" s="69"/>
      <c r="F2086" s="70">
        <v>20</v>
      </c>
      <c r="G2086" s="67"/>
      <c r="H2086" s="71"/>
      <c r="I2086" s="72"/>
      <c r="J2086" s="72"/>
      <c r="K2086" s="34" t="s">
        <v>66</v>
      </c>
      <c r="L2086" s="79">
        <v>2086</v>
      </c>
      <c r="M2086" s="79"/>
      <c r="N2086" s="74"/>
      <c r="O2086" s="81" t="s">
        <v>944</v>
      </c>
      <c r="P2086">
        <v>1</v>
      </c>
      <c r="Q2086" s="80" t="str">
        <f>REPLACE(INDEX(GroupVertices[Group],MATCH(Edges[[#This Row],[Vertex 1]],GroupVertices[Vertex],0)),1,1,"")</f>
        <v>2</v>
      </c>
      <c r="R2086" s="80" t="str">
        <f>REPLACE(INDEX(GroupVertices[Group],MATCH(Edges[[#This Row],[Vertex 2]],GroupVertices[Vertex],0)),1,1,"")</f>
        <v>1</v>
      </c>
      <c r="S2086" s="34"/>
      <c r="T2086" s="34"/>
      <c r="U2086" s="34"/>
      <c r="V2086" s="34"/>
      <c r="W2086" s="34"/>
      <c r="X2086" s="34"/>
      <c r="Y2086" s="34"/>
      <c r="Z2086" s="34"/>
      <c r="AA2086" s="34"/>
    </row>
    <row r="2087" spans="1:27" ht="15">
      <c r="A2087" s="66" t="s">
        <v>242</v>
      </c>
      <c r="B2087" s="66" t="s">
        <v>508</v>
      </c>
      <c r="C2087" s="67" t="s">
        <v>4454</v>
      </c>
      <c r="D2087" s="68">
        <v>5</v>
      </c>
      <c r="E2087" s="69"/>
      <c r="F2087" s="70">
        <v>20</v>
      </c>
      <c r="G2087" s="67"/>
      <c r="H2087" s="71"/>
      <c r="I2087" s="72"/>
      <c r="J2087" s="72"/>
      <c r="K2087" s="34" t="s">
        <v>65</v>
      </c>
      <c r="L2087" s="79">
        <v>2087</v>
      </c>
      <c r="M2087" s="79"/>
      <c r="N2087" s="74"/>
      <c r="O2087" s="81" t="s">
        <v>944</v>
      </c>
      <c r="P2087">
        <v>1</v>
      </c>
      <c r="Q2087" s="80" t="str">
        <f>REPLACE(INDEX(GroupVertices[Group],MATCH(Edges[[#This Row],[Vertex 1]],GroupVertices[Vertex],0)),1,1,"")</f>
        <v>1</v>
      </c>
      <c r="R2087" s="80" t="str">
        <f>REPLACE(INDEX(GroupVertices[Group],MATCH(Edges[[#This Row],[Vertex 2]],GroupVertices[Vertex],0)),1,1,"")</f>
        <v>1</v>
      </c>
      <c r="S2087" s="34"/>
      <c r="T2087" s="34"/>
      <c r="U2087" s="34"/>
      <c r="V2087" s="34"/>
      <c r="W2087" s="34"/>
      <c r="X2087" s="34"/>
      <c r="Y2087" s="34"/>
      <c r="Z2087" s="34"/>
      <c r="AA2087" s="34"/>
    </row>
    <row r="2088" spans="1:27" ht="15">
      <c r="A2088" s="66" t="s">
        <v>242</v>
      </c>
      <c r="B2088" s="66" t="s">
        <v>616</v>
      </c>
      <c r="C2088" s="67" t="s">
        <v>4454</v>
      </c>
      <c r="D2088" s="68">
        <v>5</v>
      </c>
      <c r="E2088" s="69"/>
      <c r="F2088" s="70">
        <v>20</v>
      </c>
      <c r="G2088" s="67"/>
      <c r="H2088" s="71"/>
      <c r="I2088" s="72"/>
      <c r="J2088" s="72"/>
      <c r="K2088" s="34" t="s">
        <v>65</v>
      </c>
      <c r="L2088" s="79">
        <v>2088</v>
      </c>
      <c r="M2088" s="79"/>
      <c r="N2088" s="74"/>
      <c r="O2088" s="81" t="s">
        <v>944</v>
      </c>
      <c r="P2088">
        <v>1</v>
      </c>
      <c r="Q2088" s="80" t="str">
        <f>REPLACE(INDEX(GroupVertices[Group],MATCH(Edges[[#This Row],[Vertex 1]],GroupVertices[Vertex],0)),1,1,"")</f>
        <v>1</v>
      </c>
      <c r="R2088" s="80" t="str">
        <f>REPLACE(INDEX(GroupVertices[Group],MATCH(Edges[[#This Row],[Vertex 2]],GroupVertices[Vertex],0)),1,1,"")</f>
        <v>1</v>
      </c>
      <c r="S2088" s="34"/>
      <c r="T2088" s="34"/>
      <c r="U2088" s="34"/>
      <c r="V2088" s="34"/>
      <c r="W2088" s="34"/>
      <c r="X2088" s="34"/>
      <c r="Y2088" s="34"/>
      <c r="Z2088" s="34"/>
      <c r="AA2088" s="34"/>
    </row>
    <row r="2089" spans="1:27" ht="15">
      <c r="A2089" s="66" t="s">
        <v>242</v>
      </c>
      <c r="B2089" s="66" t="s">
        <v>482</v>
      </c>
      <c r="C2089" s="67" t="s">
        <v>4454</v>
      </c>
      <c r="D2089" s="68">
        <v>5</v>
      </c>
      <c r="E2089" s="69"/>
      <c r="F2089" s="70">
        <v>20</v>
      </c>
      <c r="G2089" s="67"/>
      <c r="H2089" s="71"/>
      <c r="I2089" s="72"/>
      <c r="J2089" s="72"/>
      <c r="K2089" s="34" t="s">
        <v>65</v>
      </c>
      <c r="L2089" s="79">
        <v>2089</v>
      </c>
      <c r="M2089" s="79"/>
      <c r="N2089" s="74"/>
      <c r="O2089" s="81" t="s">
        <v>944</v>
      </c>
      <c r="P2089">
        <v>1</v>
      </c>
      <c r="Q2089" s="80" t="str">
        <f>REPLACE(INDEX(GroupVertices[Group],MATCH(Edges[[#This Row],[Vertex 1]],GroupVertices[Vertex],0)),1,1,"")</f>
        <v>1</v>
      </c>
      <c r="R2089" s="80" t="str">
        <f>REPLACE(INDEX(GroupVertices[Group],MATCH(Edges[[#This Row],[Vertex 2]],GroupVertices[Vertex],0)),1,1,"")</f>
        <v>1</v>
      </c>
      <c r="S2089" s="34"/>
      <c r="T2089" s="34"/>
      <c r="U2089" s="34"/>
      <c r="V2089" s="34"/>
      <c r="W2089" s="34"/>
      <c r="X2089" s="34"/>
      <c r="Y2089" s="34"/>
      <c r="Z2089" s="34"/>
      <c r="AA2089" s="34"/>
    </row>
    <row r="2090" spans="1:27" ht="15">
      <c r="A2090" s="66" t="s">
        <v>242</v>
      </c>
      <c r="B2090" s="66" t="s">
        <v>663</v>
      </c>
      <c r="C2090" s="67" t="s">
        <v>4454</v>
      </c>
      <c r="D2090" s="68">
        <v>5</v>
      </c>
      <c r="E2090" s="69"/>
      <c r="F2090" s="70">
        <v>20</v>
      </c>
      <c r="G2090" s="67"/>
      <c r="H2090" s="71"/>
      <c r="I2090" s="72"/>
      <c r="J2090" s="72"/>
      <c r="K2090" s="34" t="s">
        <v>65</v>
      </c>
      <c r="L2090" s="79">
        <v>2090</v>
      </c>
      <c r="M2090" s="79"/>
      <c r="N2090" s="74"/>
      <c r="O2090" s="81" t="s">
        <v>944</v>
      </c>
      <c r="P2090">
        <v>1</v>
      </c>
      <c r="Q2090" s="80" t="str">
        <f>REPLACE(INDEX(GroupVertices[Group],MATCH(Edges[[#This Row],[Vertex 1]],GroupVertices[Vertex],0)),1,1,"")</f>
        <v>1</v>
      </c>
      <c r="R2090" s="80" t="str">
        <f>REPLACE(INDEX(GroupVertices[Group],MATCH(Edges[[#This Row],[Vertex 2]],GroupVertices[Vertex],0)),1,1,"")</f>
        <v>1</v>
      </c>
      <c r="S2090" s="34"/>
      <c r="T2090" s="34"/>
      <c r="U2090" s="34"/>
      <c r="V2090" s="34"/>
      <c r="W2090" s="34"/>
      <c r="X2090" s="34"/>
      <c r="Y2090" s="34"/>
      <c r="Z2090" s="34"/>
      <c r="AA2090" s="34"/>
    </row>
    <row r="2091" spans="1:27" ht="15">
      <c r="A2091" s="66" t="s">
        <v>242</v>
      </c>
      <c r="B2091" s="66" t="s">
        <v>238</v>
      </c>
      <c r="C2091" s="67" t="s">
        <v>4454</v>
      </c>
      <c r="D2091" s="68">
        <v>5</v>
      </c>
      <c r="E2091" s="69"/>
      <c r="F2091" s="70">
        <v>20</v>
      </c>
      <c r="G2091" s="67"/>
      <c r="H2091" s="71"/>
      <c r="I2091" s="72"/>
      <c r="J2091" s="72"/>
      <c r="K2091" s="34" t="s">
        <v>66</v>
      </c>
      <c r="L2091" s="79">
        <v>2091</v>
      </c>
      <c r="M2091" s="79"/>
      <c r="N2091" s="74"/>
      <c r="O2091" s="81" t="s">
        <v>944</v>
      </c>
      <c r="P2091">
        <v>1</v>
      </c>
      <c r="Q2091" s="80" t="str">
        <f>REPLACE(INDEX(GroupVertices[Group],MATCH(Edges[[#This Row],[Vertex 1]],GroupVertices[Vertex],0)),1,1,"")</f>
        <v>1</v>
      </c>
      <c r="R2091" s="80" t="str">
        <f>REPLACE(INDEX(GroupVertices[Group],MATCH(Edges[[#This Row],[Vertex 2]],GroupVertices[Vertex],0)),1,1,"")</f>
        <v>2</v>
      </c>
      <c r="S2091" s="34"/>
      <c r="T2091" s="34"/>
      <c r="U2091" s="34"/>
      <c r="V2091" s="34"/>
      <c r="W2091" s="34"/>
      <c r="X2091" s="34"/>
      <c r="Y2091" s="34"/>
      <c r="Z2091" s="34"/>
      <c r="AA2091" s="34"/>
    </row>
    <row r="2092" spans="1:27" ht="15">
      <c r="A2092" s="66" t="s">
        <v>242</v>
      </c>
      <c r="B2092" s="66" t="s">
        <v>484</v>
      </c>
      <c r="C2092" s="67" t="s">
        <v>4454</v>
      </c>
      <c r="D2092" s="68">
        <v>5</v>
      </c>
      <c r="E2092" s="69"/>
      <c r="F2092" s="70">
        <v>20</v>
      </c>
      <c r="G2092" s="67"/>
      <c r="H2092" s="71"/>
      <c r="I2092" s="72"/>
      <c r="J2092" s="72"/>
      <c r="K2092" s="34" t="s">
        <v>65</v>
      </c>
      <c r="L2092" s="79">
        <v>2092</v>
      </c>
      <c r="M2092" s="79"/>
      <c r="N2092" s="74"/>
      <c r="O2092" s="81" t="s">
        <v>944</v>
      </c>
      <c r="P2092">
        <v>1</v>
      </c>
      <c r="Q2092" s="80" t="str">
        <f>REPLACE(INDEX(GroupVertices[Group],MATCH(Edges[[#This Row],[Vertex 1]],GroupVertices[Vertex],0)),1,1,"")</f>
        <v>1</v>
      </c>
      <c r="R2092" s="80" t="str">
        <f>REPLACE(INDEX(GroupVertices[Group],MATCH(Edges[[#This Row],[Vertex 2]],GroupVertices[Vertex],0)),1,1,"")</f>
        <v>1</v>
      </c>
      <c r="S2092" s="34"/>
      <c r="T2092" s="34"/>
      <c r="U2092" s="34"/>
      <c r="V2092" s="34"/>
      <c r="W2092" s="34"/>
      <c r="X2092" s="34"/>
      <c r="Y2092" s="34"/>
      <c r="Z2092" s="34"/>
      <c r="AA2092" s="34"/>
    </row>
    <row r="2093" spans="1:27" ht="15">
      <c r="A2093" s="66" t="s">
        <v>242</v>
      </c>
      <c r="B2093" s="66" t="s">
        <v>258</v>
      </c>
      <c r="C2093" s="67" t="s">
        <v>4454</v>
      </c>
      <c r="D2093" s="68">
        <v>5</v>
      </c>
      <c r="E2093" s="69"/>
      <c r="F2093" s="70">
        <v>20</v>
      </c>
      <c r="G2093" s="67"/>
      <c r="H2093" s="71"/>
      <c r="I2093" s="72"/>
      <c r="J2093" s="72"/>
      <c r="K2093" s="34" t="s">
        <v>66</v>
      </c>
      <c r="L2093" s="79">
        <v>2093</v>
      </c>
      <c r="M2093" s="79"/>
      <c r="N2093" s="74"/>
      <c r="O2093" s="81" t="s">
        <v>944</v>
      </c>
      <c r="P2093">
        <v>1</v>
      </c>
      <c r="Q2093" s="80" t="str">
        <f>REPLACE(INDEX(GroupVertices[Group],MATCH(Edges[[#This Row],[Vertex 1]],GroupVertices[Vertex],0)),1,1,"")</f>
        <v>1</v>
      </c>
      <c r="R2093" s="80" t="str">
        <f>REPLACE(INDEX(GroupVertices[Group],MATCH(Edges[[#This Row],[Vertex 2]],GroupVertices[Vertex],0)),1,1,"")</f>
        <v>1</v>
      </c>
      <c r="S2093" s="34"/>
      <c r="T2093" s="34"/>
      <c r="U2093" s="34"/>
      <c r="V2093" s="34"/>
      <c r="W2093" s="34"/>
      <c r="X2093" s="34"/>
      <c r="Y2093" s="34"/>
      <c r="Z2093" s="34"/>
      <c r="AA2093" s="34"/>
    </row>
    <row r="2094" spans="1:27" ht="15">
      <c r="A2094" s="66" t="s">
        <v>242</v>
      </c>
      <c r="B2094" s="66" t="s">
        <v>256</v>
      </c>
      <c r="C2094" s="67" t="s">
        <v>4454</v>
      </c>
      <c r="D2094" s="68">
        <v>5</v>
      </c>
      <c r="E2094" s="69"/>
      <c r="F2094" s="70">
        <v>20</v>
      </c>
      <c r="G2094" s="67"/>
      <c r="H2094" s="71"/>
      <c r="I2094" s="72"/>
      <c r="J2094" s="72"/>
      <c r="K2094" s="34" t="s">
        <v>66</v>
      </c>
      <c r="L2094" s="79">
        <v>2094</v>
      </c>
      <c r="M2094" s="79"/>
      <c r="N2094" s="74"/>
      <c r="O2094" s="81" t="s">
        <v>944</v>
      </c>
      <c r="P2094">
        <v>1</v>
      </c>
      <c r="Q2094" s="80" t="str">
        <f>REPLACE(INDEX(GroupVertices[Group],MATCH(Edges[[#This Row],[Vertex 1]],GroupVertices[Vertex],0)),1,1,"")</f>
        <v>1</v>
      </c>
      <c r="R2094" s="80" t="str">
        <f>REPLACE(INDEX(GroupVertices[Group],MATCH(Edges[[#This Row],[Vertex 2]],GroupVertices[Vertex],0)),1,1,"")</f>
        <v>1</v>
      </c>
      <c r="S2094" s="34"/>
      <c r="T2094" s="34"/>
      <c r="U2094" s="34"/>
      <c r="V2094" s="34"/>
      <c r="W2094" s="34"/>
      <c r="X2094" s="34"/>
      <c r="Y2094" s="34"/>
      <c r="Z2094" s="34"/>
      <c r="AA2094" s="34"/>
    </row>
    <row r="2095" spans="1:27" ht="15">
      <c r="A2095" s="66" t="s">
        <v>242</v>
      </c>
      <c r="B2095" s="66" t="s">
        <v>249</v>
      </c>
      <c r="C2095" s="67" t="s">
        <v>4454</v>
      </c>
      <c r="D2095" s="68">
        <v>5</v>
      </c>
      <c r="E2095" s="69"/>
      <c r="F2095" s="70">
        <v>20</v>
      </c>
      <c r="G2095" s="67"/>
      <c r="H2095" s="71"/>
      <c r="I2095" s="72"/>
      <c r="J2095" s="72"/>
      <c r="K2095" s="34" t="s">
        <v>66</v>
      </c>
      <c r="L2095" s="79">
        <v>2095</v>
      </c>
      <c r="M2095" s="79"/>
      <c r="N2095" s="74"/>
      <c r="O2095" s="81" t="s">
        <v>944</v>
      </c>
      <c r="P2095">
        <v>1</v>
      </c>
      <c r="Q2095" s="80" t="str">
        <f>REPLACE(INDEX(GroupVertices[Group],MATCH(Edges[[#This Row],[Vertex 1]],GroupVertices[Vertex],0)),1,1,"")</f>
        <v>1</v>
      </c>
      <c r="R2095" s="80" t="str">
        <f>REPLACE(INDEX(GroupVertices[Group],MATCH(Edges[[#This Row],[Vertex 2]],GroupVertices[Vertex],0)),1,1,"")</f>
        <v>2</v>
      </c>
      <c r="S2095" s="34"/>
      <c r="T2095" s="34"/>
      <c r="U2095" s="34"/>
      <c r="V2095" s="34"/>
      <c r="W2095" s="34"/>
      <c r="X2095" s="34"/>
      <c r="Y2095" s="34"/>
      <c r="Z2095" s="34"/>
      <c r="AA2095" s="34"/>
    </row>
    <row r="2096" spans="1:27" ht="15">
      <c r="A2096" s="66" t="s">
        <v>242</v>
      </c>
      <c r="B2096" s="66" t="s">
        <v>224</v>
      </c>
      <c r="C2096" s="67" t="s">
        <v>4454</v>
      </c>
      <c r="D2096" s="68">
        <v>5</v>
      </c>
      <c r="E2096" s="69"/>
      <c r="F2096" s="70">
        <v>20</v>
      </c>
      <c r="G2096" s="67"/>
      <c r="H2096" s="71"/>
      <c r="I2096" s="72"/>
      <c r="J2096" s="72"/>
      <c r="K2096" s="34" t="s">
        <v>66</v>
      </c>
      <c r="L2096" s="79">
        <v>2096</v>
      </c>
      <c r="M2096" s="79"/>
      <c r="N2096" s="74"/>
      <c r="O2096" s="81" t="s">
        <v>944</v>
      </c>
      <c r="P2096">
        <v>1</v>
      </c>
      <c r="Q2096" s="80" t="str">
        <f>REPLACE(INDEX(GroupVertices[Group],MATCH(Edges[[#This Row],[Vertex 1]],GroupVertices[Vertex],0)),1,1,"")</f>
        <v>1</v>
      </c>
      <c r="R2096" s="80" t="str">
        <f>REPLACE(INDEX(GroupVertices[Group],MATCH(Edges[[#This Row],[Vertex 2]],GroupVertices[Vertex],0)),1,1,"")</f>
        <v>2</v>
      </c>
      <c r="S2096" s="34"/>
      <c r="T2096" s="34"/>
      <c r="U2096" s="34"/>
      <c r="V2096" s="34"/>
      <c r="W2096" s="34"/>
      <c r="X2096" s="34"/>
      <c r="Y2096" s="34"/>
      <c r="Z2096" s="34"/>
      <c r="AA2096" s="34"/>
    </row>
    <row r="2097" spans="1:27" ht="15">
      <c r="A2097" s="66" t="s">
        <v>242</v>
      </c>
      <c r="B2097" s="66" t="s">
        <v>253</v>
      </c>
      <c r="C2097" s="67" t="s">
        <v>4454</v>
      </c>
      <c r="D2097" s="68">
        <v>5</v>
      </c>
      <c r="E2097" s="69"/>
      <c r="F2097" s="70">
        <v>20</v>
      </c>
      <c r="G2097" s="67"/>
      <c r="H2097" s="71"/>
      <c r="I2097" s="72"/>
      <c r="J2097" s="72"/>
      <c r="K2097" s="34" t="s">
        <v>65</v>
      </c>
      <c r="L2097" s="79">
        <v>2097</v>
      </c>
      <c r="M2097" s="79"/>
      <c r="N2097" s="74"/>
      <c r="O2097" s="81" t="s">
        <v>944</v>
      </c>
      <c r="P2097">
        <v>1</v>
      </c>
      <c r="Q2097" s="80" t="str">
        <f>REPLACE(INDEX(GroupVertices[Group],MATCH(Edges[[#This Row],[Vertex 1]],GroupVertices[Vertex],0)),1,1,"")</f>
        <v>1</v>
      </c>
      <c r="R2097" s="80" t="str">
        <f>REPLACE(INDEX(GroupVertices[Group],MATCH(Edges[[#This Row],[Vertex 2]],GroupVertices[Vertex],0)),1,1,"")</f>
        <v>1</v>
      </c>
      <c r="S2097" s="34"/>
      <c r="T2097" s="34"/>
      <c r="U2097" s="34"/>
      <c r="V2097" s="34"/>
      <c r="W2097" s="34"/>
      <c r="X2097" s="34"/>
      <c r="Y2097" s="34"/>
      <c r="Z2097" s="34"/>
      <c r="AA2097" s="34"/>
    </row>
    <row r="2098" spans="1:27" ht="15">
      <c r="A2098" s="66" t="s">
        <v>242</v>
      </c>
      <c r="B2098" s="66" t="s">
        <v>260</v>
      </c>
      <c r="C2098" s="67" t="s">
        <v>4454</v>
      </c>
      <c r="D2098" s="68">
        <v>5</v>
      </c>
      <c r="E2098" s="69"/>
      <c r="F2098" s="70">
        <v>20</v>
      </c>
      <c r="G2098" s="67"/>
      <c r="H2098" s="71"/>
      <c r="I2098" s="72"/>
      <c r="J2098" s="72"/>
      <c r="K2098" s="34" t="s">
        <v>66</v>
      </c>
      <c r="L2098" s="79">
        <v>2098</v>
      </c>
      <c r="M2098" s="79"/>
      <c r="N2098" s="74"/>
      <c r="O2098" s="81" t="s">
        <v>944</v>
      </c>
      <c r="P2098">
        <v>1</v>
      </c>
      <c r="Q2098" s="80" t="str">
        <f>REPLACE(INDEX(GroupVertices[Group],MATCH(Edges[[#This Row],[Vertex 1]],GroupVertices[Vertex],0)),1,1,"")</f>
        <v>1</v>
      </c>
      <c r="R2098" s="80" t="str">
        <f>REPLACE(INDEX(GroupVertices[Group],MATCH(Edges[[#This Row],[Vertex 2]],GroupVertices[Vertex],0)),1,1,"")</f>
        <v>2</v>
      </c>
      <c r="S2098" s="34"/>
      <c r="T2098" s="34"/>
      <c r="U2098" s="34"/>
      <c r="V2098" s="34"/>
      <c r="W2098" s="34"/>
      <c r="X2098" s="34"/>
      <c r="Y2098" s="34"/>
      <c r="Z2098" s="34"/>
      <c r="AA2098" s="34"/>
    </row>
    <row r="2099" spans="1:27" ht="15">
      <c r="A2099" s="66" t="s">
        <v>242</v>
      </c>
      <c r="B2099" s="66" t="s">
        <v>232</v>
      </c>
      <c r="C2099" s="67" t="s">
        <v>4454</v>
      </c>
      <c r="D2099" s="68">
        <v>5</v>
      </c>
      <c r="E2099" s="69"/>
      <c r="F2099" s="70">
        <v>20</v>
      </c>
      <c r="G2099" s="67"/>
      <c r="H2099" s="71"/>
      <c r="I2099" s="72"/>
      <c r="J2099" s="72"/>
      <c r="K2099" s="34" t="s">
        <v>65</v>
      </c>
      <c r="L2099" s="79">
        <v>2099</v>
      </c>
      <c r="M2099" s="79"/>
      <c r="N2099" s="74"/>
      <c r="O2099" s="81" t="s">
        <v>944</v>
      </c>
      <c r="P2099">
        <v>1</v>
      </c>
      <c r="Q2099" s="80" t="str">
        <f>REPLACE(INDEX(GroupVertices[Group],MATCH(Edges[[#This Row],[Vertex 1]],GroupVertices[Vertex],0)),1,1,"")</f>
        <v>1</v>
      </c>
      <c r="R2099" s="80" t="str">
        <f>REPLACE(INDEX(GroupVertices[Group],MATCH(Edges[[#This Row],[Vertex 2]],GroupVertices[Vertex],0)),1,1,"")</f>
        <v>1</v>
      </c>
      <c r="S2099" s="34"/>
      <c r="T2099" s="34"/>
      <c r="U2099" s="34"/>
      <c r="V2099" s="34"/>
      <c r="W2099" s="34"/>
      <c r="X2099" s="34"/>
      <c r="Y2099" s="34"/>
      <c r="Z2099" s="34"/>
      <c r="AA2099" s="34"/>
    </row>
    <row r="2100" spans="1:27" ht="15">
      <c r="A2100" s="66" t="s">
        <v>242</v>
      </c>
      <c r="B2100" s="66" t="s">
        <v>259</v>
      </c>
      <c r="C2100" s="67" t="s">
        <v>4454</v>
      </c>
      <c r="D2100" s="68">
        <v>5</v>
      </c>
      <c r="E2100" s="69"/>
      <c r="F2100" s="70">
        <v>20</v>
      </c>
      <c r="G2100" s="67"/>
      <c r="H2100" s="71"/>
      <c r="I2100" s="72"/>
      <c r="J2100" s="72"/>
      <c r="K2100" s="34" t="s">
        <v>65</v>
      </c>
      <c r="L2100" s="79">
        <v>2100</v>
      </c>
      <c r="M2100" s="79"/>
      <c r="N2100" s="74"/>
      <c r="O2100" s="81" t="s">
        <v>944</v>
      </c>
      <c r="P2100">
        <v>1</v>
      </c>
      <c r="Q2100" s="80" t="str">
        <f>REPLACE(INDEX(GroupVertices[Group],MATCH(Edges[[#This Row],[Vertex 1]],GroupVertices[Vertex],0)),1,1,"")</f>
        <v>1</v>
      </c>
      <c r="R2100" s="80" t="str">
        <f>REPLACE(INDEX(GroupVertices[Group],MATCH(Edges[[#This Row],[Vertex 2]],GroupVertices[Vertex],0)),1,1,"")</f>
        <v>2</v>
      </c>
      <c r="S2100" s="34"/>
      <c r="T2100" s="34"/>
      <c r="U2100" s="34"/>
      <c r="V2100" s="34"/>
      <c r="W2100" s="34"/>
      <c r="X2100" s="34"/>
      <c r="Y2100" s="34"/>
      <c r="Z2100" s="34"/>
      <c r="AA2100" s="34"/>
    </row>
    <row r="2101" spans="1:27" ht="15">
      <c r="A2101" s="66" t="s">
        <v>242</v>
      </c>
      <c r="B2101" s="66" t="s">
        <v>252</v>
      </c>
      <c r="C2101" s="67" t="s">
        <v>4454</v>
      </c>
      <c r="D2101" s="68">
        <v>5</v>
      </c>
      <c r="E2101" s="69"/>
      <c r="F2101" s="70">
        <v>20</v>
      </c>
      <c r="G2101" s="67"/>
      <c r="H2101" s="71"/>
      <c r="I2101" s="72"/>
      <c r="J2101" s="72"/>
      <c r="K2101" s="34" t="s">
        <v>65</v>
      </c>
      <c r="L2101" s="79">
        <v>2101</v>
      </c>
      <c r="M2101" s="79"/>
      <c r="N2101" s="74"/>
      <c r="O2101" s="81" t="s">
        <v>944</v>
      </c>
      <c r="P2101">
        <v>1</v>
      </c>
      <c r="Q2101" s="80" t="str">
        <f>REPLACE(INDEX(GroupVertices[Group],MATCH(Edges[[#This Row],[Vertex 1]],GroupVertices[Vertex],0)),1,1,"")</f>
        <v>1</v>
      </c>
      <c r="R2101" s="80" t="str">
        <f>REPLACE(INDEX(GroupVertices[Group],MATCH(Edges[[#This Row],[Vertex 2]],GroupVertices[Vertex],0)),1,1,"")</f>
        <v>1</v>
      </c>
      <c r="S2101" s="34"/>
      <c r="T2101" s="34"/>
      <c r="U2101" s="34"/>
      <c r="V2101" s="34"/>
      <c r="W2101" s="34"/>
      <c r="X2101" s="34"/>
      <c r="Y2101" s="34"/>
      <c r="Z2101" s="34"/>
      <c r="AA2101" s="34"/>
    </row>
    <row r="2102" spans="1:27" ht="15">
      <c r="A2102" s="66" t="s">
        <v>242</v>
      </c>
      <c r="B2102" s="66" t="s">
        <v>261</v>
      </c>
      <c r="C2102" s="67" t="s">
        <v>4454</v>
      </c>
      <c r="D2102" s="68">
        <v>5</v>
      </c>
      <c r="E2102" s="69"/>
      <c r="F2102" s="70">
        <v>20</v>
      </c>
      <c r="G2102" s="67"/>
      <c r="H2102" s="71"/>
      <c r="I2102" s="72"/>
      <c r="J2102" s="72"/>
      <c r="K2102" s="34" t="s">
        <v>65</v>
      </c>
      <c r="L2102" s="79">
        <v>2102</v>
      </c>
      <c r="M2102" s="79"/>
      <c r="N2102" s="74"/>
      <c r="O2102" s="81" t="s">
        <v>944</v>
      </c>
      <c r="P2102">
        <v>1</v>
      </c>
      <c r="Q2102" s="80" t="str">
        <f>REPLACE(INDEX(GroupVertices[Group],MATCH(Edges[[#This Row],[Vertex 1]],GroupVertices[Vertex],0)),1,1,"")</f>
        <v>1</v>
      </c>
      <c r="R2102" s="80" t="str">
        <f>REPLACE(INDEX(GroupVertices[Group],MATCH(Edges[[#This Row],[Vertex 2]],GroupVertices[Vertex],0)),1,1,"")</f>
        <v>1</v>
      </c>
      <c r="S2102" s="34"/>
      <c r="T2102" s="34"/>
      <c r="U2102" s="34"/>
      <c r="V2102" s="34"/>
      <c r="W2102" s="34"/>
      <c r="X2102" s="34"/>
      <c r="Y2102" s="34"/>
      <c r="Z2102" s="34"/>
      <c r="AA2102" s="34"/>
    </row>
    <row r="2103" spans="1:27" ht="15">
      <c r="A2103" s="66" t="s">
        <v>242</v>
      </c>
      <c r="B2103" s="66" t="s">
        <v>220</v>
      </c>
      <c r="C2103" s="67" t="s">
        <v>4454</v>
      </c>
      <c r="D2103" s="68">
        <v>5</v>
      </c>
      <c r="E2103" s="69"/>
      <c r="F2103" s="70">
        <v>20</v>
      </c>
      <c r="G2103" s="67"/>
      <c r="H2103" s="71"/>
      <c r="I2103" s="72"/>
      <c r="J2103" s="72"/>
      <c r="K2103" s="34" t="s">
        <v>66</v>
      </c>
      <c r="L2103" s="79">
        <v>2103</v>
      </c>
      <c r="M2103" s="79"/>
      <c r="N2103" s="74"/>
      <c r="O2103" s="81" t="s">
        <v>944</v>
      </c>
      <c r="P2103">
        <v>1</v>
      </c>
      <c r="Q2103" s="80" t="str">
        <f>REPLACE(INDEX(GroupVertices[Group],MATCH(Edges[[#This Row],[Vertex 1]],GroupVertices[Vertex],0)),1,1,"")</f>
        <v>1</v>
      </c>
      <c r="R2103" s="80" t="str">
        <f>REPLACE(INDEX(GroupVertices[Group],MATCH(Edges[[#This Row],[Vertex 2]],GroupVertices[Vertex],0)),1,1,"")</f>
        <v>2</v>
      </c>
      <c r="S2103" s="34"/>
      <c r="T2103" s="34"/>
      <c r="U2103" s="34"/>
      <c r="V2103" s="34"/>
      <c r="W2103" s="34"/>
      <c r="X2103" s="34"/>
      <c r="Y2103" s="34"/>
      <c r="Z2103" s="34"/>
      <c r="AA2103" s="34"/>
    </row>
    <row r="2104" spans="1:27" ht="15">
      <c r="A2104" s="66" t="s">
        <v>242</v>
      </c>
      <c r="B2104" s="66" t="s">
        <v>920</v>
      </c>
      <c r="C2104" s="67" t="s">
        <v>4454</v>
      </c>
      <c r="D2104" s="68">
        <v>5</v>
      </c>
      <c r="E2104" s="69"/>
      <c r="F2104" s="70">
        <v>20</v>
      </c>
      <c r="G2104" s="67"/>
      <c r="H2104" s="71"/>
      <c r="I2104" s="72"/>
      <c r="J2104" s="72"/>
      <c r="K2104" s="34" t="s">
        <v>65</v>
      </c>
      <c r="L2104" s="79">
        <v>2104</v>
      </c>
      <c r="M2104" s="79"/>
      <c r="N2104" s="74"/>
      <c r="O2104" s="81" t="s">
        <v>944</v>
      </c>
      <c r="P2104">
        <v>1</v>
      </c>
      <c r="Q2104" s="80" t="str">
        <f>REPLACE(INDEX(GroupVertices[Group],MATCH(Edges[[#This Row],[Vertex 1]],GroupVertices[Vertex],0)),1,1,"")</f>
        <v>1</v>
      </c>
      <c r="R2104" s="80" t="str">
        <f>REPLACE(INDEX(GroupVertices[Group],MATCH(Edges[[#This Row],[Vertex 2]],GroupVertices[Vertex],0)),1,1,"")</f>
        <v>1</v>
      </c>
      <c r="S2104" s="34"/>
      <c r="T2104" s="34"/>
      <c r="U2104" s="34"/>
      <c r="V2104" s="34"/>
      <c r="W2104" s="34"/>
      <c r="X2104" s="34"/>
      <c r="Y2104" s="34"/>
      <c r="Z2104" s="34"/>
      <c r="AA2104" s="34"/>
    </row>
    <row r="2105" spans="1:27" ht="15">
      <c r="A2105" s="66" t="s">
        <v>249</v>
      </c>
      <c r="B2105" s="66" t="s">
        <v>242</v>
      </c>
      <c r="C2105" s="67" t="s">
        <v>4454</v>
      </c>
      <c r="D2105" s="68">
        <v>5</v>
      </c>
      <c r="E2105" s="69"/>
      <c r="F2105" s="70">
        <v>20</v>
      </c>
      <c r="G2105" s="67"/>
      <c r="H2105" s="71"/>
      <c r="I2105" s="72"/>
      <c r="J2105" s="72"/>
      <c r="K2105" s="34" t="s">
        <v>66</v>
      </c>
      <c r="L2105" s="79">
        <v>2105</v>
      </c>
      <c r="M2105" s="79"/>
      <c r="N2105" s="74"/>
      <c r="O2105" s="81" t="s">
        <v>944</v>
      </c>
      <c r="P2105">
        <v>1</v>
      </c>
      <c r="Q2105" s="80" t="str">
        <f>REPLACE(INDEX(GroupVertices[Group],MATCH(Edges[[#This Row],[Vertex 1]],GroupVertices[Vertex],0)),1,1,"")</f>
        <v>2</v>
      </c>
      <c r="R2105" s="80" t="str">
        <f>REPLACE(INDEX(GroupVertices[Group],MATCH(Edges[[#This Row],[Vertex 2]],GroupVertices[Vertex],0)),1,1,"")</f>
        <v>1</v>
      </c>
      <c r="S2105" s="34"/>
      <c r="T2105" s="34"/>
      <c r="U2105" s="34"/>
      <c r="V2105" s="34"/>
      <c r="W2105" s="34"/>
      <c r="X2105" s="34"/>
      <c r="Y2105" s="34"/>
      <c r="Z2105" s="34"/>
      <c r="AA2105" s="34"/>
    </row>
    <row r="2106" spans="1:27" ht="15">
      <c r="A2106" s="66" t="s">
        <v>250</v>
      </c>
      <c r="B2106" s="66" t="s">
        <v>242</v>
      </c>
      <c r="C2106" s="67" t="s">
        <v>4454</v>
      </c>
      <c r="D2106" s="68">
        <v>5</v>
      </c>
      <c r="E2106" s="69"/>
      <c r="F2106" s="70">
        <v>20</v>
      </c>
      <c r="G2106" s="67"/>
      <c r="H2106" s="71"/>
      <c r="I2106" s="72"/>
      <c r="J2106" s="72"/>
      <c r="K2106" s="34" t="s">
        <v>65</v>
      </c>
      <c r="L2106" s="79">
        <v>2106</v>
      </c>
      <c r="M2106" s="79"/>
      <c r="N2106" s="74"/>
      <c r="O2106" s="81" t="s">
        <v>944</v>
      </c>
      <c r="P2106">
        <v>1</v>
      </c>
      <c r="Q2106" s="80" t="str">
        <f>REPLACE(INDEX(GroupVertices[Group],MATCH(Edges[[#This Row],[Vertex 1]],GroupVertices[Vertex],0)),1,1,"")</f>
        <v>2</v>
      </c>
      <c r="R2106" s="80" t="str">
        <f>REPLACE(INDEX(GroupVertices[Group],MATCH(Edges[[#This Row],[Vertex 2]],GroupVertices[Vertex],0)),1,1,"")</f>
        <v>1</v>
      </c>
      <c r="S2106" s="34"/>
      <c r="T2106" s="34"/>
      <c r="U2106" s="34"/>
      <c r="V2106" s="34"/>
      <c r="W2106" s="34"/>
      <c r="X2106" s="34"/>
      <c r="Y2106" s="34"/>
      <c r="Z2106" s="34"/>
      <c r="AA2106" s="34"/>
    </row>
    <row r="2107" spans="1:27" ht="15">
      <c r="A2107" s="66" t="s">
        <v>256</v>
      </c>
      <c r="B2107" s="66" t="s">
        <v>242</v>
      </c>
      <c r="C2107" s="67" t="s">
        <v>4454</v>
      </c>
      <c r="D2107" s="68">
        <v>5</v>
      </c>
      <c r="E2107" s="69"/>
      <c r="F2107" s="70">
        <v>20</v>
      </c>
      <c r="G2107" s="67"/>
      <c r="H2107" s="71"/>
      <c r="I2107" s="72"/>
      <c r="J2107" s="72"/>
      <c r="K2107" s="34" t="s">
        <v>66</v>
      </c>
      <c r="L2107" s="79">
        <v>2107</v>
      </c>
      <c r="M2107" s="79"/>
      <c r="N2107" s="74"/>
      <c r="O2107" s="81" t="s">
        <v>944</v>
      </c>
      <c r="P2107">
        <v>1</v>
      </c>
      <c r="Q2107" s="80" t="str">
        <f>REPLACE(INDEX(GroupVertices[Group],MATCH(Edges[[#This Row],[Vertex 1]],GroupVertices[Vertex],0)),1,1,"")</f>
        <v>1</v>
      </c>
      <c r="R2107" s="80" t="str">
        <f>REPLACE(INDEX(GroupVertices[Group],MATCH(Edges[[#This Row],[Vertex 2]],GroupVertices[Vertex],0)),1,1,"")</f>
        <v>1</v>
      </c>
      <c r="S2107" s="34"/>
      <c r="T2107" s="34"/>
      <c r="U2107" s="34"/>
      <c r="V2107" s="34"/>
      <c r="W2107" s="34"/>
      <c r="X2107" s="34"/>
      <c r="Y2107" s="34"/>
      <c r="Z2107" s="34"/>
      <c r="AA2107" s="34"/>
    </row>
    <row r="2108" spans="1:27" ht="15">
      <c r="A2108" s="66" t="s">
        <v>258</v>
      </c>
      <c r="B2108" s="66" t="s">
        <v>242</v>
      </c>
      <c r="C2108" s="67" t="s">
        <v>4454</v>
      </c>
      <c r="D2108" s="68">
        <v>5</v>
      </c>
      <c r="E2108" s="69"/>
      <c r="F2108" s="70">
        <v>20</v>
      </c>
      <c r="G2108" s="67"/>
      <c r="H2108" s="71"/>
      <c r="I2108" s="72"/>
      <c r="J2108" s="72"/>
      <c r="K2108" s="34" t="s">
        <v>66</v>
      </c>
      <c r="L2108" s="79">
        <v>2108</v>
      </c>
      <c r="M2108" s="79"/>
      <c r="N2108" s="74"/>
      <c r="O2108" s="81" t="s">
        <v>944</v>
      </c>
      <c r="P2108">
        <v>1</v>
      </c>
      <c r="Q2108" s="80" t="str">
        <f>REPLACE(INDEX(GroupVertices[Group],MATCH(Edges[[#This Row],[Vertex 1]],GroupVertices[Vertex],0)),1,1,"")</f>
        <v>1</v>
      </c>
      <c r="R2108" s="80" t="str">
        <f>REPLACE(INDEX(GroupVertices[Group],MATCH(Edges[[#This Row],[Vertex 2]],GroupVertices[Vertex],0)),1,1,"")</f>
        <v>1</v>
      </c>
      <c r="S2108" s="34"/>
      <c r="T2108" s="34"/>
      <c r="U2108" s="34"/>
      <c r="V2108" s="34"/>
      <c r="W2108" s="34"/>
      <c r="X2108" s="34"/>
      <c r="Y2108" s="34"/>
      <c r="Z2108" s="34"/>
      <c r="AA2108" s="34"/>
    </row>
    <row r="2109" spans="1:27" ht="15">
      <c r="A2109" s="66" t="s">
        <v>260</v>
      </c>
      <c r="B2109" s="66" t="s">
        <v>242</v>
      </c>
      <c r="C2109" s="67" t="s">
        <v>4454</v>
      </c>
      <c r="D2109" s="68">
        <v>5</v>
      </c>
      <c r="E2109" s="69"/>
      <c r="F2109" s="70">
        <v>20</v>
      </c>
      <c r="G2109" s="67"/>
      <c r="H2109" s="71"/>
      <c r="I2109" s="72"/>
      <c r="J2109" s="72"/>
      <c r="K2109" s="34" t="s">
        <v>66</v>
      </c>
      <c r="L2109" s="79">
        <v>2109</v>
      </c>
      <c r="M2109" s="79"/>
      <c r="N2109" s="74"/>
      <c r="O2109" s="81" t="s">
        <v>944</v>
      </c>
      <c r="P2109">
        <v>1</v>
      </c>
      <c r="Q2109" s="80" t="str">
        <f>REPLACE(INDEX(GroupVertices[Group],MATCH(Edges[[#This Row],[Vertex 1]],GroupVertices[Vertex],0)),1,1,"")</f>
        <v>2</v>
      </c>
      <c r="R2109" s="80" t="str">
        <f>REPLACE(INDEX(GroupVertices[Group],MATCH(Edges[[#This Row],[Vertex 2]],GroupVertices[Vertex],0)),1,1,"")</f>
        <v>1</v>
      </c>
      <c r="S2109" s="34"/>
      <c r="T2109" s="34"/>
      <c r="U2109" s="34"/>
      <c r="V2109" s="34"/>
      <c r="W2109" s="34"/>
      <c r="X2109" s="34"/>
      <c r="Y2109" s="34"/>
      <c r="Z2109" s="34"/>
      <c r="AA2109" s="34"/>
    </row>
    <row r="2110" spans="1:27" ht="15">
      <c r="A2110" s="66" t="s">
        <v>260</v>
      </c>
      <c r="B2110" s="66" t="s">
        <v>735</v>
      </c>
      <c r="C2110" s="67" t="s">
        <v>4454</v>
      </c>
      <c r="D2110" s="68">
        <v>5</v>
      </c>
      <c r="E2110" s="69"/>
      <c r="F2110" s="70">
        <v>20</v>
      </c>
      <c r="G2110" s="67"/>
      <c r="H2110" s="71"/>
      <c r="I2110" s="72"/>
      <c r="J2110" s="72"/>
      <c r="K2110" s="34" t="s">
        <v>65</v>
      </c>
      <c r="L2110" s="79">
        <v>2110</v>
      </c>
      <c r="M2110" s="79"/>
      <c r="N2110" s="74"/>
      <c r="O2110" s="81" t="s">
        <v>944</v>
      </c>
      <c r="P2110">
        <v>1</v>
      </c>
      <c r="Q2110" s="80" t="str">
        <f>REPLACE(INDEX(GroupVertices[Group],MATCH(Edges[[#This Row],[Vertex 1]],GroupVertices[Vertex],0)),1,1,"")</f>
        <v>2</v>
      </c>
      <c r="R2110" s="80" t="str">
        <f>REPLACE(INDEX(GroupVertices[Group],MATCH(Edges[[#This Row],[Vertex 2]],GroupVertices[Vertex],0)),1,1,"")</f>
        <v>2</v>
      </c>
      <c r="S2110" s="34"/>
      <c r="T2110" s="34"/>
      <c r="U2110" s="34"/>
      <c r="V2110" s="34"/>
      <c r="W2110" s="34"/>
      <c r="X2110" s="34"/>
      <c r="Y2110" s="34"/>
      <c r="Z2110" s="34"/>
      <c r="AA2110" s="34"/>
    </row>
    <row r="2111" spans="1:27" ht="15">
      <c r="A2111" s="66" t="s">
        <v>220</v>
      </c>
      <c r="B2111" s="66" t="s">
        <v>619</v>
      </c>
      <c r="C2111" s="67" t="s">
        <v>4454</v>
      </c>
      <c r="D2111" s="68">
        <v>5</v>
      </c>
      <c r="E2111" s="69"/>
      <c r="F2111" s="70">
        <v>20</v>
      </c>
      <c r="G2111" s="67"/>
      <c r="H2111" s="71"/>
      <c r="I2111" s="72"/>
      <c r="J2111" s="72"/>
      <c r="K2111" s="34" t="s">
        <v>65</v>
      </c>
      <c r="L2111" s="79">
        <v>2111</v>
      </c>
      <c r="M2111" s="79"/>
      <c r="N2111" s="74"/>
      <c r="O2111" s="81" t="s">
        <v>944</v>
      </c>
      <c r="P2111">
        <v>1</v>
      </c>
      <c r="Q2111" s="80" t="str">
        <f>REPLACE(INDEX(GroupVertices[Group],MATCH(Edges[[#This Row],[Vertex 1]],GroupVertices[Vertex],0)),1,1,"")</f>
        <v>2</v>
      </c>
      <c r="R2111" s="80" t="str">
        <f>REPLACE(INDEX(GroupVertices[Group],MATCH(Edges[[#This Row],[Vertex 2]],GroupVertices[Vertex],0)),1,1,"")</f>
        <v>2</v>
      </c>
      <c r="S2111" s="34"/>
      <c r="T2111" s="34"/>
      <c r="U2111" s="34"/>
      <c r="V2111" s="34"/>
      <c r="W2111" s="34"/>
      <c r="X2111" s="34"/>
      <c r="Y2111" s="34"/>
      <c r="Z2111" s="34"/>
      <c r="AA2111" s="34"/>
    </row>
    <row r="2112" spans="1:27" ht="15">
      <c r="A2112" s="66" t="s">
        <v>224</v>
      </c>
      <c r="B2112" s="66" t="s">
        <v>619</v>
      </c>
      <c r="C2112" s="67" t="s">
        <v>4454</v>
      </c>
      <c r="D2112" s="68">
        <v>5</v>
      </c>
      <c r="E2112" s="69"/>
      <c r="F2112" s="70">
        <v>20</v>
      </c>
      <c r="G2112" s="67"/>
      <c r="H2112" s="71"/>
      <c r="I2112" s="72"/>
      <c r="J2112" s="72"/>
      <c r="K2112" s="34" t="s">
        <v>65</v>
      </c>
      <c r="L2112" s="79">
        <v>2112</v>
      </c>
      <c r="M2112" s="79"/>
      <c r="N2112" s="74"/>
      <c r="O2112" s="81" t="s">
        <v>944</v>
      </c>
      <c r="P2112">
        <v>1</v>
      </c>
      <c r="Q2112" s="80" t="str">
        <f>REPLACE(INDEX(GroupVertices[Group],MATCH(Edges[[#This Row],[Vertex 1]],GroupVertices[Vertex],0)),1,1,"")</f>
        <v>2</v>
      </c>
      <c r="R2112" s="80" t="str">
        <f>REPLACE(INDEX(GroupVertices[Group],MATCH(Edges[[#This Row],[Vertex 2]],GroupVertices[Vertex],0)),1,1,"")</f>
        <v>2</v>
      </c>
      <c r="S2112" s="34"/>
      <c r="T2112" s="34"/>
      <c r="U2112" s="34"/>
      <c r="V2112" s="34"/>
      <c r="W2112" s="34"/>
      <c r="X2112" s="34"/>
      <c r="Y2112" s="34"/>
      <c r="Z2112" s="34"/>
      <c r="AA2112" s="34"/>
    </row>
    <row r="2113" spans="1:27" ht="15">
      <c r="A2113" s="66" t="s">
        <v>249</v>
      </c>
      <c r="B2113" s="66" t="s">
        <v>619</v>
      </c>
      <c r="C2113" s="67" t="s">
        <v>4454</v>
      </c>
      <c r="D2113" s="68">
        <v>5</v>
      </c>
      <c r="E2113" s="69"/>
      <c r="F2113" s="70">
        <v>20</v>
      </c>
      <c r="G2113" s="67"/>
      <c r="H2113" s="71"/>
      <c r="I2113" s="72"/>
      <c r="J2113" s="72"/>
      <c r="K2113" s="34" t="s">
        <v>65</v>
      </c>
      <c r="L2113" s="79">
        <v>2113</v>
      </c>
      <c r="M2113" s="79"/>
      <c r="N2113" s="74"/>
      <c r="O2113" s="81" t="s">
        <v>944</v>
      </c>
      <c r="P2113">
        <v>1</v>
      </c>
      <c r="Q2113" s="80" t="str">
        <f>REPLACE(INDEX(GroupVertices[Group],MATCH(Edges[[#This Row],[Vertex 1]],GroupVertices[Vertex],0)),1,1,"")</f>
        <v>2</v>
      </c>
      <c r="R2113" s="80" t="str">
        <f>REPLACE(INDEX(GroupVertices[Group],MATCH(Edges[[#This Row],[Vertex 2]],GroupVertices[Vertex],0)),1,1,"")</f>
        <v>2</v>
      </c>
      <c r="S2113" s="34"/>
      <c r="T2113" s="34"/>
      <c r="U2113" s="34"/>
      <c r="V2113" s="34"/>
      <c r="W2113" s="34"/>
      <c r="X2113" s="34"/>
      <c r="Y2113" s="34"/>
      <c r="Z2113" s="34"/>
      <c r="AA2113" s="34"/>
    </row>
    <row r="2114" spans="1:27" ht="15">
      <c r="A2114" s="66" t="s">
        <v>259</v>
      </c>
      <c r="B2114" s="66" t="s">
        <v>619</v>
      </c>
      <c r="C2114" s="67" t="s">
        <v>4454</v>
      </c>
      <c r="D2114" s="68">
        <v>5</v>
      </c>
      <c r="E2114" s="69"/>
      <c r="F2114" s="70">
        <v>20</v>
      </c>
      <c r="G2114" s="67"/>
      <c r="H2114" s="71"/>
      <c r="I2114" s="72"/>
      <c r="J2114" s="72"/>
      <c r="K2114" s="34" t="s">
        <v>65</v>
      </c>
      <c r="L2114" s="79">
        <v>2114</v>
      </c>
      <c r="M2114" s="79"/>
      <c r="N2114" s="74"/>
      <c r="O2114" s="81" t="s">
        <v>944</v>
      </c>
      <c r="P2114">
        <v>1</v>
      </c>
      <c r="Q2114" s="80" t="str">
        <f>REPLACE(INDEX(GroupVertices[Group],MATCH(Edges[[#This Row],[Vertex 1]],GroupVertices[Vertex],0)),1,1,"")</f>
        <v>2</v>
      </c>
      <c r="R2114" s="80" t="str">
        <f>REPLACE(INDEX(GroupVertices[Group],MATCH(Edges[[#This Row],[Vertex 2]],GroupVertices[Vertex],0)),1,1,"")</f>
        <v>2</v>
      </c>
      <c r="S2114" s="34"/>
      <c r="T2114" s="34"/>
      <c r="U2114" s="34"/>
      <c r="V2114" s="34"/>
      <c r="W2114" s="34"/>
      <c r="X2114" s="34"/>
      <c r="Y2114" s="34"/>
      <c r="Z2114" s="34"/>
      <c r="AA2114" s="34"/>
    </row>
    <row r="2115" spans="1:27" ht="15">
      <c r="A2115" s="66" t="s">
        <v>260</v>
      </c>
      <c r="B2115" s="66" t="s">
        <v>619</v>
      </c>
      <c r="C2115" s="67" t="s">
        <v>4454</v>
      </c>
      <c r="D2115" s="68">
        <v>5</v>
      </c>
      <c r="E2115" s="69"/>
      <c r="F2115" s="70">
        <v>20</v>
      </c>
      <c r="G2115" s="67"/>
      <c r="H2115" s="71"/>
      <c r="I2115" s="72"/>
      <c r="J2115" s="72"/>
      <c r="K2115" s="34" t="s">
        <v>65</v>
      </c>
      <c r="L2115" s="79">
        <v>2115</v>
      </c>
      <c r="M2115" s="79"/>
      <c r="N2115" s="74"/>
      <c r="O2115" s="81" t="s">
        <v>944</v>
      </c>
      <c r="P2115">
        <v>1</v>
      </c>
      <c r="Q2115" s="80" t="str">
        <f>REPLACE(INDEX(GroupVertices[Group],MATCH(Edges[[#This Row],[Vertex 1]],GroupVertices[Vertex],0)),1,1,"")</f>
        <v>2</v>
      </c>
      <c r="R2115" s="80" t="str">
        <f>REPLACE(INDEX(GroupVertices[Group],MATCH(Edges[[#This Row],[Vertex 2]],GroupVertices[Vertex],0)),1,1,"")</f>
        <v>2</v>
      </c>
      <c r="S2115" s="34"/>
      <c r="T2115" s="34"/>
      <c r="U2115" s="34"/>
      <c r="V2115" s="34"/>
      <c r="W2115" s="34"/>
      <c r="X2115" s="34"/>
      <c r="Y2115" s="34"/>
      <c r="Z2115" s="34"/>
      <c r="AA2115" s="34"/>
    </row>
    <row r="2116" spans="1:27" ht="15">
      <c r="A2116" s="66" t="s">
        <v>220</v>
      </c>
      <c r="B2116" s="66" t="s">
        <v>602</v>
      </c>
      <c r="C2116" s="67" t="s">
        <v>4454</v>
      </c>
      <c r="D2116" s="68">
        <v>5</v>
      </c>
      <c r="E2116" s="69"/>
      <c r="F2116" s="70">
        <v>20</v>
      </c>
      <c r="G2116" s="67"/>
      <c r="H2116" s="71"/>
      <c r="I2116" s="72"/>
      <c r="J2116" s="72"/>
      <c r="K2116" s="34" t="s">
        <v>65</v>
      </c>
      <c r="L2116" s="79">
        <v>2116</v>
      </c>
      <c r="M2116" s="79"/>
      <c r="N2116" s="74"/>
      <c r="O2116" s="81" t="s">
        <v>944</v>
      </c>
      <c r="P2116">
        <v>1</v>
      </c>
      <c r="Q2116" s="80" t="str">
        <f>REPLACE(INDEX(GroupVertices[Group],MATCH(Edges[[#This Row],[Vertex 1]],GroupVertices[Vertex],0)),1,1,"")</f>
        <v>2</v>
      </c>
      <c r="R2116" s="80" t="str">
        <f>REPLACE(INDEX(GroupVertices[Group],MATCH(Edges[[#This Row],[Vertex 2]],GroupVertices[Vertex],0)),1,1,"")</f>
        <v>2</v>
      </c>
      <c r="S2116" s="34"/>
      <c r="T2116" s="34"/>
      <c r="U2116" s="34"/>
      <c r="V2116" s="34"/>
      <c r="W2116" s="34"/>
      <c r="X2116" s="34"/>
      <c r="Y2116" s="34"/>
      <c r="Z2116" s="34"/>
      <c r="AA2116" s="34"/>
    </row>
    <row r="2117" spans="1:27" ht="15">
      <c r="A2117" s="66" t="s">
        <v>224</v>
      </c>
      <c r="B2117" s="66" t="s">
        <v>602</v>
      </c>
      <c r="C2117" s="67" t="s">
        <v>4454</v>
      </c>
      <c r="D2117" s="68">
        <v>5</v>
      </c>
      <c r="E2117" s="69"/>
      <c r="F2117" s="70">
        <v>20</v>
      </c>
      <c r="G2117" s="67"/>
      <c r="H2117" s="71"/>
      <c r="I2117" s="72"/>
      <c r="J2117" s="72"/>
      <c r="K2117" s="34" t="s">
        <v>65</v>
      </c>
      <c r="L2117" s="79">
        <v>2117</v>
      </c>
      <c r="M2117" s="79"/>
      <c r="N2117" s="74"/>
      <c r="O2117" s="81" t="s">
        <v>944</v>
      </c>
      <c r="P2117">
        <v>1</v>
      </c>
      <c r="Q2117" s="80" t="str">
        <f>REPLACE(INDEX(GroupVertices[Group],MATCH(Edges[[#This Row],[Vertex 1]],GroupVertices[Vertex],0)),1,1,"")</f>
        <v>2</v>
      </c>
      <c r="R2117" s="80" t="str">
        <f>REPLACE(INDEX(GroupVertices[Group],MATCH(Edges[[#This Row],[Vertex 2]],GroupVertices[Vertex],0)),1,1,"")</f>
        <v>2</v>
      </c>
      <c r="S2117" s="34"/>
      <c r="T2117" s="34"/>
      <c r="U2117" s="34"/>
      <c r="V2117" s="34"/>
      <c r="W2117" s="34"/>
      <c r="X2117" s="34"/>
      <c r="Y2117" s="34"/>
      <c r="Z2117" s="34"/>
      <c r="AA2117" s="34"/>
    </row>
    <row r="2118" spans="1:27" ht="15">
      <c r="A2118" s="66" t="s">
        <v>233</v>
      </c>
      <c r="B2118" s="66" t="s">
        <v>602</v>
      </c>
      <c r="C2118" s="67" t="s">
        <v>4454</v>
      </c>
      <c r="D2118" s="68">
        <v>5</v>
      </c>
      <c r="E2118" s="69"/>
      <c r="F2118" s="70">
        <v>20</v>
      </c>
      <c r="G2118" s="67"/>
      <c r="H2118" s="71"/>
      <c r="I2118" s="72"/>
      <c r="J2118" s="72"/>
      <c r="K2118" s="34" t="s">
        <v>65</v>
      </c>
      <c r="L2118" s="79">
        <v>2118</v>
      </c>
      <c r="M2118" s="79"/>
      <c r="N2118" s="74"/>
      <c r="O2118" s="81" t="s">
        <v>944</v>
      </c>
      <c r="P2118">
        <v>1</v>
      </c>
      <c r="Q2118" s="80" t="str">
        <f>REPLACE(INDEX(GroupVertices[Group],MATCH(Edges[[#This Row],[Vertex 1]],GroupVertices[Vertex],0)),1,1,"")</f>
        <v>2</v>
      </c>
      <c r="R2118" s="80" t="str">
        <f>REPLACE(INDEX(GroupVertices[Group],MATCH(Edges[[#This Row],[Vertex 2]],GroupVertices[Vertex],0)),1,1,"")</f>
        <v>2</v>
      </c>
      <c r="S2118" s="34"/>
      <c r="T2118" s="34"/>
      <c r="U2118" s="34"/>
      <c r="V2118" s="34"/>
      <c r="W2118" s="34"/>
      <c r="X2118" s="34"/>
      <c r="Y2118" s="34"/>
      <c r="Z2118" s="34"/>
      <c r="AA2118" s="34"/>
    </row>
    <row r="2119" spans="1:27" ht="15">
      <c r="A2119" s="66" t="s">
        <v>249</v>
      </c>
      <c r="B2119" s="66" t="s">
        <v>602</v>
      </c>
      <c r="C2119" s="67" t="s">
        <v>4454</v>
      </c>
      <c r="D2119" s="68">
        <v>5</v>
      </c>
      <c r="E2119" s="69"/>
      <c r="F2119" s="70">
        <v>20</v>
      </c>
      <c r="G2119" s="67"/>
      <c r="H2119" s="71"/>
      <c r="I2119" s="72"/>
      <c r="J2119" s="72"/>
      <c r="K2119" s="34" t="s">
        <v>65</v>
      </c>
      <c r="L2119" s="79">
        <v>2119</v>
      </c>
      <c r="M2119" s="79"/>
      <c r="N2119" s="74"/>
      <c r="O2119" s="81" t="s">
        <v>944</v>
      </c>
      <c r="P2119">
        <v>1</v>
      </c>
      <c r="Q2119" s="80" t="str">
        <f>REPLACE(INDEX(GroupVertices[Group],MATCH(Edges[[#This Row],[Vertex 1]],GroupVertices[Vertex],0)),1,1,"")</f>
        <v>2</v>
      </c>
      <c r="R2119" s="80" t="str">
        <f>REPLACE(INDEX(GroupVertices[Group],MATCH(Edges[[#This Row],[Vertex 2]],GroupVertices[Vertex],0)),1,1,"")</f>
        <v>2</v>
      </c>
      <c r="S2119" s="34"/>
      <c r="T2119" s="34"/>
      <c r="U2119" s="34"/>
      <c r="V2119" s="34"/>
      <c r="W2119" s="34"/>
      <c r="X2119" s="34"/>
      <c r="Y2119" s="34"/>
      <c r="Z2119" s="34"/>
      <c r="AA2119" s="34"/>
    </row>
    <row r="2120" spans="1:27" ht="15">
      <c r="A2120" s="66" t="s">
        <v>250</v>
      </c>
      <c r="B2120" s="66" t="s">
        <v>602</v>
      </c>
      <c r="C2120" s="67" t="s">
        <v>4454</v>
      </c>
      <c r="D2120" s="68">
        <v>5</v>
      </c>
      <c r="E2120" s="69"/>
      <c r="F2120" s="70">
        <v>20</v>
      </c>
      <c r="G2120" s="67"/>
      <c r="H2120" s="71"/>
      <c r="I2120" s="72"/>
      <c r="J2120" s="72"/>
      <c r="K2120" s="34" t="s">
        <v>65</v>
      </c>
      <c r="L2120" s="79">
        <v>2120</v>
      </c>
      <c r="M2120" s="79"/>
      <c r="N2120" s="74"/>
      <c r="O2120" s="81" t="s">
        <v>944</v>
      </c>
      <c r="P2120">
        <v>1</v>
      </c>
      <c r="Q2120" s="80" t="str">
        <f>REPLACE(INDEX(GroupVertices[Group],MATCH(Edges[[#This Row],[Vertex 1]],GroupVertices[Vertex],0)),1,1,"")</f>
        <v>2</v>
      </c>
      <c r="R2120" s="80" t="str">
        <f>REPLACE(INDEX(GroupVertices[Group],MATCH(Edges[[#This Row],[Vertex 2]],GroupVertices[Vertex],0)),1,1,"")</f>
        <v>2</v>
      </c>
      <c r="S2120" s="34"/>
      <c r="T2120" s="34"/>
      <c r="U2120" s="34"/>
      <c r="V2120" s="34"/>
      <c r="W2120" s="34"/>
      <c r="X2120" s="34"/>
      <c r="Y2120" s="34"/>
      <c r="Z2120" s="34"/>
      <c r="AA2120" s="34"/>
    </row>
    <row r="2121" spans="1:27" ht="15">
      <c r="A2121" s="66" t="s">
        <v>260</v>
      </c>
      <c r="B2121" s="66" t="s">
        <v>602</v>
      </c>
      <c r="C2121" s="67" t="s">
        <v>4454</v>
      </c>
      <c r="D2121" s="68">
        <v>5</v>
      </c>
      <c r="E2121" s="69"/>
      <c r="F2121" s="70">
        <v>20</v>
      </c>
      <c r="G2121" s="67"/>
      <c r="H2121" s="71"/>
      <c r="I2121" s="72"/>
      <c r="J2121" s="72"/>
      <c r="K2121" s="34" t="s">
        <v>65</v>
      </c>
      <c r="L2121" s="79">
        <v>2121</v>
      </c>
      <c r="M2121" s="79"/>
      <c r="N2121" s="74"/>
      <c r="O2121" s="81" t="s">
        <v>944</v>
      </c>
      <c r="P2121">
        <v>1</v>
      </c>
      <c r="Q2121" s="80" t="str">
        <f>REPLACE(INDEX(GroupVertices[Group],MATCH(Edges[[#This Row],[Vertex 1]],GroupVertices[Vertex],0)),1,1,"")</f>
        <v>2</v>
      </c>
      <c r="R2121" s="80" t="str">
        <f>REPLACE(INDEX(GroupVertices[Group],MATCH(Edges[[#This Row],[Vertex 2]],GroupVertices[Vertex],0)),1,1,"")</f>
        <v>2</v>
      </c>
      <c r="S2121" s="34"/>
      <c r="T2121" s="34"/>
      <c r="U2121" s="34"/>
      <c r="V2121" s="34"/>
      <c r="W2121" s="34"/>
      <c r="X2121" s="34"/>
      <c r="Y2121" s="34"/>
      <c r="Z2121" s="34"/>
      <c r="AA2121" s="34"/>
    </row>
    <row r="2122" spans="1:27" ht="15">
      <c r="A2122" s="66" t="s">
        <v>260</v>
      </c>
      <c r="B2122" s="66" t="s">
        <v>919</v>
      </c>
      <c r="C2122" s="67" t="s">
        <v>4454</v>
      </c>
      <c r="D2122" s="68">
        <v>5</v>
      </c>
      <c r="E2122" s="69"/>
      <c r="F2122" s="70">
        <v>20</v>
      </c>
      <c r="G2122" s="67"/>
      <c r="H2122" s="71"/>
      <c r="I2122" s="72"/>
      <c r="J2122" s="72"/>
      <c r="K2122" s="34" t="s">
        <v>65</v>
      </c>
      <c r="L2122" s="79">
        <v>2122</v>
      </c>
      <c r="M2122" s="79"/>
      <c r="N2122" s="74"/>
      <c r="O2122" s="81" t="s">
        <v>944</v>
      </c>
      <c r="P2122">
        <v>1</v>
      </c>
      <c r="Q2122" s="80" t="str">
        <f>REPLACE(INDEX(GroupVertices[Group],MATCH(Edges[[#This Row],[Vertex 1]],GroupVertices[Vertex],0)),1,1,"")</f>
        <v>2</v>
      </c>
      <c r="R2122" s="80" t="str">
        <f>REPLACE(INDEX(GroupVertices[Group],MATCH(Edges[[#This Row],[Vertex 2]],GroupVertices[Vertex],0)),1,1,"")</f>
        <v>2</v>
      </c>
      <c r="S2122" s="34"/>
      <c r="T2122" s="34"/>
      <c r="U2122" s="34"/>
      <c r="V2122" s="34"/>
      <c r="W2122" s="34"/>
      <c r="X2122" s="34"/>
      <c r="Y2122" s="34"/>
      <c r="Z2122" s="34"/>
      <c r="AA2122" s="34"/>
    </row>
    <row r="2123" spans="1:27" ht="15">
      <c r="A2123" s="66" t="s">
        <v>256</v>
      </c>
      <c r="B2123" s="66" t="s">
        <v>921</v>
      </c>
      <c r="C2123" s="67" t="s">
        <v>4454</v>
      </c>
      <c r="D2123" s="68">
        <v>5</v>
      </c>
      <c r="E2123" s="69"/>
      <c r="F2123" s="70">
        <v>20</v>
      </c>
      <c r="G2123" s="67"/>
      <c r="H2123" s="71"/>
      <c r="I2123" s="72"/>
      <c r="J2123" s="72"/>
      <c r="K2123" s="34" t="s">
        <v>65</v>
      </c>
      <c r="L2123" s="79">
        <v>2123</v>
      </c>
      <c r="M2123" s="79"/>
      <c r="N2123" s="74"/>
      <c r="O2123" s="81" t="s">
        <v>944</v>
      </c>
      <c r="P2123">
        <v>1</v>
      </c>
      <c r="Q2123" s="80" t="str">
        <f>REPLACE(INDEX(GroupVertices[Group],MATCH(Edges[[#This Row],[Vertex 1]],GroupVertices[Vertex],0)),1,1,"")</f>
        <v>1</v>
      </c>
      <c r="R2123" s="80" t="str">
        <f>REPLACE(INDEX(GroupVertices[Group],MATCH(Edges[[#This Row],[Vertex 2]],GroupVertices[Vertex],0)),1,1,"")</f>
        <v>1</v>
      </c>
      <c r="S2123" s="34"/>
      <c r="T2123" s="34"/>
      <c r="U2123" s="34"/>
      <c r="V2123" s="34"/>
      <c r="W2123" s="34"/>
      <c r="X2123" s="34"/>
      <c r="Y2123" s="34"/>
      <c r="Z2123" s="34"/>
      <c r="AA2123" s="34"/>
    </row>
    <row r="2124" spans="1:27" ht="15">
      <c r="A2124" s="66" t="s">
        <v>260</v>
      </c>
      <c r="B2124" s="66" t="s">
        <v>921</v>
      </c>
      <c r="C2124" s="67" t="s">
        <v>4454</v>
      </c>
      <c r="D2124" s="68">
        <v>5</v>
      </c>
      <c r="E2124" s="69"/>
      <c r="F2124" s="70">
        <v>20</v>
      </c>
      <c r="G2124" s="67"/>
      <c r="H2124" s="71"/>
      <c r="I2124" s="72"/>
      <c r="J2124" s="72"/>
      <c r="K2124" s="34" t="s">
        <v>65</v>
      </c>
      <c r="L2124" s="79">
        <v>2124</v>
      </c>
      <c r="M2124" s="79"/>
      <c r="N2124" s="74"/>
      <c r="O2124" s="81" t="s">
        <v>944</v>
      </c>
      <c r="P2124">
        <v>1</v>
      </c>
      <c r="Q2124" s="80" t="str">
        <f>REPLACE(INDEX(GroupVertices[Group],MATCH(Edges[[#This Row],[Vertex 1]],GroupVertices[Vertex],0)),1,1,"")</f>
        <v>2</v>
      </c>
      <c r="R2124" s="80" t="str">
        <f>REPLACE(INDEX(GroupVertices[Group],MATCH(Edges[[#This Row],[Vertex 2]],GroupVertices[Vertex],0)),1,1,"")</f>
        <v>1</v>
      </c>
      <c r="S2124" s="34"/>
      <c r="T2124" s="34"/>
      <c r="U2124" s="34"/>
      <c r="V2124" s="34"/>
      <c r="W2124" s="34"/>
      <c r="X2124" s="34"/>
      <c r="Y2124" s="34"/>
      <c r="Z2124" s="34"/>
      <c r="AA2124" s="34"/>
    </row>
    <row r="2125" spans="1:27" ht="15">
      <c r="A2125" s="66" t="s">
        <v>220</v>
      </c>
      <c r="B2125" s="66" t="s">
        <v>224</v>
      </c>
      <c r="C2125" s="67" t="s">
        <v>4454</v>
      </c>
      <c r="D2125" s="68">
        <v>5</v>
      </c>
      <c r="E2125" s="69"/>
      <c r="F2125" s="70">
        <v>20</v>
      </c>
      <c r="G2125" s="67"/>
      <c r="H2125" s="71"/>
      <c r="I2125" s="72"/>
      <c r="J2125" s="72"/>
      <c r="K2125" s="34" t="s">
        <v>66</v>
      </c>
      <c r="L2125" s="79">
        <v>2125</v>
      </c>
      <c r="M2125" s="79"/>
      <c r="N2125" s="74"/>
      <c r="O2125" s="81" t="s">
        <v>944</v>
      </c>
      <c r="P2125">
        <v>1</v>
      </c>
      <c r="Q2125" s="80" t="str">
        <f>REPLACE(INDEX(GroupVertices[Group],MATCH(Edges[[#This Row],[Vertex 1]],GroupVertices[Vertex],0)),1,1,"")</f>
        <v>2</v>
      </c>
      <c r="R2125" s="80" t="str">
        <f>REPLACE(INDEX(GroupVertices[Group],MATCH(Edges[[#This Row],[Vertex 2]],GroupVertices[Vertex],0)),1,1,"")</f>
        <v>2</v>
      </c>
      <c r="S2125" s="34"/>
      <c r="T2125" s="34"/>
      <c r="U2125" s="34"/>
      <c r="V2125" s="34"/>
      <c r="W2125" s="34"/>
      <c r="X2125" s="34"/>
      <c r="Y2125" s="34"/>
      <c r="Z2125" s="34"/>
      <c r="AA2125" s="34"/>
    </row>
    <row r="2126" spans="1:27" ht="15">
      <c r="A2126" s="66" t="s">
        <v>224</v>
      </c>
      <c r="B2126" s="66" t="s">
        <v>252</v>
      </c>
      <c r="C2126" s="67" t="s">
        <v>4454</v>
      </c>
      <c r="D2126" s="68">
        <v>5</v>
      </c>
      <c r="E2126" s="69"/>
      <c r="F2126" s="70">
        <v>20</v>
      </c>
      <c r="G2126" s="67"/>
      <c r="H2126" s="71"/>
      <c r="I2126" s="72"/>
      <c r="J2126" s="72"/>
      <c r="K2126" s="34" t="s">
        <v>65</v>
      </c>
      <c r="L2126" s="79">
        <v>2126</v>
      </c>
      <c r="M2126" s="79"/>
      <c r="N2126" s="74"/>
      <c r="O2126" s="81" t="s">
        <v>944</v>
      </c>
      <c r="P2126">
        <v>1</v>
      </c>
      <c r="Q2126" s="80" t="str">
        <f>REPLACE(INDEX(GroupVertices[Group],MATCH(Edges[[#This Row],[Vertex 1]],GroupVertices[Vertex],0)),1,1,"")</f>
        <v>2</v>
      </c>
      <c r="R2126" s="80" t="str">
        <f>REPLACE(INDEX(GroupVertices[Group],MATCH(Edges[[#This Row],[Vertex 2]],GroupVertices[Vertex],0)),1,1,"")</f>
        <v>1</v>
      </c>
      <c r="S2126" s="34"/>
      <c r="T2126" s="34"/>
      <c r="U2126" s="34"/>
      <c r="V2126" s="34"/>
      <c r="W2126" s="34"/>
      <c r="X2126" s="34"/>
      <c r="Y2126" s="34"/>
      <c r="Z2126" s="34"/>
      <c r="AA2126" s="34"/>
    </row>
    <row r="2127" spans="1:27" ht="15">
      <c r="A2127" s="66" t="s">
        <v>224</v>
      </c>
      <c r="B2127" s="66" t="s">
        <v>226</v>
      </c>
      <c r="C2127" s="67" t="s">
        <v>4454</v>
      </c>
      <c r="D2127" s="68">
        <v>5</v>
      </c>
      <c r="E2127" s="69"/>
      <c r="F2127" s="70">
        <v>20</v>
      </c>
      <c r="G2127" s="67"/>
      <c r="H2127" s="71"/>
      <c r="I2127" s="72"/>
      <c r="J2127" s="72"/>
      <c r="K2127" s="34" t="s">
        <v>65</v>
      </c>
      <c r="L2127" s="79">
        <v>2127</v>
      </c>
      <c r="M2127" s="79"/>
      <c r="N2127" s="74"/>
      <c r="O2127" s="81" t="s">
        <v>944</v>
      </c>
      <c r="P2127">
        <v>1</v>
      </c>
      <c r="Q2127" s="80" t="str">
        <f>REPLACE(INDEX(GroupVertices[Group],MATCH(Edges[[#This Row],[Vertex 1]],GroupVertices[Vertex],0)),1,1,"")</f>
        <v>2</v>
      </c>
      <c r="R2127" s="80" t="str">
        <f>REPLACE(INDEX(GroupVertices[Group],MATCH(Edges[[#This Row],[Vertex 2]],GroupVertices[Vertex],0)),1,1,"")</f>
        <v>4</v>
      </c>
      <c r="S2127" s="34"/>
      <c r="T2127" s="34"/>
      <c r="U2127" s="34"/>
      <c r="V2127" s="34"/>
      <c r="W2127" s="34"/>
      <c r="X2127" s="34"/>
      <c r="Y2127" s="34"/>
      <c r="Z2127" s="34"/>
      <c r="AA2127" s="34"/>
    </row>
    <row r="2128" spans="1:27" ht="15">
      <c r="A2128" s="66" t="s">
        <v>224</v>
      </c>
      <c r="B2128" s="66" t="s">
        <v>261</v>
      </c>
      <c r="C2128" s="67" t="s">
        <v>4454</v>
      </c>
      <c r="D2128" s="68">
        <v>5</v>
      </c>
      <c r="E2128" s="69"/>
      <c r="F2128" s="70">
        <v>20</v>
      </c>
      <c r="G2128" s="67"/>
      <c r="H2128" s="71"/>
      <c r="I2128" s="72"/>
      <c r="J2128" s="72"/>
      <c r="K2128" s="34" t="s">
        <v>65</v>
      </c>
      <c r="L2128" s="79">
        <v>2128</v>
      </c>
      <c r="M2128" s="79"/>
      <c r="N2128" s="74"/>
      <c r="O2128" s="81" t="s">
        <v>944</v>
      </c>
      <c r="P2128">
        <v>1</v>
      </c>
      <c r="Q2128" s="80" t="str">
        <f>REPLACE(INDEX(GroupVertices[Group],MATCH(Edges[[#This Row],[Vertex 1]],GroupVertices[Vertex],0)),1,1,"")</f>
        <v>2</v>
      </c>
      <c r="R2128" s="80" t="str">
        <f>REPLACE(INDEX(GroupVertices[Group],MATCH(Edges[[#This Row],[Vertex 2]],GroupVertices[Vertex],0)),1,1,"")</f>
        <v>1</v>
      </c>
      <c r="S2128" s="34"/>
      <c r="T2128" s="34"/>
      <c r="U2128" s="34"/>
      <c r="V2128" s="34"/>
      <c r="W2128" s="34"/>
      <c r="X2128" s="34"/>
      <c r="Y2128" s="34"/>
      <c r="Z2128" s="34"/>
      <c r="AA2128" s="34"/>
    </row>
    <row r="2129" spans="1:27" ht="15">
      <c r="A2129" s="66" t="s">
        <v>224</v>
      </c>
      <c r="B2129" s="66" t="s">
        <v>217</v>
      </c>
      <c r="C2129" s="67" t="s">
        <v>4454</v>
      </c>
      <c r="D2129" s="68">
        <v>5</v>
      </c>
      <c r="E2129" s="69"/>
      <c r="F2129" s="70">
        <v>20</v>
      </c>
      <c r="G2129" s="67"/>
      <c r="H2129" s="71"/>
      <c r="I2129" s="72"/>
      <c r="J2129" s="72"/>
      <c r="K2129" s="34" t="s">
        <v>65</v>
      </c>
      <c r="L2129" s="79">
        <v>2129</v>
      </c>
      <c r="M2129" s="79"/>
      <c r="N2129" s="74"/>
      <c r="O2129" s="81" t="s">
        <v>944</v>
      </c>
      <c r="P2129">
        <v>1</v>
      </c>
      <c r="Q2129" s="80" t="str">
        <f>REPLACE(INDEX(GroupVertices[Group],MATCH(Edges[[#This Row],[Vertex 1]],GroupVertices[Vertex],0)),1,1,"")</f>
        <v>2</v>
      </c>
      <c r="R2129" s="80" t="str">
        <f>REPLACE(INDEX(GroupVertices[Group],MATCH(Edges[[#This Row],[Vertex 2]],GroupVertices[Vertex],0)),1,1,"")</f>
        <v>4</v>
      </c>
      <c r="S2129" s="34"/>
      <c r="T2129" s="34"/>
      <c r="U2129" s="34"/>
      <c r="V2129" s="34"/>
      <c r="W2129" s="34"/>
      <c r="X2129" s="34"/>
      <c r="Y2129" s="34"/>
      <c r="Z2129" s="34"/>
      <c r="AA2129" s="34"/>
    </row>
    <row r="2130" spans="1:27" ht="15">
      <c r="A2130" s="66" t="s">
        <v>224</v>
      </c>
      <c r="B2130" s="66" t="s">
        <v>249</v>
      </c>
      <c r="C2130" s="67" t="s">
        <v>4454</v>
      </c>
      <c r="D2130" s="68">
        <v>5</v>
      </c>
      <c r="E2130" s="69"/>
      <c r="F2130" s="70">
        <v>20</v>
      </c>
      <c r="G2130" s="67"/>
      <c r="H2130" s="71"/>
      <c r="I2130" s="72"/>
      <c r="J2130" s="72"/>
      <c r="K2130" s="34" t="s">
        <v>66</v>
      </c>
      <c r="L2130" s="79">
        <v>2130</v>
      </c>
      <c r="M2130" s="79"/>
      <c r="N2130" s="74"/>
      <c r="O2130" s="81" t="s">
        <v>944</v>
      </c>
      <c r="P2130">
        <v>1</v>
      </c>
      <c r="Q2130" s="80" t="str">
        <f>REPLACE(INDEX(GroupVertices[Group],MATCH(Edges[[#This Row],[Vertex 1]],GroupVertices[Vertex],0)),1,1,"")</f>
        <v>2</v>
      </c>
      <c r="R2130" s="80" t="str">
        <f>REPLACE(INDEX(GroupVertices[Group],MATCH(Edges[[#This Row],[Vertex 2]],GroupVertices[Vertex],0)),1,1,"")</f>
        <v>2</v>
      </c>
      <c r="S2130" s="34"/>
      <c r="T2130" s="34"/>
      <c r="U2130" s="34"/>
      <c r="V2130" s="34"/>
      <c r="W2130" s="34"/>
      <c r="X2130" s="34"/>
      <c r="Y2130" s="34"/>
      <c r="Z2130" s="34"/>
      <c r="AA2130" s="34"/>
    </row>
    <row r="2131" spans="1:27" ht="15">
      <c r="A2131" s="66" t="s">
        <v>224</v>
      </c>
      <c r="B2131" s="66" t="s">
        <v>259</v>
      </c>
      <c r="C2131" s="67" t="s">
        <v>4454</v>
      </c>
      <c r="D2131" s="68">
        <v>5</v>
      </c>
      <c r="E2131" s="69"/>
      <c r="F2131" s="70">
        <v>20</v>
      </c>
      <c r="G2131" s="67"/>
      <c r="H2131" s="71"/>
      <c r="I2131" s="72"/>
      <c r="J2131" s="72"/>
      <c r="K2131" s="34" t="s">
        <v>66</v>
      </c>
      <c r="L2131" s="79">
        <v>2131</v>
      </c>
      <c r="M2131" s="79"/>
      <c r="N2131" s="74"/>
      <c r="O2131" s="81" t="s">
        <v>944</v>
      </c>
      <c r="P2131">
        <v>1</v>
      </c>
      <c r="Q2131" s="80" t="str">
        <f>REPLACE(INDEX(GroupVertices[Group],MATCH(Edges[[#This Row],[Vertex 1]],GroupVertices[Vertex],0)),1,1,"")</f>
        <v>2</v>
      </c>
      <c r="R2131" s="80" t="str">
        <f>REPLACE(INDEX(GroupVertices[Group],MATCH(Edges[[#This Row],[Vertex 2]],GroupVertices[Vertex],0)),1,1,"")</f>
        <v>2</v>
      </c>
      <c r="S2131" s="34"/>
      <c r="T2131" s="34"/>
      <c r="U2131" s="34"/>
      <c r="V2131" s="34"/>
      <c r="W2131" s="34"/>
      <c r="X2131" s="34"/>
      <c r="Y2131" s="34"/>
      <c r="Z2131" s="34"/>
      <c r="AA2131" s="34"/>
    </row>
    <row r="2132" spans="1:27" ht="15">
      <c r="A2132" s="66" t="s">
        <v>224</v>
      </c>
      <c r="B2132" s="66" t="s">
        <v>260</v>
      </c>
      <c r="C2132" s="67" t="s">
        <v>4454</v>
      </c>
      <c r="D2132" s="68">
        <v>5</v>
      </c>
      <c r="E2132" s="69"/>
      <c r="F2132" s="70">
        <v>20</v>
      </c>
      <c r="G2132" s="67"/>
      <c r="H2132" s="71"/>
      <c r="I2132" s="72"/>
      <c r="J2132" s="72"/>
      <c r="K2132" s="34" t="s">
        <v>66</v>
      </c>
      <c r="L2132" s="79">
        <v>2132</v>
      </c>
      <c r="M2132" s="79"/>
      <c r="N2132" s="74"/>
      <c r="O2132" s="81" t="s">
        <v>944</v>
      </c>
      <c r="P2132">
        <v>1</v>
      </c>
      <c r="Q2132" s="80" t="str">
        <f>REPLACE(INDEX(GroupVertices[Group],MATCH(Edges[[#This Row],[Vertex 1]],GroupVertices[Vertex],0)),1,1,"")</f>
        <v>2</v>
      </c>
      <c r="R2132" s="80" t="str">
        <f>REPLACE(INDEX(GroupVertices[Group],MATCH(Edges[[#This Row],[Vertex 2]],GroupVertices[Vertex],0)),1,1,"")</f>
        <v>2</v>
      </c>
      <c r="S2132" s="34"/>
      <c r="T2132" s="34"/>
      <c r="U2132" s="34"/>
      <c r="V2132" s="34"/>
      <c r="W2132" s="34"/>
      <c r="X2132" s="34"/>
      <c r="Y2132" s="34"/>
      <c r="Z2132" s="34"/>
      <c r="AA2132" s="34"/>
    </row>
    <row r="2133" spans="1:27" ht="15">
      <c r="A2133" s="66" t="s">
        <v>224</v>
      </c>
      <c r="B2133" s="66" t="s">
        <v>238</v>
      </c>
      <c r="C2133" s="67" t="s">
        <v>4454</v>
      </c>
      <c r="D2133" s="68">
        <v>5</v>
      </c>
      <c r="E2133" s="69"/>
      <c r="F2133" s="70">
        <v>20</v>
      </c>
      <c r="G2133" s="67"/>
      <c r="H2133" s="71"/>
      <c r="I2133" s="72"/>
      <c r="J2133" s="72"/>
      <c r="K2133" s="34" t="s">
        <v>66</v>
      </c>
      <c r="L2133" s="79">
        <v>2133</v>
      </c>
      <c r="M2133" s="79"/>
      <c r="N2133" s="74"/>
      <c r="O2133" s="81" t="s">
        <v>944</v>
      </c>
      <c r="P2133">
        <v>1</v>
      </c>
      <c r="Q2133" s="80" t="str">
        <f>REPLACE(INDEX(GroupVertices[Group],MATCH(Edges[[#This Row],[Vertex 1]],GroupVertices[Vertex],0)),1,1,"")</f>
        <v>2</v>
      </c>
      <c r="R2133" s="80" t="str">
        <f>REPLACE(INDEX(GroupVertices[Group],MATCH(Edges[[#This Row],[Vertex 2]],GroupVertices[Vertex],0)),1,1,"")</f>
        <v>2</v>
      </c>
      <c r="S2133" s="34"/>
      <c r="T2133" s="34"/>
      <c r="U2133" s="34"/>
      <c r="V2133" s="34"/>
      <c r="W2133" s="34"/>
      <c r="X2133" s="34"/>
      <c r="Y2133" s="34"/>
      <c r="Z2133" s="34"/>
      <c r="AA2133" s="34"/>
    </row>
    <row r="2134" spans="1:27" ht="15">
      <c r="A2134" s="66" t="s">
        <v>224</v>
      </c>
      <c r="B2134" s="66" t="s">
        <v>233</v>
      </c>
      <c r="C2134" s="67" t="s">
        <v>4454</v>
      </c>
      <c r="D2134" s="68">
        <v>5</v>
      </c>
      <c r="E2134" s="69"/>
      <c r="F2134" s="70">
        <v>20</v>
      </c>
      <c r="G2134" s="67"/>
      <c r="H2134" s="71"/>
      <c r="I2134" s="72"/>
      <c r="J2134" s="72"/>
      <c r="K2134" s="34" t="s">
        <v>66</v>
      </c>
      <c r="L2134" s="79">
        <v>2134</v>
      </c>
      <c r="M2134" s="79"/>
      <c r="N2134" s="74"/>
      <c r="O2134" s="81" t="s">
        <v>944</v>
      </c>
      <c r="P2134">
        <v>1</v>
      </c>
      <c r="Q2134" s="80" t="str">
        <f>REPLACE(INDEX(GroupVertices[Group],MATCH(Edges[[#This Row],[Vertex 1]],GroupVertices[Vertex],0)),1,1,"")</f>
        <v>2</v>
      </c>
      <c r="R2134" s="80" t="str">
        <f>REPLACE(INDEX(GroupVertices[Group],MATCH(Edges[[#This Row],[Vertex 2]],GroupVertices[Vertex],0)),1,1,"")</f>
        <v>2</v>
      </c>
      <c r="S2134" s="34"/>
      <c r="T2134" s="34"/>
      <c r="U2134" s="34"/>
      <c r="V2134" s="34"/>
      <c r="W2134" s="34"/>
      <c r="X2134" s="34"/>
      <c r="Y2134" s="34"/>
      <c r="Z2134" s="34"/>
      <c r="AA2134" s="34"/>
    </row>
    <row r="2135" spans="1:27" ht="15">
      <c r="A2135" s="66" t="s">
        <v>224</v>
      </c>
      <c r="B2135" s="66" t="s">
        <v>675</v>
      </c>
      <c r="C2135" s="67" t="s">
        <v>4454</v>
      </c>
      <c r="D2135" s="68">
        <v>5</v>
      </c>
      <c r="E2135" s="69"/>
      <c r="F2135" s="70">
        <v>20</v>
      </c>
      <c r="G2135" s="67"/>
      <c r="H2135" s="71"/>
      <c r="I2135" s="72"/>
      <c r="J2135" s="72"/>
      <c r="K2135" s="34" t="s">
        <v>65</v>
      </c>
      <c r="L2135" s="79">
        <v>2135</v>
      </c>
      <c r="M2135" s="79"/>
      <c r="N2135" s="74"/>
      <c r="O2135" s="81" t="s">
        <v>944</v>
      </c>
      <c r="P2135">
        <v>1</v>
      </c>
      <c r="Q2135" s="80" t="str">
        <f>REPLACE(INDEX(GroupVertices[Group],MATCH(Edges[[#This Row],[Vertex 1]],GroupVertices[Vertex],0)),1,1,"")</f>
        <v>2</v>
      </c>
      <c r="R2135" s="80" t="str">
        <f>REPLACE(INDEX(GroupVertices[Group],MATCH(Edges[[#This Row],[Vertex 2]],GroupVertices[Vertex],0)),1,1,"")</f>
        <v>2</v>
      </c>
      <c r="S2135" s="34"/>
      <c r="T2135" s="34"/>
      <c r="U2135" s="34"/>
      <c r="V2135" s="34"/>
      <c r="W2135" s="34"/>
      <c r="X2135" s="34"/>
      <c r="Y2135" s="34"/>
      <c r="Z2135" s="34"/>
      <c r="AA2135" s="34"/>
    </row>
    <row r="2136" spans="1:27" ht="15">
      <c r="A2136" s="66" t="s">
        <v>224</v>
      </c>
      <c r="B2136" s="66" t="s">
        <v>253</v>
      </c>
      <c r="C2136" s="67" t="s">
        <v>4454</v>
      </c>
      <c r="D2136" s="68">
        <v>5</v>
      </c>
      <c r="E2136" s="69"/>
      <c r="F2136" s="70">
        <v>20</v>
      </c>
      <c r="G2136" s="67"/>
      <c r="H2136" s="71"/>
      <c r="I2136" s="72"/>
      <c r="J2136" s="72"/>
      <c r="K2136" s="34" t="s">
        <v>65</v>
      </c>
      <c r="L2136" s="79">
        <v>2136</v>
      </c>
      <c r="M2136" s="79"/>
      <c r="N2136" s="74"/>
      <c r="O2136" s="81" t="s">
        <v>944</v>
      </c>
      <c r="P2136">
        <v>1</v>
      </c>
      <c r="Q2136" s="80" t="str">
        <f>REPLACE(INDEX(GroupVertices[Group],MATCH(Edges[[#This Row],[Vertex 1]],GroupVertices[Vertex],0)),1,1,"")</f>
        <v>2</v>
      </c>
      <c r="R2136" s="80" t="str">
        <f>REPLACE(INDEX(GroupVertices[Group],MATCH(Edges[[#This Row],[Vertex 2]],GroupVertices[Vertex],0)),1,1,"")</f>
        <v>1</v>
      </c>
      <c r="S2136" s="34"/>
      <c r="T2136" s="34"/>
      <c r="U2136" s="34"/>
      <c r="V2136" s="34"/>
      <c r="W2136" s="34"/>
      <c r="X2136" s="34"/>
      <c r="Y2136" s="34"/>
      <c r="Z2136" s="34"/>
      <c r="AA2136" s="34"/>
    </row>
    <row r="2137" spans="1:27" ht="15">
      <c r="A2137" s="66" t="s">
        <v>224</v>
      </c>
      <c r="B2137" s="66" t="s">
        <v>220</v>
      </c>
      <c r="C2137" s="67" t="s">
        <v>4454</v>
      </c>
      <c r="D2137" s="68">
        <v>5</v>
      </c>
      <c r="E2137" s="69"/>
      <c r="F2137" s="70">
        <v>20</v>
      </c>
      <c r="G2137" s="67"/>
      <c r="H2137" s="71"/>
      <c r="I2137" s="72"/>
      <c r="J2137" s="72"/>
      <c r="K2137" s="34" t="s">
        <v>66</v>
      </c>
      <c r="L2137" s="79">
        <v>2137</v>
      </c>
      <c r="M2137" s="79"/>
      <c r="N2137" s="74"/>
      <c r="O2137" s="81" t="s">
        <v>944</v>
      </c>
      <c r="P2137">
        <v>1</v>
      </c>
      <c r="Q2137" s="80" t="str">
        <f>REPLACE(INDEX(GroupVertices[Group],MATCH(Edges[[#This Row],[Vertex 1]],GroupVertices[Vertex],0)),1,1,"")</f>
        <v>2</v>
      </c>
      <c r="R2137" s="80" t="str">
        <f>REPLACE(INDEX(GroupVertices[Group],MATCH(Edges[[#This Row],[Vertex 2]],GroupVertices[Vertex],0)),1,1,"")</f>
        <v>2</v>
      </c>
      <c r="S2137" s="34"/>
      <c r="T2137" s="34"/>
      <c r="U2137" s="34"/>
      <c r="V2137" s="34"/>
      <c r="W2137" s="34"/>
      <c r="X2137" s="34"/>
      <c r="Y2137" s="34"/>
      <c r="Z2137" s="34"/>
      <c r="AA2137" s="34"/>
    </row>
    <row r="2138" spans="1:27" ht="15">
      <c r="A2138" s="66" t="s">
        <v>224</v>
      </c>
      <c r="B2138" s="66" t="s">
        <v>250</v>
      </c>
      <c r="C2138" s="67" t="s">
        <v>4454</v>
      </c>
      <c r="D2138" s="68">
        <v>5</v>
      </c>
      <c r="E2138" s="69"/>
      <c r="F2138" s="70">
        <v>20</v>
      </c>
      <c r="G2138" s="67"/>
      <c r="H2138" s="71"/>
      <c r="I2138" s="72"/>
      <c r="J2138" s="72"/>
      <c r="K2138" s="34" t="s">
        <v>66</v>
      </c>
      <c r="L2138" s="79">
        <v>2138</v>
      </c>
      <c r="M2138" s="79"/>
      <c r="N2138" s="74"/>
      <c r="O2138" s="81" t="s">
        <v>944</v>
      </c>
      <c r="P2138">
        <v>1</v>
      </c>
      <c r="Q2138" s="80" t="str">
        <f>REPLACE(INDEX(GroupVertices[Group],MATCH(Edges[[#This Row],[Vertex 1]],GroupVertices[Vertex],0)),1,1,"")</f>
        <v>2</v>
      </c>
      <c r="R2138" s="80" t="str">
        <f>REPLACE(INDEX(GroupVertices[Group],MATCH(Edges[[#This Row],[Vertex 2]],GroupVertices[Vertex],0)),1,1,"")</f>
        <v>2</v>
      </c>
      <c r="S2138" s="34"/>
      <c r="T2138" s="34"/>
      <c r="U2138" s="34"/>
      <c r="V2138" s="34"/>
      <c r="W2138" s="34"/>
      <c r="X2138" s="34"/>
      <c r="Y2138" s="34"/>
      <c r="Z2138" s="34"/>
      <c r="AA2138" s="34"/>
    </row>
    <row r="2139" spans="1:27" ht="15">
      <c r="A2139" s="66" t="s">
        <v>233</v>
      </c>
      <c r="B2139" s="66" t="s">
        <v>224</v>
      </c>
      <c r="C2139" s="67" t="s">
        <v>4454</v>
      </c>
      <c r="D2139" s="68">
        <v>5</v>
      </c>
      <c r="E2139" s="69"/>
      <c r="F2139" s="70">
        <v>20</v>
      </c>
      <c r="G2139" s="67"/>
      <c r="H2139" s="71"/>
      <c r="I2139" s="72"/>
      <c r="J2139" s="72"/>
      <c r="K2139" s="34" t="s">
        <v>66</v>
      </c>
      <c r="L2139" s="79">
        <v>2139</v>
      </c>
      <c r="M2139" s="79"/>
      <c r="N2139" s="74"/>
      <c r="O2139" s="81" t="s">
        <v>944</v>
      </c>
      <c r="P2139">
        <v>1</v>
      </c>
      <c r="Q2139" s="80" t="str">
        <f>REPLACE(INDEX(GroupVertices[Group],MATCH(Edges[[#This Row],[Vertex 1]],GroupVertices[Vertex],0)),1,1,"")</f>
        <v>2</v>
      </c>
      <c r="R2139" s="80" t="str">
        <f>REPLACE(INDEX(GroupVertices[Group],MATCH(Edges[[#This Row],[Vertex 2]],GroupVertices[Vertex],0)),1,1,"")</f>
        <v>2</v>
      </c>
      <c r="S2139" s="34"/>
      <c r="T2139" s="34"/>
      <c r="U2139" s="34"/>
      <c r="V2139" s="34"/>
      <c r="W2139" s="34"/>
      <c r="X2139" s="34"/>
      <c r="Y2139" s="34"/>
      <c r="Z2139" s="34"/>
      <c r="AA2139" s="34"/>
    </row>
    <row r="2140" spans="1:27" ht="15">
      <c r="A2140" s="66" t="s">
        <v>238</v>
      </c>
      <c r="B2140" s="66" t="s">
        <v>224</v>
      </c>
      <c r="C2140" s="67" t="s">
        <v>4454</v>
      </c>
      <c r="D2140" s="68">
        <v>5</v>
      </c>
      <c r="E2140" s="69"/>
      <c r="F2140" s="70">
        <v>20</v>
      </c>
      <c r="G2140" s="67"/>
      <c r="H2140" s="71"/>
      <c r="I2140" s="72"/>
      <c r="J2140" s="72"/>
      <c r="K2140" s="34" t="s">
        <v>66</v>
      </c>
      <c r="L2140" s="79">
        <v>2140</v>
      </c>
      <c r="M2140" s="79"/>
      <c r="N2140" s="74"/>
      <c r="O2140" s="81" t="s">
        <v>944</v>
      </c>
      <c r="P2140">
        <v>1</v>
      </c>
      <c r="Q2140" s="80" t="str">
        <f>REPLACE(INDEX(GroupVertices[Group],MATCH(Edges[[#This Row],[Vertex 1]],GroupVertices[Vertex],0)),1,1,"")</f>
        <v>2</v>
      </c>
      <c r="R2140" s="80" t="str">
        <f>REPLACE(INDEX(GroupVertices[Group],MATCH(Edges[[#This Row],[Vertex 2]],GroupVertices[Vertex],0)),1,1,"")</f>
        <v>2</v>
      </c>
      <c r="S2140" s="34"/>
      <c r="T2140" s="34"/>
      <c r="U2140" s="34"/>
      <c r="V2140" s="34"/>
      <c r="W2140" s="34"/>
      <c r="X2140" s="34"/>
      <c r="Y2140" s="34"/>
      <c r="Z2140" s="34"/>
      <c r="AA2140" s="34"/>
    </row>
    <row r="2141" spans="1:27" ht="15">
      <c r="A2141" s="66" t="s">
        <v>249</v>
      </c>
      <c r="B2141" s="66" t="s">
        <v>224</v>
      </c>
      <c r="C2141" s="67" t="s">
        <v>4454</v>
      </c>
      <c r="D2141" s="68">
        <v>5</v>
      </c>
      <c r="E2141" s="69"/>
      <c r="F2141" s="70">
        <v>20</v>
      </c>
      <c r="G2141" s="67"/>
      <c r="H2141" s="71"/>
      <c r="I2141" s="72"/>
      <c r="J2141" s="72"/>
      <c r="K2141" s="34" t="s">
        <v>66</v>
      </c>
      <c r="L2141" s="79">
        <v>2141</v>
      </c>
      <c r="M2141" s="79"/>
      <c r="N2141" s="74"/>
      <c r="O2141" s="81" t="s">
        <v>944</v>
      </c>
      <c r="P2141">
        <v>1</v>
      </c>
      <c r="Q2141" s="80" t="str">
        <f>REPLACE(INDEX(GroupVertices[Group],MATCH(Edges[[#This Row],[Vertex 1]],GroupVertices[Vertex],0)),1,1,"")</f>
        <v>2</v>
      </c>
      <c r="R2141" s="80" t="str">
        <f>REPLACE(INDEX(GroupVertices[Group],MATCH(Edges[[#This Row],[Vertex 2]],GroupVertices[Vertex],0)),1,1,"")</f>
        <v>2</v>
      </c>
      <c r="S2141" s="34"/>
      <c r="T2141" s="34"/>
      <c r="U2141" s="34"/>
      <c r="V2141" s="34"/>
      <c r="W2141" s="34"/>
      <c r="X2141" s="34"/>
      <c r="Y2141" s="34"/>
      <c r="Z2141" s="34"/>
      <c r="AA2141" s="34"/>
    </row>
    <row r="2142" spans="1:27" ht="15">
      <c r="A2142" s="66" t="s">
        <v>250</v>
      </c>
      <c r="B2142" s="66" t="s">
        <v>224</v>
      </c>
      <c r="C2142" s="67" t="s">
        <v>4454</v>
      </c>
      <c r="D2142" s="68">
        <v>5</v>
      </c>
      <c r="E2142" s="69"/>
      <c r="F2142" s="70">
        <v>20</v>
      </c>
      <c r="G2142" s="67"/>
      <c r="H2142" s="71"/>
      <c r="I2142" s="72"/>
      <c r="J2142" s="72"/>
      <c r="K2142" s="34" t="s">
        <v>66</v>
      </c>
      <c r="L2142" s="79">
        <v>2142</v>
      </c>
      <c r="M2142" s="79"/>
      <c r="N2142" s="74"/>
      <c r="O2142" s="81" t="s">
        <v>944</v>
      </c>
      <c r="P2142">
        <v>1</v>
      </c>
      <c r="Q2142" s="80" t="str">
        <f>REPLACE(INDEX(GroupVertices[Group],MATCH(Edges[[#This Row],[Vertex 1]],GroupVertices[Vertex],0)),1,1,"")</f>
        <v>2</v>
      </c>
      <c r="R2142" s="80" t="str">
        <f>REPLACE(INDEX(GroupVertices[Group],MATCH(Edges[[#This Row],[Vertex 2]],GroupVertices[Vertex],0)),1,1,"")</f>
        <v>2</v>
      </c>
      <c r="S2142" s="34"/>
      <c r="T2142" s="34"/>
      <c r="U2142" s="34"/>
      <c r="V2142" s="34"/>
      <c r="W2142" s="34"/>
      <c r="X2142" s="34"/>
      <c r="Y2142" s="34"/>
      <c r="Z2142" s="34"/>
      <c r="AA2142" s="34"/>
    </row>
    <row r="2143" spans="1:27" ht="15">
      <c r="A2143" s="66" t="s">
        <v>256</v>
      </c>
      <c r="B2143" s="66" t="s">
        <v>224</v>
      </c>
      <c r="C2143" s="67" t="s">
        <v>4454</v>
      </c>
      <c r="D2143" s="68">
        <v>5</v>
      </c>
      <c r="E2143" s="69"/>
      <c r="F2143" s="70">
        <v>20</v>
      </c>
      <c r="G2143" s="67"/>
      <c r="H2143" s="71"/>
      <c r="I2143" s="72"/>
      <c r="J2143" s="72"/>
      <c r="K2143" s="34" t="s">
        <v>65</v>
      </c>
      <c r="L2143" s="79">
        <v>2143</v>
      </c>
      <c r="M2143" s="79"/>
      <c r="N2143" s="74"/>
      <c r="O2143" s="81" t="s">
        <v>944</v>
      </c>
      <c r="P2143">
        <v>1</v>
      </c>
      <c r="Q2143" s="80" t="str">
        <f>REPLACE(INDEX(GroupVertices[Group],MATCH(Edges[[#This Row],[Vertex 1]],GroupVertices[Vertex],0)),1,1,"")</f>
        <v>1</v>
      </c>
      <c r="R2143" s="80" t="str">
        <f>REPLACE(INDEX(GroupVertices[Group],MATCH(Edges[[#This Row],[Vertex 2]],GroupVertices[Vertex],0)),1,1,"")</f>
        <v>2</v>
      </c>
      <c r="S2143" s="34"/>
      <c r="T2143" s="34"/>
      <c r="U2143" s="34"/>
      <c r="V2143" s="34"/>
      <c r="W2143" s="34"/>
      <c r="X2143" s="34"/>
      <c r="Y2143" s="34"/>
      <c r="Z2143" s="34"/>
      <c r="AA2143" s="34"/>
    </row>
    <row r="2144" spans="1:27" ht="15">
      <c r="A2144" s="66" t="s">
        <v>259</v>
      </c>
      <c r="B2144" s="66" t="s">
        <v>224</v>
      </c>
      <c r="C2144" s="67" t="s">
        <v>4454</v>
      </c>
      <c r="D2144" s="68">
        <v>5</v>
      </c>
      <c r="E2144" s="69"/>
      <c r="F2144" s="70">
        <v>20</v>
      </c>
      <c r="G2144" s="67"/>
      <c r="H2144" s="71"/>
      <c r="I2144" s="72"/>
      <c r="J2144" s="72"/>
      <c r="K2144" s="34" t="s">
        <v>66</v>
      </c>
      <c r="L2144" s="79">
        <v>2144</v>
      </c>
      <c r="M2144" s="79"/>
      <c r="N2144" s="74"/>
      <c r="O2144" s="81" t="s">
        <v>944</v>
      </c>
      <c r="P2144">
        <v>1</v>
      </c>
      <c r="Q2144" s="80" t="str">
        <f>REPLACE(INDEX(GroupVertices[Group],MATCH(Edges[[#This Row],[Vertex 1]],GroupVertices[Vertex],0)),1,1,"")</f>
        <v>2</v>
      </c>
      <c r="R2144" s="80" t="str">
        <f>REPLACE(INDEX(GroupVertices[Group],MATCH(Edges[[#This Row],[Vertex 2]],GroupVertices[Vertex],0)),1,1,"")</f>
        <v>2</v>
      </c>
      <c r="S2144" s="34"/>
      <c r="T2144" s="34"/>
      <c r="U2144" s="34"/>
      <c r="V2144" s="34"/>
      <c r="W2144" s="34"/>
      <c r="X2144" s="34"/>
      <c r="Y2144" s="34"/>
      <c r="Z2144" s="34"/>
      <c r="AA2144" s="34"/>
    </row>
    <row r="2145" spans="1:27" ht="15">
      <c r="A2145" s="66" t="s">
        <v>260</v>
      </c>
      <c r="B2145" s="66" t="s">
        <v>224</v>
      </c>
      <c r="C2145" s="67" t="s">
        <v>4454</v>
      </c>
      <c r="D2145" s="68">
        <v>5</v>
      </c>
      <c r="E2145" s="69"/>
      <c r="F2145" s="70">
        <v>20</v>
      </c>
      <c r="G2145" s="67"/>
      <c r="H2145" s="71"/>
      <c r="I2145" s="72"/>
      <c r="J2145" s="72"/>
      <c r="K2145" s="34" t="s">
        <v>66</v>
      </c>
      <c r="L2145" s="79">
        <v>2145</v>
      </c>
      <c r="M2145" s="79"/>
      <c r="N2145" s="74"/>
      <c r="O2145" s="81" t="s">
        <v>944</v>
      </c>
      <c r="P2145">
        <v>1</v>
      </c>
      <c r="Q2145" s="80" t="str">
        <f>REPLACE(INDEX(GroupVertices[Group],MATCH(Edges[[#This Row],[Vertex 1]],GroupVertices[Vertex],0)),1,1,"")</f>
        <v>2</v>
      </c>
      <c r="R2145" s="80" t="str">
        <f>REPLACE(INDEX(GroupVertices[Group],MATCH(Edges[[#This Row],[Vertex 2]],GroupVertices[Vertex],0)),1,1,"")</f>
        <v>2</v>
      </c>
      <c r="S2145" s="34"/>
      <c r="T2145" s="34"/>
      <c r="U2145" s="34"/>
      <c r="V2145" s="34"/>
      <c r="W2145" s="34"/>
      <c r="X2145" s="34"/>
      <c r="Y2145" s="34"/>
      <c r="Z2145" s="34"/>
      <c r="AA2145" s="34"/>
    </row>
    <row r="2146" spans="1:27" ht="15">
      <c r="A2146" s="66" t="s">
        <v>233</v>
      </c>
      <c r="B2146" s="66" t="s">
        <v>248</v>
      </c>
      <c r="C2146" s="67" t="s">
        <v>4454</v>
      </c>
      <c r="D2146" s="68">
        <v>5</v>
      </c>
      <c r="E2146" s="69"/>
      <c r="F2146" s="70">
        <v>20</v>
      </c>
      <c r="G2146" s="67"/>
      <c r="H2146" s="71"/>
      <c r="I2146" s="72"/>
      <c r="J2146" s="72"/>
      <c r="K2146" s="34" t="s">
        <v>65</v>
      </c>
      <c r="L2146" s="79">
        <v>2146</v>
      </c>
      <c r="M2146" s="79"/>
      <c r="N2146" s="74"/>
      <c r="O2146" s="81" t="s">
        <v>944</v>
      </c>
      <c r="P2146">
        <v>1</v>
      </c>
      <c r="Q2146" s="80" t="str">
        <f>REPLACE(INDEX(GroupVertices[Group],MATCH(Edges[[#This Row],[Vertex 1]],GroupVertices[Vertex],0)),1,1,"")</f>
        <v>2</v>
      </c>
      <c r="R2146" s="80" t="str">
        <f>REPLACE(INDEX(GroupVertices[Group],MATCH(Edges[[#This Row],[Vertex 2]],GroupVertices[Vertex],0)),1,1,"")</f>
        <v>1</v>
      </c>
      <c r="S2146" s="34"/>
      <c r="T2146" s="34"/>
      <c r="U2146" s="34"/>
      <c r="V2146" s="34"/>
      <c r="W2146" s="34"/>
      <c r="X2146" s="34"/>
      <c r="Y2146" s="34"/>
      <c r="Z2146" s="34"/>
      <c r="AA2146" s="34"/>
    </row>
    <row r="2147" spans="1:27" ht="15">
      <c r="A2147" s="66" t="s">
        <v>233</v>
      </c>
      <c r="B2147" s="66" t="s">
        <v>226</v>
      </c>
      <c r="C2147" s="67" t="s">
        <v>4454</v>
      </c>
      <c r="D2147" s="68">
        <v>5</v>
      </c>
      <c r="E2147" s="69"/>
      <c r="F2147" s="70">
        <v>20</v>
      </c>
      <c r="G2147" s="67"/>
      <c r="H2147" s="71"/>
      <c r="I2147" s="72"/>
      <c r="J2147" s="72"/>
      <c r="K2147" s="34" t="s">
        <v>65</v>
      </c>
      <c r="L2147" s="79">
        <v>2147</v>
      </c>
      <c r="M2147" s="79"/>
      <c r="N2147" s="74"/>
      <c r="O2147" s="81" t="s">
        <v>944</v>
      </c>
      <c r="P2147">
        <v>1</v>
      </c>
      <c r="Q2147" s="80" t="str">
        <f>REPLACE(INDEX(GroupVertices[Group],MATCH(Edges[[#This Row],[Vertex 1]],GroupVertices[Vertex],0)),1,1,"")</f>
        <v>2</v>
      </c>
      <c r="R2147" s="80" t="str">
        <f>REPLACE(INDEX(GroupVertices[Group],MATCH(Edges[[#This Row],[Vertex 2]],GroupVertices[Vertex],0)),1,1,"")</f>
        <v>4</v>
      </c>
      <c r="S2147" s="34"/>
      <c r="T2147" s="34"/>
      <c r="U2147" s="34"/>
      <c r="V2147" s="34"/>
      <c r="W2147" s="34"/>
      <c r="X2147" s="34"/>
      <c r="Y2147" s="34"/>
      <c r="Z2147" s="34"/>
      <c r="AA2147" s="34"/>
    </row>
    <row r="2148" spans="1:27" ht="15">
      <c r="A2148" s="66" t="s">
        <v>233</v>
      </c>
      <c r="B2148" s="66" t="s">
        <v>256</v>
      </c>
      <c r="C2148" s="67" t="s">
        <v>4454</v>
      </c>
      <c r="D2148" s="68">
        <v>5</v>
      </c>
      <c r="E2148" s="69"/>
      <c r="F2148" s="70">
        <v>20</v>
      </c>
      <c r="G2148" s="67"/>
      <c r="H2148" s="71"/>
      <c r="I2148" s="72"/>
      <c r="J2148" s="72"/>
      <c r="K2148" s="34" t="s">
        <v>65</v>
      </c>
      <c r="L2148" s="79">
        <v>2148</v>
      </c>
      <c r="M2148" s="79"/>
      <c r="N2148" s="74"/>
      <c r="O2148" s="81" t="s">
        <v>944</v>
      </c>
      <c r="P2148">
        <v>1</v>
      </c>
      <c r="Q2148" s="80" t="str">
        <f>REPLACE(INDEX(GroupVertices[Group],MATCH(Edges[[#This Row],[Vertex 1]],GroupVertices[Vertex],0)),1,1,"")</f>
        <v>2</v>
      </c>
      <c r="R2148" s="80" t="str">
        <f>REPLACE(INDEX(GroupVertices[Group],MATCH(Edges[[#This Row],[Vertex 2]],GroupVertices[Vertex],0)),1,1,"")</f>
        <v>1</v>
      </c>
      <c r="S2148" s="34"/>
      <c r="T2148" s="34"/>
      <c r="U2148" s="34"/>
      <c r="V2148" s="34"/>
      <c r="W2148" s="34"/>
      <c r="X2148" s="34"/>
      <c r="Y2148" s="34"/>
      <c r="Z2148" s="34"/>
      <c r="AA2148" s="34"/>
    </row>
    <row r="2149" spans="1:27" ht="15">
      <c r="A2149" s="66" t="s">
        <v>233</v>
      </c>
      <c r="B2149" s="66" t="s">
        <v>480</v>
      </c>
      <c r="C2149" s="67" t="s">
        <v>4454</v>
      </c>
      <c r="D2149" s="68">
        <v>5</v>
      </c>
      <c r="E2149" s="69"/>
      <c r="F2149" s="70">
        <v>20</v>
      </c>
      <c r="G2149" s="67"/>
      <c r="H2149" s="71"/>
      <c r="I2149" s="72"/>
      <c r="J2149" s="72"/>
      <c r="K2149" s="34" t="s">
        <v>65</v>
      </c>
      <c r="L2149" s="79">
        <v>2149</v>
      </c>
      <c r="M2149" s="79"/>
      <c r="N2149" s="74"/>
      <c r="O2149" s="81" t="s">
        <v>944</v>
      </c>
      <c r="P2149">
        <v>1</v>
      </c>
      <c r="Q2149" s="80" t="str">
        <f>REPLACE(INDEX(GroupVertices[Group],MATCH(Edges[[#This Row],[Vertex 1]],GroupVertices[Vertex],0)),1,1,"")</f>
        <v>2</v>
      </c>
      <c r="R2149" s="80" t="str">
        <f>REPLACE(INDEX(GroupVertices[Group],MATCH(Edges[[#This Row],[Vertex 2]],GroupVertices[Vertex],0)),1,1,"")</f>
        <v>1</v>
      </c>
      <c r="S2149" s="34"/>
      <c r="T2149" s="34"/>
      <c r="U2149" s="34"/>
      <c r="V2149" s="34"/>
      <c r="W2149" s="34"/>
      <c r="X2149" s="34"/>
      <c r="Y2149" s="34"/>
      <c r="Z2149" s="34"/>
      <c r="AA2149" s="34"/>
    </row>
    <row r="2150" spans="1:27" ht="15">
      <c r="A2150" s="66" t="s">
        <v>233</v>
      </c>
      <c r="B2150" s="66" t="s">
        <v>258</v>
      </c>
      <c r="C2150" s="67" t="s">
        <v>4454</v>
      </c>
      <c r="D2150" s="68">
        <v>5</v>
      </c>
      <c r="E2150" s="69"/>
      <c r="F2150" s="70">
        <v>20</v>
      </c>
      <c r="G2150" s="67"/>
      <c r="H2150" s="71"/>
      <c r="I2150" s="72"/>
      <c r="J2150" s="72"/>
      <c r="K2150" s="34" t="s">
        <v>66</v>
      </c>
      <c r="L2150" s="79">
        <v>2150</v>
      </c>
      <c r="M2150" s="79"/>
      <c r="N2150" s="74"/>
      <c r="O2150" s="81" t="s">
        <v>944</v>
      </c>
      <c r="P2150">
        <v>1</v>
      </c>
      <c r="Q2150" s="80" t="str">
        <f>REPLACE(INDEX(GroupVertices[Group],MATCH(Edges[[#This Row],[Vertex 1]],GroupVertices[Vertex],0)),1,1,"")</f>
        <v>2</v>
      </c>
      <c r="R2150" s="80" t="str">
        <f>REPLACE(INDEX(GroupVertices[Group],MATCH(Edges[[#This Row],[Vertex 2]],GroupVertices[Vertex],0)),1,1,"")</f>
        <v>1</v>
      </c>
      <c r="S2150" s="34"/>
      <c r="T2150" s="34"/>
      <c r="U2150" s="34"/>
      <c r="V2150" s="34"/>
      <c r="W2150" s="34"/>
      <c r="X2150" s="34"/>
      <c r="Y2150" s="34"/>
      <c r="Z2150" s="34"/>
      <c r="AA2150" s="34"/>
    </row>
    <row r="2151" spans="1:27" ht="15">
      <c r="A2151" s="66" t="s">
        <v>233</v>
      </c>
      <c r="B2151" s="66" t="s">
        <v>238</v>
      </c>
      <c r="C2151" s="67" t="s">
        <v>4454</v>
      </c>
      <c r="D2151" s="68">
        <v>5</v>
      </c>
      <c r="E2151" s="69"/>
      <c r="F2151" s="70">
        <v>20</v>
      </c>
      <c r="G2151" s="67"/>
      <c r="H2151" s="71"/>
      <c r="I2151" s="72"/>
      <c r="J2151" s="72"/>
      <c r="K2151" s="34" t="s">
        <v>66</v>
      </c>
      <c r="L2151" s="79">
        <v>2151</v>
      </c>
      <c r="M2151" s="79"/>
      <c r="N2151" s="74"/>
      <c r="O2151" s="81" t="s">
        <v>944</v>
      </c>
      <c r="P2151">
        <v>1</v>
      </c>
      <c r="Q2151" s="80" t="str">
        <f>REPLACE(INDEX(GroupVertices[Group],MATCH(Edges[[#This Row],[Vertex 1]],GroupVertices[Vertex],0)),1,1,"")</f>
        <v>2</v>
      </c>
      <c r="R2151" s="80" t="str">
        <f>REPLACE(INDEX(GroupVertices[Group],MATCH(Edges[[#This Row],[Vertex 2]],GroupVertices[Vertex],0)),1,1,"")</f>
        <v>2</v>
      </c>
      <c r="S2151" s="34"/>
      <c r="T2151" s="34"/>
      <c r="U2151" s="34"/>
      <c r="V2151" s="34"/>
      <c r="W2151" s="34"/>
      <c r="X2151" s="34"/>
      <c r="Y2151" s="34"/>
      <c r="Z2151" s="34"/>
      <c r="AA2151" s="34"/>
    </row>
    <row r="2152" spans="1:27" ht="15">
      <c r="A2152" s="66" t="s">
        <v>233</v>
      </c>
      <c r="B2152" s="66" t="s">
        <v>261</v>
      </c>
      <c r="C2152" s="67" t="s">
        <v>4454</v>
      </c>
      <c r="D2152" s="68">
        <v>5</v>
      </c>
      <c r="E2152" s="69"/>
      <c r="F2152" s="70">
        <v>20</v>
      </c>
      <c r="G2152" s="67"/>
      <c r="H2152" s="71"/>
      <c r="I2152" s="72"/>
      <c r="J2152" s="72"/>
      <c r="K2152" s="34" t="s">
        <v>65</v>
      </c>
      <c r="L2152" s="79">
        <v>2152</v>
      </c>
      <c r="M2152" s="79"/>
      <c r="N2152" s="74"/>
      <c r="O2152" s="81" t="s">
        <v>944</v>
      </c>
      <c r="P2152">
        <v>1</v>
      </c>
      <c r="Q2152" s="80" t="str">
        <f>REPLACE(INDEX(GroupVertices[Group],MATCH(Edges[[#This Row],[Vertex 1]],GroupVertices[Vertex],0)),1,1,"")</f>
        <v>2</v>
      </c>
      <c r="R2152" s="80" t="str">
        <f>REPLACE(INDEX(GroupVertices[Group],MATCH(Edges[[#This Row],[Vertex 2]],GroupVertices[Vertex],0)),1,1,"")</f>
        <v>1</v>
      </c>
      <c r="S2152" s="34"/>
      <c r="T2152" s="34"/>
      <c r="U2152" s="34"/>
      <c r="V2152" s="34"/>
      <c r="W2152" s="34"/>
      <c r="X2152" s="34"/>
      <c r="Y2152" s="34"/>
      <c r="Z2152" s="34"/>
      <c r="AA2152" s="34"/>
    </row>
    <row r="2153" spans="1:27" ht="15">
      <c r="A2153" s="66" t="s">
        <v>233</v>
      </c>
      <c r="B2153" s="66" t="s">
        <v>217</v>
      </c>
      <c r="C2153" s="67" t="s">
        <v>4454</v>
      </c>
      <c r="D2153" s="68">
        <v>5</v>
      </c>
      <c r="E2153" s="69"/>
      <c r="F2153" s="70">
        <v>20</v>
      </c>
      <c r="G2153" s="67"/>
      <c r="H2153" s="71"/>
      <c r="I2153" s="72"/>
      <c r="J2153" s="72"/>
      <c r="K2153" s="34" t="s">
        <v>65</v>
      </c>
      <c r="L2153" s="79">
        <v>2153</v>
      </c>
      <c r="M2153" s="79"/>
      <c r="N2153" s="74"/>
      <c r="O2153" s="81" t="s">
        <v>944</v>
      </c>
      <c r="P2153">
        <v>1</v>
      </c>
      <c r="Q2153" s="80" t="str">
        <f>REPLACE(INDEX(GroupVertices[Group],MATCH(Edges[[#This Row],[Vertex 1]],GroupVertices[Vertex],0)),1,1,"")</f>
        <v>2</v>
      </c>
      <c r="R2153" s="80" t="str">
        <f>REPLACE(INDEX(GroupVertices[Group],MATCH(Edges[[#This Row],[Vertex 2]],GroupVertices[Vertex],0)),1,1,"")</f>
        <v>4</v>
      </c>
      <c r="S2153" s="34"/>
      <c r="T2153" s="34"/>
      <c r="U2153" s="34"/>
      <c r="V2153" s="34"/>
      <c r="W2153" s="34"/>
      <c r="X2153" s="34"/>
      <c r="Y2153" s="34"/>
      <c r="Z2153" s="34"/>
      <c r="AA2153" s="34"/>
    </row>
    <row r="2154" spans="1:27" ht="15">
      <c r="A2154" s="66" t="s">
        <v>233</v>
      </c>
      <c r="B2154" s="66" t="s">
        <v>260</v>
      </c>
      <c r="C2154" s="67" t="s">
        <v>4454</v>
      </c>
      <c r="D2154" s="68">
        <v>5</v>
      </c>
      <c r="E2154" s="69"/>
      <c r="F2154" s="70">
        <v>20</v>
      </c>
      <c r="G2154" s="67"/>
      <c r="H2154" s="71"/>
      <c r="I2154" s="72"/>
      <c r="J2154" s="72"/>
      <c r="K2154" s="34" t="s">
        <v>66</v>
      </c>
      <c r="L2154" s="79">
        <v>2154</v>
      </c>
      <c r="M2154" s="79"/>
      <c r="N2154" s="74"/>
      <c r="O2154" s="81" t="s">
        <v>944</v>
      </c>
      <c r="P2154">
        <v>1</v>
      </c>
      <c r="Q2154" s="80" t="str">
        <f>REPLACE(INDEX(GroupVertices[Group],MATCH(Edges[[#This Row],[Vertex 1]],GroupVertices[Vertex],0)),1,1,"")</f>
        <v>2</v>
      </c>
      <c r="R2154" s="80" t="str">
        <f>REPLACE(INDEX(GroupVertices[Group],MATCH(Edges[[#This Row],[Vertex 2]],GroupVertices[Vertex],0)),1,1,"")</f>
        <v>2</v>
      </c>
      <c r="S2154" s="34"/>
      <c r="T2154" s="34"/>
      <c r="U2154" s="34"/>
      <c r="V2154" s="34"/>
      <c r="W2154" s="34"/>
      <c r="X2154" s="34"/>
      <c r="Y2154" s="34"/>
      <c r="Z2154" s="34"/>
      <c r="AA2154" s="34"/>
    </row>
    <row r="2155" spans="1:27" ht="15">
      <c r="A2155" s="66" t="s">
        <v>233</v>
      </c>
      <c r="B2155" s="66" t="s">
        <v>249</v>
      </c>
      <c r="C2155" s="67" t="s">
        <v>4454</v>
      </c>
      <c r="D2155" s="68">
        <v>5</v>
      </c>
      <c r="E2155" s="69"/>
      <c r="F2155" s="70">
        <v>20</v>
      </c>
      <c r="G2155" s="67"/>
      <c r="H2155" s="71"/>
      <c r="I2155" s="72"/>
      <c r="J2155" s="72"/>
      <c r="K2155" s="34" t="s">
        <v>66</v>
      </c>
      <c r="L2155" s="79">
        <v>2155</v>
      </c>
      <c r="M2155" s="79"/>
      <c r="N2155" s="74"/>
      <c r="O2155" s="81" t="s">
        <v>944</v>
      </c>
      <c r="P2155">
        <v>1</v>
      </c>
      <c r="Q2155" s="80" t="str">
        <f>REPLACE(INDEX(GroupVertices[Group],MATCH(Edges[[#This Row],[Vertex 1]],GroupVertices[Vertex],0)),1,1,"")</f>
        <v>2</v>
      </c>
      <c r="R2155" s="80" t="str">
        <f>REPLACE(INDEX(GroupVertices[Group],MATCH(Edges[[#This Row],[Vertex 2]],GroupVertices[Vertex],0)),1,1,"")</f>
        <v>2</v>
      </c>
      <c r="S2155" s="34"/>
      <c r="T2155" s="34"/>
      <c r="U2155" s="34"/>
      <c r="V2155" s="34"/>
      <c r="W2155" s="34"/>
      <c r="X2155" s="34"/>
      <c r="Y2155" s="34"/>
      <c r="Z2155" s="34"/>
      <c r="AA2155" s="34"/>
    </row>
    <row r="2156" spans="1:27" ht="15">
      <c r="A2156" s="66" t="s">
        <v>233</v>
      </c>
      <c r="B2156" s="66" t="s">
        <v>254</v>
      </c>
      <c r="C2156" s="67" t="s">
        <v>4454</v>
      </c>
      <c r="D2156" s="68">
        <v>5</v>
      </c>
      <c r="E2156" s="69"/>
      <c r="F2156" s="70">
        <v>20</v>
      </c>
      <c r="G2156" s="67"/>
      <c r="H2156" s="71"/>
      <c r="I2156" s="72"/>
      <c r="J2156" s="72"/>
      <c r="K2156" s="34" t="s">
        <v>65</v>
      </c>
      <c r="L2156" s="79">
        <v>2156</v>
      </c>
      <c r="M2156" s="79"/>
      <c r="N2156" s="74"/>
      <c r="O2156" s="81" t="s">
        <v>944</v>
      </c>
      <c r="P2156">
        <v>1</v>
      </c>
      <c r="Q2156" s="80" t="str">
        <f>REPLACE(INDEX(GroupVertices[Group],MATCH(Edges[[#This Row],[Vertex 1]],GroupVertices[Vertex],0)),1,1,"")</f>
        <v>2</v>
      </c>
      <c r="R2156" s="80" t="str">
        <f>REPLACE(INDEX(GroupVertices[Group],MATCH(Edges[[#This Row],[Vertex 2]],GroupVertices[Vertex],0)),1,1,"")</f>
        <v>3</v>
      </c>
      <c r="S2156" s="34"/>
      <c r="T2156" s="34"/>
      <c r="U2156" s="34"/>
      <c r="V2156" s="34"/>
      <c r="W2156" s="34"/>
      <c r="X2156" s="34"/>
      <c r="Y2156" s="34"/>
      <c r="Z2156" s="34"/>
      <c r="AA2156" s="34"/>
    </row>
    <row r="2157" spans="1:27" ht="15">
      <c r="A2157" s="66" t="s">
        <v>233</v>
      </c>
      <c r="B2157" s="66" t="s">
        <v>253</v>
      </c>
      <c r="C2157" s="67" t="s">
        <v>4454</v>
      </c>
      <c r="D2157" s="68">
        <v>5</v>
      </c>
      <c r="E2157" s="69"/>
      <c r="F2157" s="70">
        <v>20</v>
      </c>
      <c r="G2157" s="67"/>
      <c r="H2157" s="71"/>
      <c r="I2157" s="72"/>
      <c r="J2157" s="72"/>
      <c r="K2157" s="34" t="s">
        <v>65</v>
      </c>
      <c r="L2157" s="79">
        <v>2157</v>
      </c>
      <c r="M2157" s="79"/>
      <c r="N2157" s="74"/>
      <c r="O2157" s="81" t="s">
        <v>944</v>
      </c>
      <c r="P2157">
        <v>1</v>
      </c>
      <c r="Q2157" s="80" t="str">
        <f>REPLACE(INDEX(GroupVertices[Group],MATCH(Edges[[#This Row],[Vertex 1]],GroupVertices[Vertex],0)),1,1,"")</f>
        <v>2</v>
      </c>
      <c r="R2157" s="80" t="str">
        <f>REPLACE(INDEX(GroupVertices[Group],MATCH(Edges[[#This Row],[Vertex 2]],GroupVertices[Vertex],0)),1,1,"")</f>
        <v>1</v>
      </c>
      <c r="S2157" s="34"/>
      <c r="T2157" s="34"/>
      <c r="U2157" s="34"/>
      <c r="V2157" s="34"/>
      <c r="W2157" s="34"/>
      <c r="X2157" s="34"/>
      <c r="Y2157" s="34"/>
      <c r="Z2157" s="34"/>
      <c r="AA2157" s="34"/>
    </row>
    <row r="2158" spans="1:27" ht="15">
      <c r="A2158" s="66" t="s">
        <v>233</v>
      </c>
      <c r="B2158" s="66" t="s">
        <v>250</v>
      </c>
      <c r="C2158" s="67" t="s">
        <v>4454</v>
      </c>
      <c r="D2158" s="68">
        <v>5</v>
      </c>
      <c r="E2158" s="69"/>
      <c r="F2158" s="70">
        <v>20</v>
      </c>
      <c r="G2158" s="67"/>
      <c r="H2158" s="71"/>
      <c r="I2158" s="72"/>
      <c r="J2158" s="72"/>
      <c r="K2158" s="34" t="s">
        <v>66</v>
      </c>
      <c r="L2158" s="79">
        <v>2158</v>
      </c>
      <c r="M2158" s="79"/>
      <c r="N2158" s="74"/>
      <c r="O2158" s="81" t="s">
        <v>944</v>
      </c>
      <c r="P2158">
        <v>1</v>
      </c>
      <c r="Q2158" s="80" t="str">
        <f>REPLACE(INDEX(GroupVertices[Group],MATCH(Edges[[#This Row],[Vertex 1]],GroupVertices[Vertex],0)),1,1,"")</f>
        <v>2</v>
      </c>
      <c r="R2158" s="80" t="str">
        <f>REPLACE(INDEX(GroupVertices[Group],MATCH(Edges[[#This Row],[Vertex 2]],GroupVertices[Vertex],0)),1,1,"")</f>
        <v>2</v>
      </c>
      <c r="S2158" s="34"/>
      <c r="T2158" s="34"/>
      <c r="U2158" s="34"/>
      <c r="V2158" s="34"/>
      <c r="W2158" s="34"/>
      <c r="X2158" s="34"/>
      <c r="Y2158" s="34"/>
      <c r="Z2158" s="34"/>
      <c r="AA2158" s="34"/>
    </row>
    <row r="2159" spans="1:27" ht="15">
      <c r="A2159" s="66" t="s">
        <v>233</v>
      </c>
      <c r="B2159" s="66" t="s">
        <v>259</v>
      </c>
      <c r="C2159" s="67" t="s">
        <v>4454</v>
      </c>
      <c r="D2159" s="68">
        <v>5</v>
      </c>
      <c r="E2159" s="69"/>
      <c r="F2159" s="70">
        <v>20</v>
      </c>
      <c r="G2159" s="67"/>
      <c r="H2159" s="71"/>
      <c r="I2159" s="72"/>
      <c r="J2159" s="72"/>
      <c r="K2159" s="34" t="s">
        <v>65</v>
      </c>
      <c r="L2159" s="79">
        <v>2159</v>
      </c>
      <c r="M2159" s="79"/>
      <c r="N2159" s="74"/>
      <c r="O2159" s="81" t="s">
        <v>944</v>
      </c>
      <c r="P2159">
        <v>1</v>
      </c>
      <c r="Q2159" s="80" t="str">
        <f>REPLACE(INDEX(GroupVertices[Group],MATCH(Edges[[#This Row],[Vertex 1]],GroupVertices[Vertex],0)),1,1,"")</f>
        <v>2</v>
      </c>
      <c r="R2159" s="80" t="str">
        <f>REPLACE(INDEX(GroupVertices[Group],MATCH(Edges[[#This Row],[Vertex 2]],GroupVertices[Vertex],0)),1,1,"")</f>
        <v>2</v>
      </c>
      <c r="S2159" s="34"/>
      <c r="T2159" s="34"/>
      <c r="U2159" s="34"/>
      <c r="V2159" s="34"/>
      <c r="W2159" s="34"/>
      <c r="X2159" s="34"/>
      <c r="Y2159" s="34"/>
      <c r="Z2159" s="34"/>
      <c r="AA2159" s="34"/>
    </row>
    <row r="2160" spans="1:27" ht="15">
      <c r="A2160" s="66" t="s">
        <v>238</v>
      </c>
      <c r="B2160" s="66" t="s">
        <v>233</v>
      </c>
      <c r="C2160" s="67" t="s">
        <v>4454</v>
      </c>
      <c r="D2160" s="68">
        <v>5</v>
      </c>
      <c r="E2160" s="69"/>
      <c r="F2160" s="70">
        <v>20</v>
      </c>
      <c r="G2160" s="67"/>
      <c r="H2160" s="71"/>
      <c r="I2160" s="72"/>
      <c r="J2160" s="72"/>
      <c r="K2160" s="34" t="s">
        <v>66</v>
      </c>
      <c r="L2160" s="79">
        <v>2160</v>
      </c>
      <c r="M2160" s="79"/>
      <c r="N2160" s="74"/>
      <c r="O2160" s="81" t="s">
        <v>944</v>
      </c>
      <c r="P2160">
        <v>1</v>
      </c>
      <c r="Q2160" s="80" t="str">
        <f>REPLACE(INDEX(GroupVertices[Group],MATCH(Edges[[#This Row],[Vertex 1]],GroupVertices[Vertex],0)),1,1,"")</f>
        <v>2</v>
      </c>
      <c r="R2160" s="80" t="str">
        <f>REPLACE(INDEX(GroupVertices[Group],MATCH(Edges[[#This Row],[Vertex 2]],GroupVertices[Vertex],0)),1,1,"")</f>
        <v>2</v>
      </c>
      <c r="S2160" s="34"/>
      <c r="T2160" s="34"/>
      <c r="U2160" s="34"/>
      <c r="V2160" s="34"/>
      <c r="W2160" s="34"/>
      <c r="X2160" s="34"/>
      <c r="Y2160" s="34"/>
      <c r="Z2160" s="34"/>
      <c r="AA2160" s="34"/>
    </row>
    <row r="2161" spans="1:27" ht="15">
      <c r="A2161" s="66" t="s">
        <v>249</v>
      </c>
      <c r="B2161" s="66" t="s">
        <v>233</v>
      </c>
      <c r="C2161" s="67" t="s">
        <v>4454</v>
      </c>
      <c r="D2161" s="68">
        <v>5</v>
      </c>
      <c r="E2161" s="69"/>
      <c r="F2161" s="70">
        <v>20</v>
      </c>
      <c r="G2161" s="67"/>
      <c r="H2161" s="71"/>
      <c r="I2161" s="72"/>
      <c r="J2161" s="72"/>
      <c r="K2161" s="34" t="s">
        <v>66</v>
      </c>
      <c r="L2161" s="79">
        <v>2161</v>
      </c>
      <c r="M2161" s="79"/>
      <c r="N2161" s="74"/>
      <c r="O2161" s="81" t="s">
        <v>944</v>
      </c>
      <c r="P2161">
        <v>1</v>
      </c>
      <c r="Q2161" s="80" t="str">
        <f>REPLACE(INDEX(GroupVertices[Group],MATCH(Edges[[#This Row],[Vertex 1]],GroupVertices[Vertex],0)),1,1,"")</f>
        <v>2</v>
      </c>
      <c r="R2161" s="80" t="str">
        <f>REPLACE(INDEX(GroupVertices[Group],MATCH(Edges[[#This Row],[Vertex 2]],GroupVertices[Vertex],0)),1,1,"")</f>
        <v>2</v>
      </c>
      <c r="S2161" s="34"/>
      <c r="T2161" s="34"/>
      <c r="U2161" s="34"/>
      <c r="V2161" s="34"/>
      <c r="W2161" s="34"/>
      <c r="X2161" s="34"/>
      <c r="Y2161" s="34"/>
      <c r="Z2161" s="34"/>
      <c r="AA2161" s="34"/>
    </row>
    <row r="2162" spans="1:27" ht="15">
      <c r="A2162" s="66" t="s">
        <v>250</v>
      </c>
      <c r="B2162" s="66" t="s">
        <v>233</v>
      </c>
      <c r="C2162" s="67" t="s">
        <v>4454</v>
      </c>
      <c r="D2162" s="68">
        <v>5</v>
      </c>
      <c r="E2162" s="69"/>
      <c r="F2162" s="70">
        <v>20</v>
      </c>
      <c r="G2162" s="67"/>
      <c r="H2162" s="71"/>
      <c r="I2162" s="72"/>
      <c r="J2162" s="72"/>
      <c r="K2162" s="34" t="s">
        <v>66</v>
      </c>
      <c r="L2162" s="79">
        <v>2162</v>
      </c>
      <c r="M2162" s="79"/>
      <c r="N2162" s="74"/>
      <c r="O2162" s="81" t="s">
        <v>944</v>
      </c>
      <c r="P2162">
        <v>1</v>
      </c>
      <c r="Q2162" s="80" t="str">
        <f>REPLACE(INDEX(GroupVertices[Group],MATCH(Edges[[#This Row],[Vertex 1]],GroupVertices[Vertex],0)),1,1,"")</f>
        <v>2</v>
      </c>
      <c r="R2162" s="80" t="str">
        <f>REPLACE(INDEX(GroupVertices[Group],MATCH(Edges[[#This Row],[Vertex 2]],GroupVertices[Vertex],0)),1,1,"")</f>
        <v>2</v>
      </c>
      <c r="S2162" s="34"/>
      <c r="T2162" s="34"/>
      <c r="U2162" s="34"/>
      <c r="V2162" s="34"/>
      <c r="W2162" s="34"/>
      <c r="X2162" s="34"/>
      <c r="Y2162" s="34"/>
      <c r="Z2162" s="34"/>
      <c r="AA2162" s="34"/>
    </row>
    <row r="2163" spans="1:27" ht="15">
      <c r="A2163" s="66" t="s">
        <v>258</v>
      </c>
      <c r="B2163" s="66" t="s">
        <v>233</v>
      </c>
      <c r="C2163" s="67" t="s">
        <v>4454</v>
      </c>
      <c r="D2163" s="68">
        <v>5</v>
      </c>
      <c r="E2163" s="69"/>
      <c r="F2163" s="70">
        <v>20</v>
      </c>
      <c r="G2163" s="67"/>
      <c r="H2163" s="71"/>
      <c r="I2163" s="72"/>
      <c r="J2163" s="72"/>
      <c r="K2163" s="34" t="s">
        <v>66</v>
      </c>
      <c r="L2163" s="79">
        <v>2163</v>
      </c>
      <c r="M2163" s="79"/>
      <c r="N2163" s="74"/>
      <c r="O2163" s="81" t="s">
        <v>944</v>
      </c>
      <c r="P2163">
        <v>1</v>
      </c>
      <c r="Q2163" s="80" t="str">
        <f>REPLACE(INDEX(GroupVertices[Group],MATCH(Edges[[#This Row],[Vertex 1]],GroupVertices[Vertex],0)),1,1,"")</f>
        <v>1</v>
      </c>
      <c r="R2163" s="80" t="str">
        <f>REPLACE(INDEX(GroupVertices[Group],MATCH(Edges[[#This Row],[Vertex 2]],GroupVertices[Vertex],0)),1,1,"")</f>
        <v>2</v>
      </c>
      <c r="S2163" s="34"/>
      <c r="T2163" s="34"/>
      <c r="U2163" s="34"/>
      <c r="V2163" s="34"/>
      <c r="W2163" s="34"/>
      <c r="X2163" s="34"/>
      <c r="Y2163" s="34"/>
      <c r="Z2163" s="34"/>
      <c r="AA2163" s="34"/>
    </row>
    <row r="2164" spans="1:27" ht="15">
      <c r="A2164" s="66" t="s">
        <v>260</v>
      </c>
      <c r="B2164" s="66" t="s">
        <v>233</v>
      </c>
      <c r="C2164" s="67" t="s">
        <v>4454</v>
      </c>
      <c r="D2164" s="68">
        <v>5</v>
      </c>
      <c r="E2164" s="69"/>
      <c r="F2164" s="70">
        <v>20</v>
      </c>
      <c r="G2164" s="67"/>
      <c r="H2164" s="71"/>
      <c r="I2164" s="72"/>
      <c r="J2164" s="72"/>
      <c r="K2164" s="34" t="s">
        <v>66</v>
      </c>
      <c r="L2164" s="79">
        <v>2164</v>
      </c>
      <c r="M2164" s="79"/>
      <c r="N2164" s="74"/>
      <c r="O2164" s="81" t="s">
        <v>944</v>
      </c>
      <c r="P2164">
        <v>1</v>
      </c>
      <c r="Q2164" s="80" t="str">
        <f>REPLACE(INDEX(GroupVertices[Group],MATCH(Edges[[#This Row],[Vertex 1]],GroupVertices[Vertex],0)),1,1,"")</f>
        <v>2</v>
      </c>
      <c r="R2164" s="80" t="str">
        <f>REPLACE(INDEX(GroupVertices[Group],MATCH(Edges[[#This Row],[Vertex 2]],GroupVertices[Vertex],0)),1,1,"")</f>
        <v>2</v>
      </c>
      <c r="S2164" s="34"/>
      <c r="T2164" s="34"/>
      <c r="U2164" s="34"/>
      <c r="V2164" s="34"/>
      <c r="W2164" s="34"/>
      <c r="X2164" s="34"/>
      <c r="Y2164" s="34"/>
      <c r="Z2164" s="34"/>
      <c r="AA2164" s="34"/>
    </row>
    <row r="2165" spans="1:27" ht="15">
      <c r="A2165" s="66" t="s">
        <v>259</v>
      </c>
      <c r="B2165" s="66" t="s">
        <v>922</v>
      </c>
      <c r="C2165" s="67" t="s">
        <v>4454</v>
      </c>
      <c r="D2165" s="68">
        <v>5</v>
      </c>
      <c r="E2165" s="69"/>
      <c r="F2165" s="70">
        <v>20</v>
      </c>
      <c r="G2165" s="67"/>
      <c r="H2165" s="71"/>
      <c r="I2165" s="72"/>
      <c r="J2165" s="72"/>
      <c r="K2165" s="34" t="s">
        <v>65</v>
      </c>
      <c r="L2165" s="79">
        <v>2165</v>
      </c>
      <c r="M2165" s="79"/>
      <c r="N2165" s="74"/>
      <c r="O2165" s="81" t="s">
        <v>944</v>
      </c>
      <c r="P2165">
        <v>1</v>
      </c>
      <c r="Q2165" s="80" t="str">
        <f>REPLACE(INDEX(GroupVertices[Group],MATCH(Edges[[#This Row],[Vertex 1]],GroupVertices[Vertex],0)),1,1,"")</f>
        <v>2</v>
      </c>
      <c r="R2165" s="80" t="str">
        <f>REPLACE(INDEX(GroupVertices[Group],MATCH(Edges[[#This Row],[Vertex 2]],GroupVertices[Vertex],0)),1,1,"")</f>
        <v>2</v>
      </c>
      <c r="S2165" s="34"/>
      <c r="T2165" s="34"/>
      <c r="U2165" s="34"/>
      <c r="V2165" s="34"/>
      <c r="W2165" s="34"/>
      <c r="X2165" s="34"/>
      <c r="Y2165" s="34"/>
      <c r="Z2165" s="34"/>
      <c r="AA2165" s="34"/>
    </row>
    <row r="2166" spans="1:27" ht="15">
      <c r="A2166" s="66" t="s">
        <v>260</v>
      </c>
      <c r="B2166" s="66" t="s">
        <v>922</v>
      </c>
      <c r="C2166" s="67" t="s">
        <v>4454</v>
      </c>
      <c r="D2166" s="68">
        <v>5</v>
      </c>
      <c r="E2166" s="69"/>
      <c r="F2166" s="70">
        <v>20</v>
      </c>
      <c r="G2166" s="67"/>
      <c r="H2166" s="71"/>
      <c r="I2166" s="72"/>
      <c r="J2166" s="72"/>
      <c r="K2166" s="34" t="s">
        <v>65</v>
      </c>
      <c r="L2166" s="79">
        <v>2166</v>
      </c>
      <c r="M2166" s="79"/>
      <c r="N2166" s="74"/>
      <c r="O2166" s="81" t="s">
        <v>944</v>
      </c>
      <c r="P2166">
        <v>1</v>
      </c>
      <c r="Q2166" s="80" t="str">
        <f>REPLACE(INDEX(GroupVertices[Group],MATCH(Edges[[#This Row],[Vertex 1]],GroupVertices[Vertex],0)),1,1,"")</f>
        <v>2</v>
      </c>
      <c r="R2166" s="80" t="str">
        <f>REPLACE(INDEX(GroupVertices[Group],MATCH(Edges[[#This Row],[Vertex 2]],GroupVertices[Vertex],0)),1,1,"")</f>
        <v>2</v>
      </c>
      <c r="S2166" s="34"/>
      <c r="T2166" s="34"/>
      <c r="U2166" s="34"/>
      <c r="V2166" s="34"/>
      <c r="W2166" s="34"/>
      <c r="X2166" s="34"/>
      <c r="Y2166" s="34"/>
      <c r="Z2166" s="34"/>
      <c r="AA2166" s="34"/>
    </row>
    <row r="2167" spans="1:27" ht="15">
      <c r="A2167" s="66" t="s">
        <v>260</v>
      </c>
      <c r="B2167" s="66" t="s">
        <v>923</v>
      </c>
      <c r="C2167" s="67" t="s">
        <v>4454</v>
      </c>
      <c r="D2167" s="68">
        <v>5</v>
      </c>
      <c r="E2167" s="69"/>
      <c r="F2167" s="70">
        <v>20</v>
      </c>
      <c r="G2167" s="67"/>
      <c r="H2167" s="71"/>
      <c r="I2167" s="72"/>
      <c r="J2167" s="72"/>
      <c r="K2167" s="34"/>
      <c r="L2167" s="79">
        <v>2167</v>
      </c>
      <c r="M2167" s="79"/>
      <c r="N2167" s="74"/>
      <c r="O2167" s="81" t="s">
        <v>944</v>
      </c>
      <c r="P2167">
        <v>1</v>
      </c>
      <c r="Q2167" s="80" t="str">
        <f>REPLACE(INDEX(GroupVertices[Group],MATCH(Edges[[#This Row],[Vertex 1]],GroupVertices[Vertex],0)),1,1,"")</f>
        <v>2</v>
      </c>
      <c r="R2167" s="80" t="e">
        <f>REPLACE(INDEX(GroupVertices[Group],MATCH(Edges[[#This Row],[Vertex 2]],GroupVertices[Vertex],0)),1,1,"")</f>
        <v>#N/A</v>
      </c>
      <c r="S2167" s="34"/>
      <c r="T2167" s="34"/>
      <c r="U2167" s="34"/>
      <c r="V2167" s="34"/>
      <c r="W2167" s="34"/>
      <c r="X2167" s="34"/>
      <c r="Y2167" s="34"/>
      <c r="Z2167" s="34"/>
      <c r="AA2167" s="34"/>
    </row>
    <row r="2168" spans="1:27" ht="15">
      <c r="A2168" s="66" t="s">
        <v>220</v>
      </c>
      <c r="B2168" s="66" t="s">
        <v>238</v>
      </c>
      <c r="C2168" s="67" t="s">
        <v>4454</v>
      </c>
      <c r="D2168" s="68">
        <v>5</v>
      </c>
      <c r="E2168" s="69"/>
      <c r="F2168" s="70">
        <v>20</v>
      </c>
      <c r="G2168" s="67"/>
      <c r="H2168" s="71"/>
      <c r="I2168" s="72"/>
      <c r="J2168" s="72"/>
      <c r="K2168" s="34" t="s">
        <v>66</v>
      </c>
      <c r="L2168" s="79">
        <v>2168</v>
      </c>
      <c r="M2168" s="79"/>
      <c r="N2168" s="74"/>
      <c r="O2168" s="81" t="s">
        <v>944</v>
      </c>
      <c r="P2168">
        <v>1</v>
      </c>
      <c r="Q2168" s="80" t="str">
        <f>REPLACE(INDEX(GroupVertices[Group],MATCH(Edges[[#This Row],[Vertex 1]],GroupVertices[Vertex],0)),1,1,"")</f>
        <v>2</v>
      </c>
      <c r="R2168" s="80" t="str">
        <f>REPLACE(INDEX(GroupVertices[Group],MATCH(Edges[[#This Row],[Vertex 2]],GroupVertices[Vertex],0)),1,1,"")</f>
        <v>2</v>
      </c>
      <c r="S2168" s="34"/>
      <c r="T2168" s="34"/>
      <c r="U2168" s="34"/>
      <c r="V2168" s="34"/>
      <c r="W2168" s="34"/>
      <c r="X2168" s="34"/>
      <c r="Y2168" s="34"/>
      <c r="Z2168" s="34"/>
      <c r="AA2168" s="34"/>
    </row>
    <row r="2169" spans="1:27" ht="15">
      <c r="A2169" s="66" t="s">
        <v>238</v>
      </c>
      <c r="B2169" s="66" t="s">
        <v>226</v>
      </c>
      <c r="C2169" s="67" t="s">
        <v>4454</v>
      </c>
      <c r="D2169" s="68">
        <v>5</v>
      </c>
      <c r="E2169" s="69"/>
      <c r="F2169" s="70">
        <v>20</v>
      </c>
      <c r="G2169" s="67"/>
      <c r="H2169" s="71"/>
      <c r="I2169" s="72"/>
      <c r="J2169" s="72"/>
      <c r="K2169" s="34" t="s">
        <v>65</v>
      </c>
      <c r="L2169" s="79">
        <v>2169</v>
      </c>
      <c r="M2169" s="79"/>
      <c r="N2169" s="74"/>
      <c r="O2169" s="81" t="s">
        <v>944</v>
      </c>
      <c r="P2169">
        <v>1</v>
      </c>
      <c r="Q2169" s="80" t="str">
        <f>REPLACE(INDEX(GroupVertices[Group],MATCH(Edges[[#This Row],[Vertex 1]],GroupVertices[Vertex],0)),1,1,"")</f>
        <v>2</v>
      </c>
      <c r="R2169" s="80" t="str">
        <f>REPLACE(INDEX(GroupVertices[Group],MATCH(Edges[[#This Row],[Vertex 2]],GroupVertices[Vertex],0)),1,1,"")</f>
        <v>4</v>
      </c>
      <c r="S2169" s="34"/>
      <c r="T2169" s="34"/>
      <c r="U2169" s="34"/>
      <c r="V2169" s="34"/>
      <c r="W2169" s="34"/>
      <c r="X2169" s="34"/>
      <c r="Y2169" s="34"/>
      <c r="Z2169" s="34"/>
      <c r="AA2169" s="34"/>
    </row>
    <row r="2170" spans="1:27" ht="15">
      <c r="A2170" s="66" t="s">
        <v>238</v>
      </c>
      <c r="B2170" s="66" t="s">
        <v>256</v>
      </c>
      <c r="C2170" s="67" t="s">
        <v>4454</v>
      </c>
      <c r="D2170" s="68">
        <v>5</v>
      </c>
      <c r="E2170" s="69"/>
      <c r="F2170" s="70">
        <v>20</v>
      </c>
      <c r="G2170" s="67"/>
      <c r="H2170" s="71"/>
      <c r="I2170" s="72"/>
      <c r="J2170" s="72"/>
      <c r="K2170" s="34" t="s">
        <v>66</v>
      </c>
      <c r="L2170" s="79">
        <v>2170</v>
      </c>
      <c r="M2170" s="79"/>
      <c r="N2170" s="74"/>
      <c r="O2170" s="81" t="s">
        <v>944</v>
      </c>
      <c r="P2170">
        <v>1</v>
      </c>
      <c r="Q2170" s="80" t="str">
        <f>REPLACE(INDEX(GroupVertices[Group],MATCH(Edges[[#This Row],[Vertex 1]],GroupVertices[Vertex],0)),1,1,"")</f>
        <v>2</v>
      </c>
      <c r="R2170" s="80" t="str">
        <f>REPLACE(INDEX(GroupVertices[Group],MATCH(Edges[[#This Row],[Vertex 2]],GroupVertices[Vertex],0)),1,1,"")</f>
        <v>1</v>
      </c>
      <c r="S2170" s="34"/>
      <c r="T2170" s="34"/>
      <c r="U2170" s="34"/>
      <c r="V2170" s="34"/>
      <c r="W2170" s="34"/>
      <c r="X2170" s="34"/>
      <c r="Y2170" s="34"/>
      <c r="Z2170" s="34"/>
      <c r="AA2170" s="34"/>
    </row>
    <row r="2171" spans="1:27" ht="15">
      <c r="A2171" s="66" t="s">
        <v>238</v>
      </c>
      <c r="B2171" s="66" t="s">
        <v>480</v>
      </c>
      <c r="C2171" s="67" t="s">
        <v>4454</v>
      </c>
      <c r="D2171" s="68">
        <v>5</v>
      </c>
      <c r="E2171" s="69"/>
      <c r="F2171" s="70">
        <v>20</v>
      </c>
      <c r="G2171" s="67"/>
      <c r="H2171" s="71"/>
      <c r="I2171" s="72"/>
      <c r="J2171" s="72"/>
      <c r="K2171" s="34" t="s">
        <v>65</v>
      </c>
      <c r="L2171" s="79">
        <v>2171</v>
      </c>
      <c r="M2171" s="79"/>
      <c r="N2171" s="74"/>
      <c r="O2171" s="81" t="s">
        <v>944</v>
      </c>
      <c r="P2171">
        <v>1</v>
      </c>
      <c r="Q2171" s="80" t="str">
        <f>REPLACE(INDEX(GroupVertices[Group],MATCH(Edges[[#This Row],[Vertex 1]],GroupVertices[Vertex],0)),1,1,"")</f>
        <v>2</v>
      </c>
      <c r="R2171" s="80" t="str">
        <f>REPLACE(INDEX(GroupVertices[Group],MATCH(Edges[[#This Row],[Vertex 2]],GroupVertices[Vertex],0)),1,1,"")</f>
        <v>1</v>
      </c>
      <c r="S2171" s="34"/>
      <c r="T2171" s="34"/>
      <c r="U2171" s="34"/>
      <c r="V2171" s="34"/>
      <c r="W2171" s="34"/>
      <c r="X2171" s="34"/>
      <c r="Y2171" s="34"/>
      <c r="Z2171" s="34"/>
      <c r="AA2171" s="34"/>
    </row>
    <row r="2172" spans="1:27" ht="15">
      <c r="A2172" s="66" t="s">
        <v>238</v>
      </c>
      <c r="B2172" s="66" t="s">
        <v>248</v>
      </c>
      <c r="C2172" s="67" t="s">
        <v>4454</v>
      </c>
      <c r="D2172" s="68">
        <v>5</v>
      </c>
      <c r="E2172" s="69"/>
      <c r="F2172" s="70">
        <v>20</v>
      </c>
      <c r="G2172" s="67"/>
      <c r="H2172" s="71"/>
      <c r="I2172" s="72"/>
      <c r="J2172" s="72"/>
      <c r="K2172" s="34" t="s">
        <v>65</v>
      </c>
      <c r="L2172" s="79">
        <v>2172</v>
      </c>
      <c r="M2172" s="79"/>
      <c r="N2172" s="74"/>
      <c r="O2172" s="81" t="s">
        <v>944</v>
      </c>
      <c r="P2172">
        <v>1</v>
      </c>
      <c r="Q2172" s="80" t="str">
        <f>REPLACE(INDEX(GroupVertices[Group],MATCH(Edges[[#This Row],[Vertex 1]],GroupVertices[Vertex],0)),1,1,"")</f>
        <v>2</v>
      </c>
      <c r="R2172" s="80" t="str">
        <f>REPLACE(INDEX(GroupVertices[Group],MATCH(Edges[[#This Row],[Vertex 2]],GroupVertices[Vertex],0)),1,1,"")</f>
        <v>1</v>
      </c>
      <c r="S2172" s="34"/>
      <c r="T2172" s="34"/>
      <c r="U2172" s="34"/>
      <c r="V2172" s="34"/>
      <c r="W2172" s="34"/>
      <c r="X2172" s="34"/>
      <c r="Y2172" s="34"/>
      <c r="Z2172" s="34"/>
      <c r="AA2172" s="34"/>
    </row>
    <row r="2173" spans="1:27" ht="15">
      <c r="A2173" s="66" t="s">
        <v>238</v>
      </c>
      <c r="B2173" s="66" t="s">
        <v>258</v>
      </c>
      <c r="C2173" s="67" t="s">
        <v>4454</v>
      </c>
      <c r="D2173" s="68">
        <v>5</v>
      </c>
      <c r="E2173" s="69"/>
      <c r="F2173" s="70">
        <v>20</v>
      </c>
      <c r="G2173" s="67"/>
      <c r="H2173" s="71"/>
      <c r="I2173" s="72"/>
      <c r="J2173" s="72"/>
      <c r="K2173" s="34" t="s">
        <v>66</v>
      </c>
      <c r="L2173" s="79">
        <v>2173</v>
      </c>
      <c r="M2173" s="79"/>
      <c r="N2173" s="74"/>
      <c r="O2173" s="81" t="s">
        <v>944</v>
      </c>
      <c r="P2173">
        <v>1</v>
      </c>
      <c r="Q2173" s="80" t="str">
        <f>REPLACE(INDEX(GroupVertices[Group],MATCH(Edges[[#This Row],[Vertex 1]],GroupVertices[Vertex],0)),1,1,"")</f>
        <v>2</v>
      </c>
      <c r="R2173" s="80" t="str">
        <f>REPLACE(INDEX(GroupVertices[Group],MATCH(Edges[[#This Row],[Vertex 2]],GroupVertices[Vertex],0)),1,1,"")</f>
        <v>1</v>
      </c>
      <c r="S2173" s="34"/>
      <c r="T2173" s="34"/>
      <c r="U2173" s="34"/>
      <c r="V2173" s="34"/>
      <c r="W2173" s="34"/>
      <c r="X2173" s="34"/>
      <c r="Y2173" s="34"/>
      <c r="Z2173" s="34"/>
      <c r="AA2173" s="34"/>
    </row>
    <row r="2174" spans="1:27" ht="15">
      <c r="A2174" s="66" t="s">
        <v>238</v>
      </c>
      <c r="B2174" s="66" t="s">
        <v>886</v>
      </c>
      <c r="C2174" s="67" t="s">
        <v>4454</v>
      </c>
      <c r="D2174" s="68">
        <v>5</v>
      </c>
      <c r="E2174" s="69"/>
      <c r="F2174" s="70">
        <v>20</v>
      </c>
      <c r="G2174" s="67"/>
      <c r="H2174" s="71"/>
      <c r="I2174" s="72"/>
      <c r="J2174" s="72"/>
      <c r="K2174" s="34" t="s">
        <v>65</v>
      </c>
      <c r="L2174" s="79">
        <v>2174</v>
      </c>
      <c r="M2174" s="79"/>
      <c r="N2174" s="74"/>
      <c r="O2174" s="81" t="s">
        <v>944</v>
      </c>
      <c r="P2174">
        <v>1</v>
      </c>
      <c r="Q2174" s="80" t="str">
        <f>REPLACE(INDEX(GroupVertices[Group],MATCH(Edges[[#This Row],[Vertex 1]],GroupVertices[Vertex],0)),1,1,"")</f>
        <v>2</v>
      </c>
      <c r="R2174" s="80" t="str">
        <f>REPLACE(INDEX(GroupVertices[Group],MATCH(Edges[[#This Row],[Vertex 2]],GroupVertices[Vertex],0)),1,1,"")</f>
        <v>4</v>
      </c>
      <c r="S2174" s="34"/>
      <c r="T2174" s="34"/>
      <c r="U2174" s="34"/>
      <c r="V2174" s="34"/>
      <c r="W2174" s="34"/>
      <c r="X2174" s="34"/>
      <c r="Y2174" s="34"/>
      <c r="Z2174" s="34"/>
      <c r="AA2174" s="34"/>
    </row>
    <row r="2175" spans="1:27" ht="15">
      <c r="A2175" s="66" t="s">
        <v>238</v>
      </c>
      <c r="B2175" s="66" t="s">
        <v>616</v>
      </c>
      <c r="C2175" s="67" t="s">
        <v>4454</v>
      </c>
      <c r="D2175" s="68">
        <v>5</v>
      </c>
      <c r="E2175" s="69"/>
      <c r="F2175" s="70">
        <v>20</v>
      </c>
      <c r="G2175" s="67"/>
      <c r="H2175" s="71"/>
      <c r="I2175" s="72"/>
      <c r="J2175" s="72"/>
      <c r="K2175" s="34" t="s">
        <v>65</v>
      </c>
      <c r="L2175" s="79">
        <v>2175</v>
      </c>
      <c r="M2175" s="79"/>
      <c r="N2175" s="74"/>
      <c r="O2175" s="81" t="s">
        <v>944</v>
      </c>
      <c r="P2175">
        <v>1</v>
      </c>
      <c r="Q2175" s="80" t="str">
        <f>REPLACE(INDEX(GroupVertices[Group],MATCH(Edges[[#This Row],[Vertex 1]],GroupVertices[Vertex],0)),1,1,"")</f>
        <v>2</v>
      </c>
      <c r="R2175" s="80" t="str">
        <f>REPLACE(INDEX(GroupVertices[Group],MATCH(Edges[[#This Row],[Vertex 2]],GroupVertices[Vertex],0)),1,1,"")</f>
        <v>1</v>
      </c>
      <c r="S2175" s="34"/>
      <c r="T2175" s="34"/>
      <c r="U2175" s="34"/>
      <c r="V2175" s="34"/>
      <c r="W2175" s="34"/>
      <c r="X2175" s="34"/>
      <c r="Y2175" s="34"/>
      <c r="Z2175" s="34"/>
      <c r="AA2175" s="34"/>
    </row>
    <row r="2176" spans="1:27" ht="15">
      <c r="A2176" s="66" t="s">
        <v>238</v>
      </c>
      <c r="B2176" s="66" t="s">
        <v>846</v>
      </c>
      <c r="C2176" s="67" t="s">
        <v>4454</v>
      </c>
      <c r="D2176" s="68">
        <v>5</v>
      </c>
      <c r="E2176" s="69"/>
      <c r="F2176" s="70">
        <v>20</v>
      </c>
      <c r="G2176" s="67"/>
      <c r="H2176" s="71"/>
      <c r="I2176" s="72"/>
      <c r="J2176" s="72"/>
      <c r="K2176" s="34" t="s">
        <v>65</v>
      </c>
      <c r="L2176" s="79">
        <v>2176</v>
      </c>
      <c r="M2176" s="79"/>
      <c r="N2176" s="74"/>
      <c r="O2176" s="81" t="s">
        <v>944</v>
      </c>
      <c r="P2176">
        <v>1</v>
      </c>
      <c r="Q2176" s="80" t="str">
        <f>REPLACE(INDEX(GroupVertices[Group],MATCH(Edges[[#This Row],[Vertex 1]],GroupVertices[Vertex],0)),1,1,"")</f>
        <v>2</v>
      </c>
      <c r="R2176" s="80" t="str">
        <f>REPLACE(INDEX(GroupVertices[Group],MATCH(Edges[[#This Row],[Vertex 2]],GroupVertices[Vertex],0)),1,1,"")</f>
        <v>1</v>
      </c>
      <c r="S2176" s="34"/>
      <c r="T2176" s="34"/>
      <c r="U2176" s="34"/>
      <c r="V2176" s="34"/>
      <c r="W2176" s="34"/>
      <c r="X2176" s="34"/>
      <c r="Y2176" s="34"/>
      <c r="Z2176" s="34"/>
      <c r="AA2176" s="34"/>
    </row>
    <row r="2177" spans="1:27" ht="15">
      <c r="A2177" s="66" t="s">
        <v>238</v>
      </c>
      <c r="B2177" s="66" t="s">
        <v>260</v>
      </c>
      <c r="C2177" s="67" t="s">
        <v>4454</v>
      </c>
      <c r="D2177" s="68">
        <v>5</v>
      </c>
      <c r="E2177" s="69"/>
      <c r="F2177" s="70">
        <v>20</v>
      </c>
      <c r="G2177" s="67"/>
      <c r="H2177" s="71"/>
      <c r="I2177" s="72"/>
      <c r="J2177" s="72"/>
      <c r="K2177" s="34" t="s">
        <v>66</v>
      </c>
      <c r="L2177" s="79">
        <v>2177</v>
      </c>
      <c r="M2177" s="79"/>
      <c r="N2177" s="74"/>
      <c r="O2177" s="81" t="s">
        <v>944</v>
      </c>
      <c r="P2177">
        <v>1</v>
      </c>
      <c r="Q2177" s="80" t="str">
        <f>REPLACE(INDEX(GroupVertices[Group],MATCH(Edges[[#This Row],[Vertex 1]],GroupVertices[Vertex],0)),1,1,"")</f>
        <v>2</v>
      </c>
      <c r="R2177" s="80" t="str">
        <f>REPLACE(INDEX(GroupVertices[Group],MATCH(Edges[[#This Row],[Vertex 2]],GroupVertices[Vertex],0)),1,1,"")</f>
        <v>2</v>
      </c>
      <c r="S2177" s="34"/>
      <c r="T2177" s="34"/>
      <c r="U2177" s="34"/>
      <c r="V2177" s="34"/>
      <c r="W2177" s="34"/>
      <c r="X2177" s="34"/>
      <c r="Y2177" s="34"/>
      <c r="Z2177" s="34"/>
      <c r="AA2177" s="34"/>
    </row>
    <row r="2178" spans="1:27" ht="15">
      <c r="A2178" s="66" t="s">
        <v>238</v>
      </c>
      <c r="B2178" s="66" t="s">
        <v>261</v>
      </c>
      <c r="C2178" s="67" t="s">
        <v>4454</v>
      </c>
      <c r="D2178" s="68">
        <v>5</v>
      </c>
      <c r="E2178" s="69"/>
      <c r="F2178" s="70">
        <v>20</v>
      </c>
      <c r="G2178" s="67"/>
      <c r="H2178" s="71"/>
      <c r="I2178" s="72"/>
      <c r="J2178" s="72"/>
      <c r="K2178" s="34" t="s">
        <v>65</v>
      </c>
      <c r="L2178" s="79">
        <v>2178</v>
      </c>
      <c r="M2178" s="79"/>
      <c r="N2178" s="74"/>
      <c r="O2178" s="81" t="s">
        <v>944</v>
      </c>
      <c r="P2178">
        <v>1</v>
      </c>
      <c r="Q2178" s="80" t="str">
        <f>REPLACE(INDEX(GroupVertices[Group],MATCH(Edges[[#This Row],[Vertex 1]],GroupVertices[Vertex],0)),1,1,"")</f>
        <v>2</v>
      </c>
      <c r="R2178" s="80" t="str">
        <f>REPLACE(INDEX(GroupVertices[Group],MATCH(Edges[[#This Row],[Vertex 2]],GroupVertices[Vertex],0)),1,1,"")</f>
        <v>1</v>
      </c>
      <c r="S2178" s="34"/>
      <c r="T2178" s="34"/>
      <c r="U2178" s="34"/>
      <c r="V2178" s="34"/>
      <c r="W2178" s="34"/>
      <c r="X2178" s="34"/>
      <c r="Y2178" s="34"/>
      <c r="Z2178" s="34"/>
      <c r="AA2178" s="34"/>
    </row>
    <row r="2179" spans="1:27" ht="15">
      <c r="A2179" s="66" t="s">
        <v>238</v>
      </c>
      <c r="B2179" s="66" t="s">
        <v>249</v>
      </c>
      <c r="C2179" s="67" t="s">
        <v>4454</v>
      </c>
      <c r="D2179" s="68">
        <v>5</v>
      </c>
      <c r="E2179" s="69"/>
      <c r="F2179" s="70">
        <v>20</v>
      </c>
      <c r="G2179" s="67"/>
      <c r="H2179" s="71"/>
      <c r="I2179" s="72"/>
      <c r="J2179" s="72"/>
      <c r="K2179" s="34" t="s">
        <v>66</v>
      </c>
      <c r="L2179" s="79">
        <v>2179</v>
      </c>
      <c r="M2179" s="79"/>
      <c r="N2179" s="74"/>
      <c r="O2179" s="81" t="s">
        <v>944</v>
      </c>
      <c r="P2179">
        <v>1</v>
      </c>
      <c r="Q2179" s="80" t="str">
        <f>REPLACE(INDEX(GroupVertices[Group],MATCH(Edges[[#This Row],[Vertex 1]],GroupVertices[Vertex],0)),1,1,"")</f>
        <v>2</v>
      </c>
      <c r="R2179" s="80" t="str">
        <f>REPLACE(INDEX(GroupVertices[Group],MATCH(Edges[[#This Row],[Vertex 2]],GroupVertices[Vertex],0)),1,1,"")</f>
        <v>2</v>
      </c>
      <c r="S2179" s="34"/>
      <c r="T2179" s="34"/>
      <c r="U2179" s="34"/>
      <c r="V2179" s="34"/>
      <c r="W2179" s="34"/>
      <c r="X2179" s="34"/>
      <c r="Y2179" s="34"/>
      <c r="Z2179" s="34"/>
      <c r="AA2179" s="34"/>
    </row>
    <row r="2180" spans="1:27" ht="15">
      <c r="A2180" s="66" t="s">
        <v>238</v>
      </c>
      <c r="B2180" s="66" t="s">
        <v>259</v>
      </c>
      <c r="C2180" s="67" t="s">
        <v>4454</v>
      </c>
      <c r="D2180" s="68">
        <v>5</v>
      </c>
      <c r="E2180" s="69"/>
      <c r="F2180" s="70">
        <v>20</v>
      </c>
      <c r="G2180" s="67"/>
      <c r="H2180" s="71"/>
      <c r="I2180" s="72"/>
      <c r="J2180" s="72"/>
      <c r="K2180" s="34" t="s">
        <v>65</v>
      </c>
      <c r="L2180" s="79">
        <v>2180</v>
      </c>
      <c r="M2180" s="79"/>
      <c r="N2180" s="74"/>
      <c r="O2180" s="81" t="s">
        <v>944</v>
      </c>
      <c r="P2180">
        <v>1</v>
      </c>
      <c r="Q2180" s="80" t="str">
        <f>REPLACE(INDEX(GroupVertices[Group],MATCH(Edges[[#This Row],[Vertex 1]],GroupVertices[Vertex],0)),1,1,"")</f>
        <v>2</v>
      </c>
      <c r="R2180" s="80" t="str">
        <f>REPLACE(INDEX(GroupVertices[Group],MATCH(Edges[[#This Row],[Vertex 2]],GroupVertices[Vertex],0)),1,1,"")</f>
        <v>2</v>
      </c>
      <c r="S2180" s="34"/>
      <c r="T2180" s="34"/>
      <c r="U2180" s="34"/>
      <c r="V2180" s="34"/>
      <c r="W2180" s="34"/>
      <c r="X2180" s="34"/>
      <c r="Y2180" s="34"/>
      <c r="Z2180" s="34"/>
      <c r="AA2180" s="34"/>
    </row>
    <row r="2181" spans="1:27" ht="15">
      <c r="A2181" s="66" t="s">
        <v>238</v>
      </c>
      <c r="B2181" s="66" t="s">
        <v>254</v>
      </c>
      <c r="C2181" s="67" t="s">
        <v>4454</v>
      </c>
      <c r="D2181" s="68">
        <v>5</v>
      </c>
      <c r="E2181" s="69"/>
      <c r="F2181" s="70">
        <v>20</v>
      </c>
      <c r="G2181" s="67"/>
      <c r="H2181" s="71"/>
      <c r="I2181" s="72"/>
      <c r="J2181" s="72"/>
      <c r="K2181" s="34" t="s">
        <v>65</v>
      </c>
      <c r="L2181" s="79">
        <v>2181</v>
      </c>
      <c r="M2181" s="79"/>
      <c r="N2181" s="74"/>
      <c r="O2181" s="81" t="s">
        <v>944</v>
      </c>
      <c r="P2181">
        <v>1</v>
      </c>
      <c r="Q2181" s="80" t="str">
        <f>REPLACE(INDEX(GroupVertices[Group],MATCH(Edges[[#This Row],[Vertex 1]],GroupVertices[Vertex],0)),1,1,"")</f>
        <v>2</v>
      </c>
      <c r="R2181" s="80" t="str">
        <f>REPLACE(INDEX(GroupVertices[Group],MATCH(Edges[[#This Row],[Vertex 2]],GroupVertices[Vertex],0)),1,1,"")</f>
        <v>3</v>
      </c>
      <c r="S2181" s="34"/>
      <c r="T2181" s="34"/>
      <c r="U2181" s="34"/>
      <c r="V2181" s="34"/>
      <c r="W2181" s="34"/>
      <c r="X2181" s="34"/>
      <c r="Y2181" s="34"/>
      <c r="Z2181" s="34"/>
      <c r="AA2181" s="34"/>
    </row>
    <row r="2182" spans="1:27" ht="15">
      <c r="A2182" s="66" t="s">
        <v>238</v>
      </c>
      <c r="B2182" s="66" t="s">
        <v>250</v>
      </c>
      <c r="C2182" s="67" t="s">
        <v>4454</v>
      </c>
      <c r="D2182" s="68">
        <v>5</v>
      </c>
      <c r="E2182" s="69"/>
      <c r="F2182" s="70">
        <v>20</v>
      </c>
      <c r="G2182" s="67"/>
      <c r="H2182" s="71"/>
      <c r="I2182" s="72"/>
      <c r="J2182" s="72"/>
      <c r="K2182" s="34" t="s">
        <v>66</v>
      </c>
      <c r="L2182" s="79">
        <v>2182</v>
      </c>
      <c r="M2182" s="79"/>
      <c r="N2182" s="74"/>
      <c r="O2182" s="81" t="s">
        <v>944</v>
      </c>
      <c r="P2182">
        <v>1</v>
      </c>
      <c r="Q2182" s="80" t="str">
        <f>REPLACE(INDEX(GroupVertices[Group],MATCH(Edges[[#This Row],[Vertex 1]],GroupVertices[Vertex],0)),1,1,"")</f>
        <v>2</v>
      </c>
      <c r="R2182" s="80" t="str">
        <f>REPLACE(INDEX(GroupVertices[Group],MATCH(Edges[[#This Row],[Vertex 2]],GroupVertices[Vertex],0)),1,1,"")</f>
        <v>2</v>
      </c>
      <c r="S2182" s="34"/>
      <c r="T2182" s="34"/>
      <c r="U2182" s="34"/>
      <c r="V2182" s="34"/>
      <c r="W2182" s="34"/>
      <c r="X2182" s="34"/>
      <c r="Y2182" s="34"/>
      <c r="Z2182" s="34"/>
      <c r="AA2182" s="34"/>
    </row>
    <row r="2183" spans="1:27" ht="15">
      <c r="A2183" s="66" t="s">
        <v>238</v>
      </c>
      <c r="B2183" s="66" t="s">
        <v>220</v>
      </c>
      <c r="C2183" s="67" t="s">
        <v>4454</v>
      </c>
      <c r="D2183" s="68">
        <v>5</v>
      </c>
      <c r="E2183" s="69"/>
      <c r="F2183" s="70">
        <v>20</v>
      </c>
      <c r="G2183" s="67"/>
      <c r="H2183" s="71"/>
      <c r="I2183" s="72"/>
      <c r="J2183" s="72"/>
      <c r="K2183" s="34" t="s">
        <v>66</v>
      </c>
      <c r="L2183" s="79">
        <v>2183</v>
      </c>
      <c r="M2183" s="79"/>
      <c r="N2183" s="74"/>
      <c r="O2183" s="81" t="s">
        <v>944</v>
      </c>
      <c r="P2183">
        <v>1</v>
      </c>
      <c r="Q2183" s="80" t="str">
        <f>REPLACE(INDEX(GroupVertices[Group],MATCH(Edges[[#This Row],[Vertex 1]],GroupVertices[Vertex],0)),1,1,"")</f>
        <v>2</v>
      </c>
      <c r="R2183" s="80" t="str">
        <f>REPLACE(INDEX(GroupVertices[Group],MATCH(Edges[[#This Row],[Vertex 2]],GroupVertices[Vertex],0)),1,1,"")</f>
        <v>2</v>
      </c>
      <c r="S2183" s="34"/>
      <c r="T2183" s="34"/>
      <c r="U2183" s="34"/>
      <c r="V2183" s="34"/>
      <c r="W2183" s="34"/>
      <c r="X2183" s="34"/>
      <c r="Y2183" s="34"/>
      <c r="Z2183" s="34"/>
      <c r="AA2183" s="34"/>
    </row>
    <row r="2184" spans="1:27" ht="15">
      <c r="A2184" s="66" t="s">
        <v>238</v>
      </c>
      <c r="B2184" s="66" t="s">
        <v>484</v>
      </c>
      <c r="C2184" s="67" t="s">
        <v>4454</v>
      </c>
      <c r="D2184" s="68">
        <v>5</v>
      </c>
      <c r="E2184" s="69"/>
      <c r="F2184" s="70">
        <v>20</v>
      </c>
      <c r="G2184" s="67"/>
      <c r="H2184" s="71"/>
      <c r="I2184" s="72"/>
      <c r="J2184" s="72"/>
      <c r="K2184" s="34" t="s">
        <v>65</v>
      </c>
      <c r="L2184" s="79">
        <v>2184</v>
      </c>
      <c r="M2184" s="79"/>
      <c r="N2184" s="74"/>
      <c r="O2184" s="81" t="s">
        <v>944</v>
      </c>
      <c r="P2184">
        <v>1</v>
      </c>
      <c r="Q2184" s="80" t="str">
        <f>REPLACE(INDEX(GroupVertices[Group],MATCH(Edges[[#This Row],[Vertex 1]],GroupVertices[Vertex],0)),1,1,"")</f>
        <v>2</v>
      </c>
      <c r="R2184" s="80" t="str">
        <f>REPLACE(INDEX(GroupVertices[Group],MATCH(Edges[[#This Row],[Vertex 2]],GroupVertices[Vertex],0)),1,1,"")</f>
        <v>1</v>
      </c>
      <c r="S2184" s="34"/>
      <c r="T2184" s="34"/>
      <c r="U2184" s="34"/>
      <c r="V2184" s="34"/>
      <c r="W2184" s="34"/>
      <c r="X2184" s="34"/>
      <c r="Y2184" s="34"/>
      <c r="Z2184" s="34"/>
      <c r="AA2184" s="34"/>
    </row>
    <row r="2185" spans="1:27" ht="15">
      <c r="A2185" s="66" t="s">
        <v>238</v>
      </c>
      <c r="B2185" s="66" t="s">
        <v>217</v>
      </c>
      <c r="C2185" s="67" t="s">
        <v>4454</v>
      </c>
      <c r="D2185" s="68">
        <v>5</v>
      </c>
      <c r="E2185" s="69"/>
      <c r="F2185" s="70">
        <v>20</v>
      </c>
      <c r="G2185" s="67"/>
      <c r="H2185" s="71"/>
      <c r="I2185" s="72"/>
      <c r="J2185" s="72"/>
      <c r="K2185" s="34" t="s">
        <v>65</v>
      </c>
      <c r="L2185" s="79">
        <v>2185</v>
      </c>
      <c r="M2185" s="79"/>
      <c r="N2185" s="74"/>
      <c r="O2185" s="81" t="s">
        <v>944</v>
      </c>
      <c r="P2185">
        <v>1</v>
      </c>
      <c r="Q2185" s="80" t="str">
        <f>REPLACE(INDEX(GroupVertices[Group],MATCH(Edges[[#This Row],[Vertex 1]],GroupVertices[Vertex],0)),1,1,"")</f>
        <v>2</v>
      </c>
      <c r="R2185" s="80" t="str">
        <f>REPLACE(INDEX(GroupVertices[Group],MATCH(Edges[[#This Row],[Vertex 2]],GroupVertices[Vertex],0)),1,1,"")</f>
        <v>4</v>
      </c>
      <c r="S2185" s="34"/>
      <c r="T2185" s="34"/>
      <c r="U2185" s="34"/>
      <c r="V2185" s="34"/>
      <c r="W2185" s="34"/>
      <c r="X2185" s="34"/>
      <c r="Y2185" s="34"/>
      <c r="Z2185" s="34"/>
      <c r="AA2185" s="34"/>
    </row>
    <row r="2186" spans="1:27" ht="15">
      <c r="A2186" s="66" t="s">
        <v>238</v>
      </c>
      <c r="B2186" s="66" t="s">
        <v>485</v>
      </c>
      <c r="C2186" s="67" t="s">
        <v>4454</v>
      </c>
      <c r="D2186" s="68">
        <v>5</v>
      </c>
      <c r="E2186" s="69"/>
      <c r="F2186" s="70">
        <v>20</v>
      </c>
      <c r="G2186" s="67"/>
      <c r="H2186" s="71"/>
      <c r="I2186" s="72"/>
      <c r="J2186" s="72"/>
      <c r="K2186" s="34" t="s">
        <v>65</v>
      </c>
      <c r="L2186" s="79">
        <v>2186</v>
      </c>
      <c r="M2186" s="79"/>
      <c r="N2186" s="74"/>
      <c r="O2186" s="81" t="s">
        <v>944</v>
      </c>
      <c r="P2186">
        <v>1</v>
      </c>
      <c r="Q2186" s="80" t="str">
        <f>REPLACE(INDEX(GroupVertices[Group],MATCH(Edges[[#This Row],[Vertex 1]],GroupVertices[Vertex],0)),1,1,"")</f>
        <v>2</v>
      </c>
      <c r="R2186" s="80" t="str">
        <f>REPLACE(INDEX(GroupVertices[Group],MATCH(Edges[[#This Row],[Vertex 2]],GroupVertices[Vertex],0)),1,1,"")</f>
        <v>1</v>
      </c>
      <c r="S2186" s="34"/>
      <c r="T2186" s="34"/>
      <c r="U2186" s="34"/>
      <c r="V2186" s="34"/>
      <c r="W2186" s="34"/>
      <c r="X2186" s="34"/>
      <c r="Y2186" s="34"/>
      <c r="Z2186" s="34"/>
      <c r="AA2186" s="34"/>
    </row>
    <row r="2187" spans="1:27" ht="15">
      <c r="A2187" s="66" t="s">
        <v>238</v>
      </c>
      <c r="B2187" s="66" t="s">
        <v>252</v>
      </c>
      <c r="C2187" s="67" t="s">
        <v>4454</v>
      </c>
      <c r="D2187" s="68">
        <v>5</v>
      </c>
      <c r="E2187" s="69"/>
      <c r="F2187" s="70">
        <v>20</v>
      </c>
      <c r="G2187" s="67"/>
      <c r="H2187" s="71"/>
      <c r="I2187" s="72"/>
      <c r="J2187" s="72"/>
      <c r="K2187" s="34" t="s">
        <v>65</v>
      </c>
      <c r="L2187" s="79">
        <v>2187</v>
      </c>
      <c r="M2187" s="79"/>
      <c r="N2187" s="74"/>
      <c r="O2187" s="81" t="s">
        <v>944</v>
      </c>
      <c r="P2187">
        <v>1</v>
      </c>
      <c r="Q2187" s="80" t="str">
        <f>REPLACE(INDEX(GroupVertices[Group],MATCH(Edges[[#This Row],[Vertex 1]],GroupVertices[Vertex],0)),1,1,"")</f>
        <v>2</v>
      </c>
      <c r="R2187" s="80" t="str">
        <f>REPLACE(INDEX(GroupVertices[Group],MATCH(Edges[[#This Row],[Vertex 2]],GroupVertices[Vertex],0)),1,1,"")</f>
        <v>1</v>
      </c>
      <c r="S2187" s="34"/>
      <c r="T2187" s="34"/>
      <c r="U2187" s="34"/>
      <c r="V2187" s="34"/>
      <c r="W2187" s="34"/>
      <c r="X2187" s="34"/>
      <c r="Y2187" s="34"/>
      <c r="Z2187" s="34"/>
      <c r="AA2187" s="34"/>
    </row>
    <row r="2188" spans="1:27" ht="15">
      <c r="A2188" s="66" t="s">
        <v>238</v>
      </c>
      <c r="B2188" s="66" t="s">
        <v>889</v>
      </c>
      <c r="C2188" s="67" t="s">
        <v>4454</v>
      </c>
      <c r="D2188" s="68">
        <v>5</v>
      </c>
      <c r="E2188" s="69"/>
      <c r="F2188" s="70">
        <v>20</v>
      </c>
      <c r="G2188" s="67"/>
      <c r="H2188" s="71"/>
      <c r="I2188" s="72"/>
      <c r="J2188" s="72"/>
      <c r="K2188" s="34" t="s">
        <v>65</v>
      </c>
      <c r="L2188" s="79">
        <v>2188</v>
      </c>
      <c r="M2188" s="79"/>
      <c r="N2188" s="74"/>
      <c r="O2188" s="81" t="s">
        <v>944</v>
      </c>
      <c r="P2188">
        <v>1</v>
      </c>
      <c r="Q2188" s="80" t="str">
        <f>REPLACE(INDEX(GroupVertices[Group],MATCH(Edges[[#This Row],[Vertex 1]],GroupVertices[Vertex],0)),1,1,"")</f>
        <v>2</v>
      </c>
      <c r="R2188" s="80" t="str">
        <f>REPLACE(INDEX(GroupVertices[Group],MATCH(Edges[[#This Row],[Vertex 2]],GroupVertices[Vertex],0)),1,1,"")</f>
        <v>2</v>
      </c>
      <c r="S2188" s="34"/>
      <c r="T2188" s="34"/>
      <c r="U2188" s="34"/>
      <c r="V2188" s="34"/>
      <c r="W2188" s="34"/>
      <c r="X2188" s="34"/>
      <c r="Y2188" s="34"/>
      <c r="Z2188" s="34"/>
      <c r="AA2188" s="34"/>
    </row>
    <row r="2189" spans="1:27" ht="15">
      <c r="A2189" s="66" t="s">
        <v>238</v>
      </c>
      <c r="B2189" s="66" t="s">
        <v>253</v>
      </c>
      <c r="C2189" s="67" t="s">
        <v>4454</v>
      </c>
      <c r="D2189" s="68">
        <v>5</v>
      </c>
      <c r="E2189" s="69"/>
      <c r="F2189" s="70">
        <v>20</v>
      </c>
      <c r="G2189" s="67"/>
      <c r="H2189" s="71"/>
      <c r="I2189" s="72"/>
      <c r="J2189" s="72"/>
      <c r="K2189" s="34" t="s">
        <v>65</v>
      </c>
      <c r="L2189" s="79">
        <v>2189</v>
      </c>
      <c r="M2189" s="79"/>
      <c r="N2189" s="74"/>
      <c r="O2189" s="81" t="s">
        <v>944</v>
      </c>
      <c r="P2189">
        <v>1</v>
      </c>
      <c r="Q2189" s="80" t="str">
        <f>REPLACE(INDEX(GroupVertices[Group],MATCH(Edges[[#This Row],[Vertex 1]],GroupVertices[Vertex],0)),1,1,"")</f>
        <v>2</v>
      </c>
      <c r="R2189" s="80" t="str">
        <f>REPLACE(INDEX(GroupVertices[Group],MATCH(Edges[[#This Row],[Vertex 2]],GroupVertices[Vertex],0)),1,1,"")</f>
        <v>1</v>
      </c>
      <c r="S2189" s="34"/>
      <c r="T2189" s="34"/>
      <c r="U2189" s="34"/>
      <c r="V2189" s="34"/>
      <c r="W2189" s="34"/>
      <c r="X2189" s="34"/>
      <c r="Y2189" s="34"/>
      <c r="Z2189" s="34"/>
      <c r="AA2189" s="34"/>
    </row>
    <row r="2190" spans="1:27" ht="15">
      <c r="A2190" s="66" t="s">
        <v>238</v>
      </c>
      <c r="B2190" s="66" t="s">
        <v>924</v>
      </c>
      <c r="C2190" s="67" t="s">
        <v>4454</v>
      </c>
      <c r="D2190" s="68">
        <v>5</v>
      </c>
      <c r="E2190" s="69"/>
      <c r="F2190" s="70">
        <v>20</v>
      </c>
      <c r="G2190" s="67"/>
      <c r="H2190" s="71"/>
      <c r="I2190" s="72"/>
      <c r="J2190" s="72"/>
      <c r="K2190" s="34" t="s">
        <v>65</v>
      </c>
      <c r="L2190" s="79">
        <v>2190</v>
      </c>
      <c r="M2190" s="79"/>
      <c r="N2190" s="74"/>
      <c r="O2190" s="81" t="s">
        <v>944</v>
      </c>
      <c r="P2190">
        <v>1</v>
      </c>
      <c r="Q2190" s="80" t="str">
        <f>REPLACE(INDEX(GroupVertices[Group],MATCH(Edges[[#This Row],[Vertex 1]],GroupVertices[Vertex],0)),1,1,"")</f>
        <v>2</v>
      </c>
      <c r="R2190" s="80" t="str">
        <f>REPLACE(INDEX(GroupVertices[Group],MATCH(Edges[[#This Row],[Vertex 2]],GroupVertices[Vertex],0)),1,1,"")</f>
        <v>1</v>
      </c>
      <c r="S2190" s="34"/>
      <c r="T2190" s="34"/>
      <c r="U2190" s="34"/>
      <c r="V2190" s="34"/>
      <c r="W2190" s="34"/>
      <c r="X2190" s="34"/>
      <c r="Y2190" s="34"/>
      <c r="Z2190" s="34"/>
      <c r="AA2190" s="34"/>
    </row>
    <row r="2191" spans="1:27" ht="15">
      <c r="A2191" s="66" t="s">
        <v>249</v>
      </c>
      <c r="B2191" s="66" t="s">
        <v>238</v>
      </c>
      <c r="C2191" s="67" t="s">
        <v>4454</v>
      </c>
      <c r="D2191" s="68">
        <v>5</v>
      </c>
      <c r="E2191" s="69"/>
      <c r="F2191" s="70">
        <v>20</v>
      </c>
      <c r="G2191" s="67"/>
      <c r="H2191" s="71"/>
      <c r="I2191" s="72"/>
      <c r="J2191" s="72"/>
      <c r="K2191" s="34" t="s">
        <v>66</v>
      </c>
      <c r="L2191" s="79">
        <v>2191</v>
      </c>
      <c r="M2191" s="79"/>
      <c r="N2191" s="74"/>
      <c r="O2191" s="81" t="s">
        <v>944</v>
      </c>
      <c r="P2191">
        <v>1</v>
      </c>
      <c r="Q2191" s="80" t="str">
        <f>REPLACE(INDEX(GroupVertices[Group],MATCH(Edges[[#This Row],[Vertex 1]],GroupVertices[Vertex],0)),1,1,"")</f>
        <v>2</v>
      </c>
      <c r="R2191" s="80" t="str">
        <f>REPLACE(INDEX(GroupVertices[Group],MATCH(Edges[[#This Row],[Vertex 2]],GroupVertices[Vertex],0)),1,1,"")</f>
        <v>2</v>
      </c>
      <c r="S2191" s="34"/>
      <c r="T2191" s="34"/>
      <c r="U2191" s="34"/>
      <c r="V2191" s="34"/>
      <c r="W2191" s="34"/>
      <c r="X2191" s="34"/>
      <c r="Y2191" s="34"/>
      <c r="Z2191" s="34"/>
      <c r="AA2191" s="34"/>
    </row>
    <row r="2192" spans="1:27" ht="15">
      <c r="A2192" s="66" t="s">
        <v>250</v>
      </c>
      <c r="B2192" s="66" t="s">
        <v>238</v>
      </c>
      <c r="C2192" s="67" t="s">
        <v>4454</v>
      </c>
      <c r="D2192" s="68">
        <v>5</v>
      </c>
      <c r="E2192" s="69"/>
      <c r="F2192" s="70">
        <v>20</v>
      </c>
      <c r="G2192" s="67"/>
      <c r="H2192" s="71"/>
      <c r="I2192" s="72"/>
      <c r="J2192" s="72"/>
      <c r="K2192" s="34" t="s">
        <v>66</v>
      </c>
      <c r="L2192" s="79">
        <v>2192</v>
      </c>
      <c r="M2192" s="79"/>
      <c r="N2192" s="74"/>
      <c r="O2192" s="81" t="s">
        <v>944</v>
      </c>
      <c r="P2192">
        <v>1</v>
      </c>
      <c r="Q2192" s="80" t="str">
        <f>REPLACE(INDEX(GroupVertices[Group],MATCH(Edges[[#This Row],[Vertex 1]],GroupVertices[Vertex],0)),1,1,"")</f>
        <v>2</v>
      </c>
      <c r="R2192" s="80" t="str">
        <f>REPLACE(INDEX(GroupVertices[Group],MATCH(Edges[[#This Row],[Vertex 2]],GroupVertices[Vertex],0)),1,1,"")</f>
        <v>2</v>
      </c>
      <c r="S2192" s="34"/>
      <c r="T2192" s="34"/>
      <c r="U2192" s="34"/>
      <c r="V2192" s="34"/>
      <c r="W2192" s="34"/>
      <c r="X2192" s="34"/>
      <c r="Y2192" s="34"/>
      <c r="Z2192" s="34"/>
      <c r="AA2192" s="34"/>
    </row>
    <row r="2193" spans="1:27" ht="15">
      <c r="A2193" s="66" t="s">
        <v>256</v>
      </c>
      <c r="B2193" s="66" t="s">
        <v>238</v>
      </c>
      <c r="C2193" s="67" t="s">
        <v>4454</v>
      </c>
      <c r="D2193" s="68">
        <v>5</v>
      </c>
      <c r="E2193" s="69"/>
      <c r="F2193" s="70">
        <v>20</v>
      </c>
      <c r="G2193" s="67"/>
      <c r="H2193" s="71"/>
      <c r="I2193" s="72"/>
      <c r="J2193" s="72"/>
      <c r="K2193" s="34" t="s">
        <v>66</v>
      </c>
      <c r="L2193" s="79">
        <v>2193</v>
      </c>
      <c r="M2193" s="79"/>
      <c r="N2193" s="74"/>
      <c r="O2193" s="81" t="s">
        <v>944</v>
      </c>
      <c r="P2193">
        <v>1</v>
      </c>
      <c r="Q2193" s="80" t="str">
        <f>REPLACE(INDEX(GroupVertices[Group],MATCH(Edges[[#This Row],[Vertex 1]],GroupVertices[Vertex],0)),1,1,"")</f>
        <v>1</v>
      </c>
      <c r="R2193" s="80" t="str">
        <f>REPLACE(INDEX(GroupVertices[Group],MATCH(Edges[[#This Row],[Vertex 2]],GroupVertices[Vertex],0)),1,1,"")</f>
        <v>2</v>
      </c>
      <c r="S2193" s="34"/>
      <c r="T2193" s="34"/>
      <c r="U2193" s="34"/>
      <c r="V2193" s="34"/>
      <c r="W2193" s="34"/>
      <c r="X2193" s="34"/>
      <c r="Y2193" s="34"/>
      <c r="Z2193" s="34"/>
      <c r="AA2193" s="34"/>
    </row>
    <row r="2194" spans="1:27" ht="15">
      <c r="A2194" s="66" t="s">
        <v>258</v>
      </c>
      <c r="B2194" s="66" t="s">
        <v>238</v>
      </c>
      <c r="C2194" s="67" t="s">
        <v>4454</v>
      </c>
      <c r="D2194" s="68">
        <v>5</v>
      </c>
      <c r="E2194" s="69"/>
      <c r="F2194" s="70">
        <v>20</v>
      </c>
      <c r="G2194" s="67"/>
      <c r="H2194" s="71"/>
      <c r="I2194" s="72"/>
      <c r="J2194" s="72"/>
      <c r="K2194" s="34" t="s">
        <v>66</v>
      </c>
      <c r="L2194" s="79">
        <v>2194</v>
      </c>
      <c r="M2194" s="79"/>
      <c r="N2194" s="74"/>
      <c r="O2194" s="81" t="s">
        <v>944</v>
      </c>
      <c r="P2194">
        <v>1</v>
      </c>
      <c r="Q2194" s="80" t="str">
        <f>REPLACE(INDEX(GroupVertices[Group],MATCH(Edges[[#This Row],[Vertex 1]],GroupVertices[Vertex],0)),1,1,"")</f>
        <v>1</v>
      </c>
      <c r="R2194" s="80" t="str">
        <f>REPLACE(INDEX(GroupVertices[Group],MATCH(Edges[[#This Row],[Vertex 2]],GroupVertices[Vertex],0)),1,1,"")</f>
        <v>2</v>
      </c>
      <c r="S2194" s="34"/>
      <c r="T2194" s="34"/>
      <c r="U2194" s="34"/>
      <c r="V2194" s="34"/>
      <c r="W2194" s="34"/>
      <c r="X2194" s="34"/>
      <c r="Y2194" s="34"/>
      <c r="Z2194" s="34"/>
      <c r="AA2194" s="34"/>
    </row>
    <row r="2195" spans="1:27" ht="15">
      <c r="A2195" s="66" t="s">
        <v>260</v>
      </c>
      <c r="B2195" s="66" t="s">
        <v>238</v>
      </c>
      <c r="C2195" s="67" t="s">
        <v>4454</v>
      </c>
      <c r="D2195" s="68">
        <v>5</v>
      </c>
      <c r="E2195" s="69"/>
      <c r="F2195" s="70">
        <v>20</v>
      </c>
      <c r="G2195" s="67"/>
      <c r="H2195" s="71"/>
      <c r="I2195" s="72"/>
      <c r="J2195" s="72"/>
      <c r="K2195" s="34" t="s">
        <v>66</v>
      </c>
      <c r="L2195" s="79">
        <v>2195</v>
      </c>
      <c r="M2195" s="79"/>
      <c r="N2195" s="74"/>
      <c r="O2195" s="81" t="s">
        <v>944</v>
      </c>
      <c r="P2195">
        <v>1</v>
      </c>
      <c r="Q2195" s="80" t="str">
        <f>REPLACE(INDEX(GroupVertices[Group],MATCH(Edges[[#This Row],[Vertex 1]],GroupVertices[Vertex],0)),1,1,"")</f>
        <v>2</v>
      </c>
      <c r="R2195" s="80" t="str">
        <f>REPLACE(INDEX(GroupVertices[Group],MATCH(Edges[[#This Row],[Vertex 2]],GroupVertices[Vertex],0)),1,1,"")</f>
        <v>2</v>
      </c>
      <c r="S2195" s="34"/>
      <c r="T2195" s="34"/>
      <c r="U2195" s="34"/>
      <c r="V2195" s="34"/>
      <c r="W2195" s="34"/>
      <c r="X2195" s="34"/>
      <c r="Y2195" s="34"/>
      <c r="Z2195" s="34"/>
      <c r="AA2195" s="34"/>
    </row>
    <row r="2196" spans="1:27" ht="15">
      <c r="A2196" s="66" t="s">
        <v>260</v>
      </c>
      <c r="B2196" s="66" t="s">
        <v>925</v>
      </c>
      <c r="C2196" s="67" t="s">
        <v>4454</v>
      </c>
      <c r="D2196" s="68">
        <v>5</v>
      </c>
      <c r="E2196" s="69"/>
      <c r="F2196" s="70">
        <v>20</v>
      </c>
      <c r="G2196" s="67"/>
      <c r="H2196" s="71"/>
      <c r="I2196" s="72"/>
      <c r="J2196" s="72"/>
      <c r="K2196" s="34"/>
      <c r="L2196" s="79">
        <v>2196</v>
      </c>
      <c r="M2196" s="79"/>
      <c r="N2196" s="74"/>
      <c r="O2196" s="81" t="s">
        <v>944</v>
      </c>
      <c r="P2196">
        <v>1</v>
      </c>
      <c r="Q2196" s="80" t="str">
        <f>REPLACE(INDEX(GroupVertices[Group],MATCH(Edges[[#This Row],[Vertex 1]],GroupVertices[Vertex],0)),1,1,"")</f>
        <v>2</v>
      </c>
      <c r="R2196" s="80" t="e">
        <f>REPLACE(INDEX(GroupVertices[Group],MATCH(Edges[[#This Row],[Vertex 2]],GroupVertices[Vertex],0)),1,1,"")</f>
        <v>#N/A</v>
      </c>
      <c r="S2196" s="34"/>
      <c r="T2196" s="34"/>
      <c r="U2196" s="34"/>
      <c r="V2196" s="34"/>
      <c r="W2196" s="34"/>
      <c r="X2196" s="34"/>
      <c r="Y2196" s="34"/>
      <c r="Z2196" s="34"/>
      <c r="AA2196" s="34"/>
    </row>
    <row r="2197" spans="1:27" ht="15">
      <c r="A2197" s="66" t="s">
        <v>260</v>
      </c>
      <c r="B2197" s="66" t="s">
        <v>918</v>
      </c>
      <c r="C2197" s="67" t="s">
        <v>4454</v>
      </c>
      <c r="D2197" s="68">
        <v>5</v>
      </c>
      <c r="E2197" s="69"/>
      <c r="F2197" s="70">
        <v>20</v>
      </c>
      <c r="G2197" s="67"/>
      <c r="H2197" s="71"/>
      <c r="I2197" s="72"/>
      <c r="J2197" s="72"/>
      <c r="K2197" s="34" t="s">
        <v>65</v>
      </c>
      <c r="L2197" s="79">
        <v>2197</v>
      </c>
      <c r="M2197" s="79"/>
      <c r="N2197" s="74"/>
      <c r="O2197" s="81" t="s">
        <v>944</v>
      </c>
      <c r="P2197">
        <v>1</v>
      </c>
      <c r="Q2197" s="80" t="str">
        <f>REPLACE(INDEX(GroupVertices[Group],MATCH(Edges[[#This Row],[Vertex 1]],GroupVertices[Vertex],0)),1,1,"")</f>
        <v>2</v>
      </c>
      <c r="R2197" s="80" t="str">
        <f>REPLACE(INDEX(GroupVertices[Group],MATCH(Edges[[#This Row],[Vertex 2]],GroupVertices[Vertex],0)),1,1,"")</f>
        <v>2</v>
      </c>
      <c r="S2197" s="34"/>
      <c r="T2197" s="34"/>
      <c r="U2197" s="34"/>
      <c r="V2197" s="34"/>
      <c r="W2197" s="34"/>
      <c r="X2197" s="34"/>
      <c r="Y2197" s="34"/>
      <c r="Z2197" s="34"/>
      <c r="AA2197" s="34"/>
    </row>
    <row r="2198" spans="1:27" ht="15">
      <c r="A2198" s="66" t="s">
        <v>217</v>
      </c>
      <c r="B2198" s="66" t="s">
        <v>616</v>
      </c>
      <c r="C2198" s="67" t="s">
        <v>4454</v>
      </c>
      <c r="D2198" s="68">
        <v>5</v>
      </c>
      <c r="E2198" s="69"/>
      <c r="F2198" s="70">
        <v>20</v>
      </c>
      <c r="G2198" s="67"/>
      <c r="H2198" s="71"/>
      <c r="I2198" s="72"/>
      <c r="J2198" s="72"/>
      <c r="K2198" s="34" t="s">
        <v>65</v>
      </c>
      <c r="L2198" s="79">
        <v>2198</v>
      </c>
      <c r="M2198" s="79"/>
      <c r="N2198" s="74"/>
      <c r="O2198" s="81" t="s">
        <v>944</v>
      </c>
      <c r="P2198">
        <v>1</v>
      </c>
      <c r="Q2198" s="80" t="str">
        <f>REPLACE(INDEX(GroupVertices[Group],MATCH(Edges[[#This Row],[Vertex 1]],GroupVertices[Vertex],0)),1,1,"")</f>
        <v>4</v>
      </c>
      <c r="R2198" s="80" t="str">
        <f>REPLACE(INDEX(GroupVertices[Group],MATCH(Edges[[#This Row],[Vertex 2]],GroupVertices[Vertex],0)),1,1,"")</f>
        <v>1</v>
      </c>
      <c r="S2198" s="34"/>
      <c r="T2198" s="34"/>
      <c r="U2198" s="34"/>
      <c r="V2198" s="34"/>
      <c r="W2198" s="34"/>
      <c r="X2198" s="34"/>
      <c r="Y2198" s="34"/>
      <c r="Z2198" s="34"/>
      <c r="AA2198" s="34"/>
    </row>
    <row r="2199" spans="1:27" ht="15">
      <c r="A2199" s="66" t="s">
        <v>217</v>
      </c>
      <c r="B2199" s="66" t="s">
        <v>226</v>
      </c>
      <c r="C2199" s="67" t="s">
        <v>4454</v>
      </c>
      <c r="D2199" s="68">
        <v>5</v>
      </c>
      <c r="E2199" s="69"/>
      <c r="F2199" s="70">
        <v>20</v>
      </c>
      <c r="G2199" s="67"/>
      <c r="H2199" s="71"/>
      <c r="I2199" s="72"/>
      <c r="J2199" s="72"/>
      <c r="K2199" s="34" t="s">
        <v>65</v>
      </c>
      <c r="L2199" s="79">
        <v>2199</v>
      </c>
      <c r="M2199" s="79"/>
      <c r="N2199" s="74"/>
      <c r="O2199" s="81" t="s">
        <v>944</v>
      </c>
      <c r="P2199">
        <v>1</v>
      </c>
      <c r="Q2199" s="80" t="str">
        <f>REPLACE(INDEX(GroupVertices[Group],MATCH(Edges[[#This Row],[Vertex 1]],GroupVertices[Vertex],0)),1,1,"")</f>
        <v>4</v>
      </c>
      <c r="R2199" s="80" t="str">
        <f>REPLACE(INDEX(GroupVertices[Group],MATCH(Edges[[#This Row],[Vertex 2]],GroupVertices[Vertex],0)),1,1,"")</f>
        <v>4</v>
      </c>
      <c r="S2199" s="34"/>
      <c r="T2199" s="34"/>
      <c r="U2199" s="34"/>
      <c r="V2199" s="34"/>
      <c r="W2199" s="34"/>
      <c r="X2199" s="34"/>
      <c r="Y2199" s="34"/>
      <c r="Z2199" s="34"/>
      <c r="AA2199" s="34"/>
    </row>
    <row r="2200" spans="1:27" ht="15">
      <c r="A2200" s="66" t="s">
        <v>217</v>
      </c>
      <c r="B2200" s="66" t="s">
        <v>484</v>
      </c>
      <c r="C2200" s="67" t="s">
        <v>4454</v>
      </c>
      <c r="D2200" s="68">
        <v>5</v>
      </c>
      <c r="E2200" s="69"/>
      <c r="F2200" s="70">
        <v>20</v>
      </c>
      <c r="G2200" s="67"/>
      <c r="H2200" s="71"/>
      <c r="I2200" s="72"/>
      <c r="J2200" s="72"/>
      <c r="K2200" s="34" t="s">
        <v>65</v>
      </c>
      <c r="L2200" s="79">
        <v>2200</v>
      </c>
      <c r="M2200" s="79"/>
      <c r="N2200" s="74"/>
      <c r="O2200" s="81" t="s">
        <v>944</v>
      </c>
      <c r="P2200">
        <v>1</v>
      </c>
      <c r="Q2200" s="80" t="str">
        <f>REPLACE(INDEX(GroupVertices[Group],MATCH(Edges[[#This Row],[Vertex 1]],GroupVertices[Vertex],0)),1,1,"")</f>
        <v>4</v>
      </c>
      <c r="R2200" s="80" t="str">
        <f>REPLACE(INDEX(GroupVertices[Group],MATCH(Edges[[#This Row],[Vertex 2]],GroupVertices[Vertex],0)),1,1,"")</f>
        <v>1</v>
      </c>
      <c r="S2200" s="34"/>
      <c r="T2200" s="34"/>
      <c r="U2200" s="34"/>
      <c r="V2200" s="34"/>
      <c r="W2200" s="34"/>
      <c r="X2200" s="34"/>
      <c r="Y2200" s="34"/>
      <c r="Z2200" s="34"/>
      <c r="AA2200" s="34"/>
    </row>
    <row r="2201" spans="1:27" ht="15">
      <c r="A2201" s="66" t="s">
        <v>217</v>
      </c>
      <c r="B2201" s="66" t="s">
        <v>881</v>
      </c>
      <c r="C2201" s="67" t="s">
        <v>4454</v>
      </c>
      <c r="D2201" s="68">
        <v>5</v>
      </c>
      <c r="E2201" s="69"/>
      <c r="F2201" s="70">
        <v>20</v>
      </c>
      <c r="G2201" s="67"/>
      <c r="H2201" s="71"/>
      <c r="I2201" s="72"/>
      <c r="J2201" s="72"/>
      <c r="K2201" s="34" t="s">
        <v>65</v>
      </c>
      <c r="L2201" s="79">
        <v>2201</v>
      </c>
      <c r="M2201" s="79"/>
      <c r="N2201" s="74"/>
      <c r="O2201" s="81" t="s">
        <v>944</v>
      </c>
      <c r="P2201">
        <v>1</v>
      </c>
      <c r="Q2201" s="80" t="str">
        <f>REPLACE(INDEX(GroupVertices[Group],MATCH(Edges[[#This Row],[Vertex 1]],GroupVertices[Vertex],0)),1,1,"")</f>
        <v>4</v>
      </c>
      <c r="R2201" s="80" t="str">
        <f>REPLACE(INDEX(GroupVertices[Group],MATCH(Edges[[#This Row],[Vertex 2]],GroupVertices[Vertex],0)),1,1,"")</f>
        <v>1</v>
      </c>
      <c r="S2201" s="34"/>
      <c r="T2201" s="34"/>
      <c r="U2201" s="34"/>
      <c r="V2201" s="34"/>
      <c r="W2201" s="34"/>
      <c r="X2201" s="34"/>
      <c r="Y2201" s="34"/>
      <c r="Z2201" s="34"/>
      <c r="AA2201" s="34"/>
    </row>
    <row r="2202" spans="1:27" ht="15">
      <c r="A2202" s="66" t="s">
        <v>217</v>
      </c>
      <c r="B2202" s="66" t="s">
        <v>846</v>
      </c>
      <c r="C2202" s="67" t="s">
        <v>4454</v>
      </c>
      <c r="D2202" s="68">
        <v>5</v>
      </c>
      <c r="E2202" s="69"/>
      <c r="F2202" s="70">
        <v>20</v>
      </c>
      <c r="G2202" s="67"/>
      <c r="H2202" s="71"/>
      <c r="I2202" s="72"/>
      <c r="J2202" s="72"/>
      <c r="K2202" s="34" t="s">
        <v>65</v>
      </c>
      <c r="L2202" s="79">
        <v>2202</v>
      </c>
      <c r="M2202" s="79"/>
      <c r="N2202" s="74"/>
      <c r="O2202" s="81" t="s">
        <v>944</v>
      </c>
      <c r="P2202">
        <v>1</v>
      </c>
      <c r="Q2202" s="80" t="str">
        <f>REPLACE(INDEX(GroupVertices[Group],MATCH(Edges[[#This Row],[Vertex 1]],GroupVertices[Vertex],0)),1,1,"")</f>
        <v>4</v>
      </c>
      <c r="R2202" s="80" t="str">
        <f>REPLACE(INDEX(GroupVertices[Group],MATCH(Edges[[#This Row],[Vertex 2]],GroupVertices[Vertex],0)),1,1,"")</f>
        <v>1</v>
      </c>
      <c r="S2202" s="34"/>
      <c r="T2202" s="34"/>
      <c r="U2202" s="34"/>
      <c r="V2202" s="34"/>
      <c r="W2202" s="34"/>
      <c r="X2202" s="34"/>
      <c r="Y2202" s="34"/>
      <c r="Z2202" s="34"/>
      <c r="AA2202" s="34"/>
    </row>
    <row r="2203" spans="1:27" ht="15">
      <c r="A2203" s="66" t="s">
        <v>217</v>
      </c>
      <c r="B2203" s="66" t="s">
        <v>886</v>
      </c>
      <c r="C2203" s="67" t="s">
        <v>4454</v>
      </c>
      <c r="D2203" s="68">
        <v>5</v>
      </c>
      <c r="E2203" s="69"/>
      <c r="F2203" s="70">
        <v>20</v>
      </c>
      <c r="G2203" s="67"/>
      <c r="H2203" s="71"/>
      <c r="I2203" s="72"/>
      <c r="J2203" s="72"/>
      <c r="K2203" s="34" t="s">
        <v>65</v>
      </c>
      <c r="L2203" s="79">
        <v>2203</v>
      </c>
      <c r="M2203" s="79"/>
      <c r="N2203" s="74"/>
      <c r="O2203" s="81" t="s">
        <v>944</v>
      </c>
      <c r="P2203">
        <v>1</v>
      </c>
      <c r="Q2203" s="80" t="str">
        <f>REPLACE(INDEX(GroupVertices[Group],MATCH(Edges[[#This Row],[Vertex 1]],GroupVertices[Vertex],0)),1,1,"")</f>
        <v>4</v>
      </c>
      <c r="R2203" s="80" t="str">
        <f>REPLACE(INDEX(GroupVertices[Group],MATCH(Edges[[#This Row],[Vertex 2]],GroupVertices[Vertex],0)),1,1,"")</f>
        <v>4</v>
      </c>
      <c r="S2203" s="34"/>
      <c r="T2203" s="34"/>
      <c r="U2203" s="34"/>
      <c r="V2203" s="34"/>
      <c r="W2203" s="34"/>
      <c r="X2203" s="34"/>
      <c r="Y2203" s="34"/>
      <c r="Z2203" s="34"/>
      <c r="AA2203" s="34"/>
    </row>
    <row r="2204" spans="1:27" ht="15">
      <c r="A2204" s="66" t="s">
        <v>217</v>
      </c>
      <c r="B2204" s="66" t="s">
        <v>869</v>
      </c>
      <c r="C2204" s="67" t="s">
        <v>4454</v>
      </c>
      <c r="D2204" s="68">
        <v>5</v>
      </c>
      <c r="E2204" s="69"/>
      <c r="F2204" s="70">
        <v>20</v>
      </c>
      <c r="G2204" s="67"/>
      <c r="H2204" s="71"/>
      <c r="I2204" s="72"/>
      <c r="J2204" s="72"/>
      <c r="K2204" s="34" t="s">
        <v>65</v>
      </c>
      <c r="L2204" s="79">
        <v>2204</v>
      </c>
      <c r="M2204" s="79"/>
      <c r="N2204" s="74"/>
      <c r="O2204" s="81" t="s">
        <v>944</v>
      </c>
      <c r="P2204">
        <v>1</v>
      </c>
      <c r="Q2204" s="80" t="str">
        <f>REPLACE(INDEX(GroupVertices[Group],MATCH(Edges[[#This Row],[Vertex 1]],GroupVertices[Vertex],0)),1,1,"")</f>
        <v>4</v>
      </c>
      <c r="R2204" s="80" t="str">
        <f>REPLACE(INDEX(GroupVertices[Group],MATCH(Edges[[#This Row],[Vertex 2]],GroupVertices[Vertex],0)),1,1,"")</f>
        <v>1</v>
      </c>
      <c r="S2204" s="34"/>
      <c r="T2204" s="34"/>
      <c r="U2204" s="34"/>
      <c r="V2204" s="34"/>
      <c r="W2204" s="34"/>
      <c r="X2204" s="34"/>
      <c r="Y2204" s="34"/>
      <c r="Z2204" s="34"/>
      <c r="AA2204" s="34"/>
    </row>
    <row r="2205" spans="1:27" ht="15">
      <c r="A2205" s="66" t="s">
        <v>217</v>
      </c>
      <c r="B2205" s="66" t="s">
        <v>261</v>
      </c>
      <c r="C2205" s="67" t="s">
        <v>4454</v>
      </c>
      <c r="D2205" s="68">
        <v>5</v>
      </c>
      <c r="E2205" s="69"/>
      <c r="F2205" s="70">
        <v>20</v>
      </c>
      <c r="G2205" s="67"/>
      <c r="H2205" s="71"/>
      <c r="I2205" s="72"/>
      <c r="J2205" s="72"/>
      <c r="K2205" s="34" t="s">
        <v>65</v>
      </c>
      <c r="L2205" s="79">
        <v>2205</v>
      </c>
      <c r="M2205" s="79"/>
      <c r="N2205" s="74"/>
      <c r="O2205" s="81" t="s">
        <v>944</v>
      </c>
      <c r="P2205">
        <v>1</v>
      </c>
      <c r="Q2205" s="80" t="str">
        <f>REPLACE(INDEX(GroupVertices[Group],MATCH(Edges[[#This Row],[Vertex 1]],GroupVertices[Vertex],0)),1,1,"")</f>
        <v>4</v>
      </c>
      <c r="R2205" s="80" t="str">
        <f>REPLACE(INDEX(GroupVertices[Group],MATCH(Edges[[#This Row],[Vertex 2]],GroupVertices[Vertex],0)),1,1,"")</f>
        <v>1</v>
      </c>
      <c r="S2205" s="34"/>
      <c r="T2205" s="34"/>
      <c r="U2205" s="34"/>
      <c r="V2205" s="34"/>
      <c r="W2205" s="34"/>
      <c r="X2205" s="34"/>
      <c r="Y2205" s="34"/>
      <c r="Z2205" s="34"/>
      <c r="AA2205" s="34"/>
    </row>
    <row r="2206" spans="1:27" ht="15">
      <c r="A2206" s="66" t="s">
        <v>217</v>
      </c>
      <c r="B2206" s="66" t="s">
        <v>252</v>
      </c>
      <c r="C2206" s="67" t="s">
        <v>4454</v>
      </c>
      <c r="D2206" s="68">
        <v>5</v>
      </c>
      <c r="E2206" s="69"/>
      <c r="F2206" s="70">
        <v>20</v>
      </c>
      <c r="G2206" s="67"/>
      <c r="H2206" s="71"/>
      <c r="I2206" s="72"/>
      <c r="J2206" s="72"/>
      <c r="K2206" s="34" t="s">
        <v>65</v>
      </c>
      <c r="L2206" s="79">
        <v>2206</v>
      </c>
      <c r="M2206" s="79"/>
      <c r="N2206" s="74"/>
      <c r="O2206" s="81" t="s">
        <v>944</v>
      </c>
      <c r="P2206">
        <v>1</v>
      </c>
      <c r="Q2206" s="80" t="str">
        <f>REPLACE(INDEX(GroupVertices[Group],MATCH(Edges[[#This Row],[Vertex 1]],GroupVertices[Vertex],0)),1,1,"")</f>
        <v>4</v>
      </c>
      <c r="R2206" s="80" t="str">
        <f>REPLACE(INDEX(GroupVertices[Group],MATCH(Edges[[#This Row],[Vertex 2]],GroupVertices[Vertex],0)),1,1,"")</f>
        <v>1</v>
      </c>
      <c r="S2206" s="34"/>
      <c r="T2206" s="34"/>
      <c r="U2206" s="34"/>
      <c r="V2206" s="34"/>
      <c r="W2206" s="34"/>
      <c r="X2206" s="34"/>
      <c r="Y2206" s="34"/>
      <c r="Z2206" s="34"/>
      <c r="AA2206" s="34"/>
    </row>
    <row r="2207" spans="1:27" ht="15">
      <c r="A2207" s="66" t="s">
        <v>217</v>
      </c>
      <c r="B2207" s="66" t="s">
        <v>485</v>
      </c>
      <c r="C2207" s="67" t="s">
        <v>4454</v>
      </c>
      <c r="D2207" s="68">
        <v>5</v>
      </c>
      <c r="E2207" s="69"/>
      <c r="F2207" s="70">
        <v>20</v>
      </c>
      <c r="G2207" s="67"/>
      <c r="H2207" s="71"/>
      <c r="I2207" s="72"/>
      <c r="J2207" s="72"/>
      <c r="K2207" s="34" t="s">
        <v>65</v>
      </c>
      <c r="L2207" s="79">
        <v>2207</v>
      </c>
      <c r="M2207" s="79"/>
      <c r="N2207" s="74"/>
      <c r="O2207" s="81" t="s">
        <v>944</v>
      </c>
      <c r="P2207">
        <v>1</v>
      </c>
      <c r="Q2207" s="80" t="str">
        <f>REPLACE(INDEX(GroupVertices[Group],MATCH(Edges[[#This Row],[Vertex 1]],GroupVertices[Vertex],0)),1,1,"")</f>
        <v>4</v>
      </c>
      <c r="R2207" s="80" t="str">
        <f>REPLACE(INDEX(GroupVertices[Group],MATCH(Edges[[#This Row],[Vertex 2]],GroupVertices[Vertex],0)),1,1,"")</f>
        <v>1</v>
      </c>
      <c r="S2207" s="34"/>
      <c r="T2207" s="34"/>
      <c r="U2207" s="34"/>
      <c r="V2207" s="34"/>
      <c r="W2207" s="34"/>
      <c r="X2207" s="34"/>
      <c r="Y2207" s="34"/>
      <c r="Z2207" s="34"/>
      <c r="AA2207" s="34"/>
    </row>
    <row r="2208" spans="1:27" ht="15">
      <c r="A2208" s="66" t="s">
        <v>217</v>
      </c>
      <c r="B2208" s="66" t="s">
        <v>254</v>
      </c>
      <c r="C2208" s="67" t="s">
        <v>4454</v>
      </c>
      <c r="D2208" s="68">
        <v>5</v>
      </c>
      <c r="E2208" s="69"/>
      <c r="F2208" s="70">
        <v>20</v>
      </c>
      <c r="G2208" s="67"/>
      <c r="H2208" s="71"/>
      <c r="I2208" s="72"/>
      <c r="J2208" s="72"/>
      <c r="K2208" s="34" t="s">
        <v>65</v>
      </c>
      <c r="L2208" s="79">
        <v>2208</v>
      </c>
      <c r="M2208" s="79"/>
      <c r="N2208" s="74"/>
      <c r="O2208" s="81" t="s">
        <v>944</v>
      </c>
      <c r="P2208">
        <v>1</v>
      </c>
      <c r="Q2208" s="80" t="str">
        <f>REPLACE(INDEX(GroupVertices[Group],MATCH(Edges[[#This Row],[Vertex 1]],GroupVertices[Vertex],0)),1,1,"")</f>
        <v>4</v>
      </c>
      <c r="R2208" s="80" t="str">
        <f>REPLACE(INDEX(GroupVertices[Group],MATCH(Edges[[#This Row],[Vertex 2]],GroupVertices[Vertex],0)),1,1,"")</f>
        <v>3</v>
      </c>
      <c r="S2208" s="34"/>
      <c r="T2208" s="34"/>
      <c r="U2208" s="34"/>
      <c r="V2208" s="34"/>
      <c r="W2208" s="34"/>
      <c r="X2208" s="34"/>
      <c r="Y2208" s="34"/>
      <c r="Z2208" s="34"/>
      <c r="AA2208" s="34"/>
    </row>
    <row r="2209" spans="1:27" ht="15">
      <c r="A2209" s="66" t="s">
        <v>217</v>
      </c>
      <c r="B2209" s="66" t="s">
        <v>889</v>
      </c>
      <c r="C2209" s="67" t="s">
        <v>4454</v>
      </c>
      <c r="D2209" s="68">
        <v>5</v>
      </c>
      <c r="E2209" s="69"/>
      <c r="F2209" s="70">
        <v>20</v>
      </c>
      <c r="G2209" s="67"/>
      <c r="H2209" s="71"/>
      <c r="I2209" s="72"/>
      <c r="J2209" s="72"/>
      <c r="K2209" s="34" t="s">
        <v>65</v>
      </c>
      <c r="L2209" s="79">
        <v>2209</v>
      </c>
      <c r="M2209" s="79"/>
      <c r="N2209" s="74"/>
      <c r="O2209" s="81" t="s">
        <v>944</v>
      </c>
      <c r="P2209">
        <v>1</v>
      </c>
      <c r="Q2209" s="80" t="str">
        <f>REPLACE(INDEX(GroupVertices[Group],MATCH(Edges[[#This Row],[Vertex 1]],GroupVertices[Vertex],0)),1,1,"")</f>
        <v>4</v>
      </c>
      <c r="R2209" s="80" t="str">
        <f>REPLACE(INDEX(GroupVertices[Group],MATCH(Edges[[#This Row],[Vertex 2]],GroupVertices[Vertex],0)),1,1,"")</f>
        <v>2</v>
      </c>
      <c r="S2209" s="34"/>
      <c r="T2209" s="34"/>
      <c r="U2209" s="34"/>
      <c r="V2209" s="34"/>
      <c r="W2209" s="34"/>
      <c r="X2209" s="34"/>
      <c r="Y2209" s="34"/>
      <c r="Z2209" s="34"/>
      <c r="AA2209" s="34"/>
    </row>
    <row r="2210" spans="1:27" ht="15">
      <c r="A2210" s="66" t="s">
        <v>217</v>
      </c>
      <c r="B2210" s="66" t="s">
        <v>253</v>
      </c>
      <c r="C2210" s="67" t="s">
        <v>4454</v>
      </c>
      <c r="D2210" s="68">
        <v>5</v>
      </c>
      <c r="E2210" s="69"/>
      <c r="F2210" s="70">
        <v>20</v>
      </c>
      <c r="G2210" s="67"/>
      <c r="H2210" s="71"/>
      <c r="I2210" s="72"/>
      <c r="J2210" s="72"/>
      <c r="K2210" s="34" t="s">
        <v>65</v>
      </c>
      <c r="L2210" s="79">
        <v>2210</v>
      </c>
      <c r="M2210" s="79"/>
      <c r="N2210" s="74"/>
      <c r="O2210" s="81" t="s">
        <v>944</v>
      </c>
      <c r="P2210">
        <v>1</v>
      </c>
      <c r="Q2210" s="80" t="str">
        <f>REPLACE(INDEX(GroupVertices[Group],MATCH(Edges[[#This Row],[Vertex 1]],GroupVertices[Vertex],0)),1,1,"")</f>
        <v>4</v>
      </c>
      <c r="R2210" s="80" t="str">
        <f>REPLACE(INDEX(GroupVertices[Group],MATCH(Edges[[#This Row],[Vertex 2]],GroupVertices[Vertex],0)),1,1,"")</f>
        <v>1</v>
      </c>
      <c r="S2210" s="34"/>
      <c r="T2210" s="34"/>
      <c r="U2210" s="34"/>
      <c r="V2210" s="34"/>
      <c r="W2210" s="34"/>
      <c r="X2210" s="34"/>
      <c r="Y2210" s="34"/>
      <c r="Z2210" s="34"/>
      <c r="AA2210" s="34"/>
    </row>
    <row r="2211" spans="1:27" ht="15">
      <c r="A2211" s="66" t="s">
        <v>232</v>
      </c>
      <c r="B2211" s="66" t="s">
        <v>217</v>
      </c>
      <c r="C2211" s="67" t="s">
        <v>4454</v>
      </c>
      <c r="D2211" s="68">
        <v>5</v>
      </c>
      <c r="E2211" s="69"/>
      <c r="F2211" s="70">
        <v>20</v>
      </c>
      <c r="G2211" s="67"/>
      <c r="H2211" s="71"/>
      <c r="I2211" s="72"/>
      <c r="J2211" s="72"/>
      <c r="K2211" s="34" t="s">
        <v>65</v>
      </c>
      <c r="L2211" s="79">
        <v>2211</v>
      </c>
      <c r="M2211" s="79"/>
      <c r="N2211" s="74"/>
      <c r="O2211" s="81" t="s">
        <v>944</v>
      </c>
      <c r="P2211">
        <v>1</v>
      </c>
      <c r="Q2211" s="80" t="str">
        <f>REPLACE(INDEX(GroupVertices[Group],MATCH(Edges[[#This Row],[Vertex 1]],GroupVertices[Vertex],0)),1,1,"")</f>
        <v>1</v>
      </c>
      <c r="R2211" s="80" t="str">
        <f>REPLACE(INDEX(GroupVertices[Group],MATCH(Edges[[#This Row],[Vertex 2]],GroupVertices[Vertex],0)),1,1,"")</f>
        <v>4</v>
      </c>
      <c r="S2211" s="34"/>
      <c r="T2211" s="34"/>
      <c r="U2211" s="34"/>
      <c r="V2211" s="34"/>
      <c r="W2211" s="34"/>
      <c r="X2211" s="34"/>
      <c r="Y2211" s="34"/>
      <c r="Z2211" s="34"/>
      <c r="AA2211" s="34"/>
    </row>
    <row r="2212" spans="1:27" ht="15">
      <c r="A2212" s="66" t="s">
        <v>249</v>
      </c>
      <c r="B2212" s="66" t="s">
        <v>217</v>
      </c>
      <c r="C2212" s="67" t="s">
        <v>4454</v>
      </c>
      <c r="D2212" s="68">
        <v>5</v>
      </c>
      <c r="E2212" s="69"/>
      <c r="F2212" s="70">
        <v>20</v>
      </c>
      <c r="G2212" s="67"/>
      <c r="H2212" s="71"/>
      <c r="I2212" s="72"/>
      <c r="J2212" s="72"/>
      <c r="K2212" s="34" t="s">
        <v>65</v>
      </c>
      <c r="L2212" s="79">
        <v>2212</v>
      </c>
      <c r="M2212" s="79"/>
      <c r="N2212" s="74"/>
      <c r="O2212" s="81" t="s">
        <v>944</v>
      </c>
      <c r="P2212">
        <v>1</v>
      </c>
      <c r="Q2212" s="80" t="str">
        <f>REPLACE(INDEX(GroupVertices[Group],MATCH(Edges[[#This Row],[Vertex 1]],GroupVertices[Vertex],0)),1,1,"")</f>
        <v>2</v>
      </c>
      <c r="R2212" s="80" t="str">
        <f>REPLACE(INDEX(GroupVertices[Group],MATCH(Edges[[#This Row],[Vertex 2]],GroupVertices[Vertex],0)),1,1,"")</f>
        <v>4</v>
      </c>
      <c r="S2212" s="34"/>
      <c r="T2212" s="34"/>
      <c r="U2212" s="34"/>
      <c r="V2212" s="34"/>
      <c r="W2212" s="34"/>
      <c r="X2212" s="34"/>
      <c r="Y2212" s="34"/>
      <c r="Z2212" s="34"/>
      <c r="AA2212" s="34"/>
    </row>
    <row r="2213" spans="1:27" ht="15">
      <c r="A2213" s="66" t="s">
        <v>250</v>
      </c>
      <c r="B2213" s="66" t="s">
        <v>217</v>
      </c>
      <c r="C2213" s="67" t="s">
        <v>4454</v>
      </c>
      <c r="D2213" s="68">
        <v>5</v>
      </c>
      <c r="E2213" s="69"/>
      <c r="F2213" s="70">
        <v>20</v>
      </c>
      <c r="G2213" s="67"/>
      <c r="H2213" s="71"/>
      <c r="I2213" s="72"/>
      <c r="J2213" s="72"/>
      <c r="K2213" s="34" t="s">
        <v>65</v>
      </c>
      <c r="L2213" s="79">
        <v>2213</v>
      </c>
      <c r="M2213" s="79"/>
      <c r="N2213" s="74"/>
      <c r="O2213" s="81" t="s">
        <v>944</v>
      </c>
      <c r="P2213">
        <v>1</v>
      </c>
      <c r="Q2213" s="80" t="str">
        <f>REPLACE(INDEX(GroupVertices[Group],MATCH(Edges[[#This Row],[Vertex 1]],GroupVertices[Vertex],0)),1,1,"")</f>
        <v>2</v>
      </c>
      <c r="R2213" s="80" t="str">
        <f>REPLACE(INDEX(GroupVertices[Group],MATCH(Edges[[#This Row],[Vertex 2]],GroupVertices[Vertex],0)),1,1,"")</f>
        <v>4</v>
      </c>
      <c r="S2213" s="34"/>
      <c r="T2213" s="34"/>
      <c r="U2213" s="34"/>
      <c r="V2213" s="34"/>
      <c r="W2213" s="34"/>
      <c r="X2213" s="34"/>
      <c r="Y2213" s="34"/>
      <c r="Z2213" s="34"/>
      <c r="AA2213" s="34"/>
    </row>
    <row r="2214" spans="1:27" ht="15">
      <c r="A2214" s="66" t="s">
        <v>256</v>
      </c>
      <c r="B2214" s="66" t="s">
        <v>217</v>
      </c>
      <c r="C2214" s="67" t="s">
        <v>4454</v>
      </c>
      <c r="D2214" s="68">
        <v>5</v>
      </c>
      <c r="E2214" s="69"/>
      <c r="F2214" s="70">
        <v>20</v>
      </c>
      <c r="G2214" s="67"/>
      <c r="H2214" s="71"/>
      <c r="I2214" s="72"/>
      <c r="J2214" s="72"/>
      <c r="K2214" s="34" t="s">
        <v>65</v>
      </c>
      <c r="L2214" s="79">
        <v>2214</v>
      </c>
      <c r="M2214" s="79"/>
      <c r="N2214" s="74"/>
      <c r="O2214" s="81" t="s">
        <v>944</v>
      </c>
      <c r="P2214">
        <v>1</v>
      </c>
      <c r="Q2214" s="80" t="str">
        <f>REPLACE(INDEX(GroupVertices[Group],MATCH(Edges[[#This Row],[Vertex 1]],GroupVertices[Vertex],0)),1,1,"")</f>
        <v>1</v>
      </c>
      <c r="R2214" s="80" t="str">
        <f>REPLACE(INDEX(GroupVertices[Group],MATCH(Edges[[#This Row],[Vertex 2]],GroupVertices[Vertex],0)),1,1,"")</f>
        <v>4</v>
      </c>
      <c r="S2214" s="34"/>
      <c r="T2214" s="34"/>
      <c r="U2214" s="34"/>
      <c r="V2214" s="34"/>
      <c r="W2214" s="34"/>
      <c r="X2214" s="34"/>
      <c r="Y2214" s="34"/>
      <c r="Z2214" s="34"/>
      <c r="AA2214" s="34"/>
    </row>
    <row r="2215" spans="1:27" ht="15">
      <c r="A2215" s="66" t="s">
        <v>258</v>
      </c>
      <c r="B2215" s="66" t="s">
        <v>217</v>
      </c>
      <c r="C2215" s="67" t="s">
        <v>4454</v>
      </c>
      <c r="D2215" s="68">
        <v>5</v>
      </c>
      <c r="E2215" s="69"/>
      <c r="F2215" s="70">
        <v>20</v>
      </c>
      <c r="G2215" s="67"/>
      <c r="H2215" s="71"/>
      <c r="I2215" s="72"/>
      <c r="J2215" s="72"/>
      <c r="K2215" s="34" t="s">
        <v>65</v>
      </c>
      <c r="L2215" s="79">
        <v>2215</v>
      </c>
      <c r="M2215" s="79"/>
      <c r="N2215" s="74"/>
      <c r="O2215" s="81" t="s">
        <v>944</v>
      </c>
      <c r="P2215">
        <v>1</v>
      </c>
      <c r="Q2215" s="80" t="str">
        <f>REPLACE(INDEX(GroupVertices[Group],MATCH(Edges[[#This Row],[Vertex 1]],GroupVertices[Vertex],0)),1,1,"")</f>
        <v>1</v>
      </c>
      <c r="R2215" s="80" t="str">
        <f>REPLACE(INDEX(GroupVertices[Group],MATCH(Edges[[#This Row],[Vertex 2]],GroupVertices[Vertex],0)),1,1,"")</f>
        <v>4</v>
      </c>
      <c r="S2215" s="34"/>
      <c r="T2215" s="34"/>
      <c r="U2215" s="34"/>
      <c r="V2215" s="34"/>
      <c r="W2215" s="34"/>
      <c r="X2215" s="34"/>
      <c r="Y2215" s="34"/>
      <c r="Z2215" s="34"/>
      <c r="AA2215" s="34"/>
    </row>
    <row r="2216" spans="1:27" ht="15">
      <c r="A2216" s="66" t="s">
        <v>259</v>
      </c>
      <c r="B2216" s="66" t="s">
        <v>217</v>
      </c>
      <c r="C2216" s="67" t="s">
        <v>4454</v>
      </c>
      <c r="D2216" s="68">
        <v>5</v>
      </c>
      <c r="E2216" s="69"/>
      <c r="F2216" s="70">
        <v>20</v>
      </c>
      <c r="G2216" s="67"/>
      <c r="H2216" s="71"/>
      <c r="I2216" s="72"/>
      <c r="J2216" s="72"/>
      <c r="K2216" s="34" t="s">
        <v>65</v>
      </c>
      <c r="L2216" s="79">
        <v>2216</v>
      </c>
      <c r="M2216" s="79"/>
      <c r="N2216" s="74"/>
      <c r="O2216" s="81" t="s">
        <v>944</v>
      </c>
      <c r="P2216">
        <v>1</v>
      </c>
      <c r="Q2216" s="80" t="str">
        <f>REPLACE(INDEX(GroupVertices[Group],MATCH(Edges[[#This Row],[Vertex 1]],GroupVertices[Vertex],0)),1,1,"")</f>
        <v>2</v>
      </c>
      <c r="R2216" s="80" t="str">
        <f>REPLACE(INDEX(GroupVertices[Group],MATCH(Edges[[#This Row],[Vertex 2]],GroupVertices[Vertex],0)),1,1,"")</f>
        <v>4</v>
      </c>
      <c r="S2216" s="34"/>
      <c r="T2216" s="34"/>
      <c r="U2216" s="34"/>
      <c r="V2216" s="34"/>
      <c r="W2216" s="34"/>
      <c r="X2216" s="34"/>
      <c r="Y2216" s="34"/>
      <c r="Z2216" s="34"/>
      <c r="AA2216" s="34"/>
    </row>
    <row r="2217" spans="1:27" ht="15">
      <c r="A2217" s="66" t="s">
        <v>260</v>
      </c>
      <c r="B2217" s="66" t="s">
        <v>217</v>
      </c>
      <c r="C2217" s="67" t="s">
        <v>4454</v>
      </c>
      <c r="D2217" s="68">
        <v>5</v>
      </c>
      <c r="E2217" s="69"/>
      <c r="F2217" s="70">
        <v>20</v>
      </c>
      <c r="G2217" s="67"/>
      <c r="H2217" s="71"/>
      <c r="I2217" s="72"/>
      <c r="J2217" s="72"/>
      <c r="K2217" s="34" t="s">
        <v>65</v>
      </c>
      <c r="L2217" s="79">
        <v>2217</v>
      </c>
      <c r="M2217" s="79"/>
      <c r="N2217" s="74"/>
      <c r="O2217" s="81" t="s">
        <v>944</v>
      </c>
      <c r="P2217">
        <v>1</v>
      </c>
      <c r="Q2217" s="80" t="str">
        <f>REPLACE(INDEX(GroupVertices[Group],MATCH(Edges[[#This Row],[Vertex 1]],GroupVertices[Vertex],0)),1,1,"")</f>
        <v>2</v>
      </c>
      <c r="R2217" s="80" t="str">
        <f>REPLACE(INDEX(GroupVertices[Group],MATCH(Edges[[#This Row],[Vertex 2]],GroupVertices[Vertex],0)),1,1,"")</f>
        <v>4</v>
      </c>
      <c r="S2217" s="34"/>
      <c r="T2217" s="34"/>
      <c r="U2217" s="34"/>
      <c r="V2217" s="34"/>
      <c r="W2217" s="34"/>
      <c r="X2217" s="34"/>
      <c r="Y2217" s="34"/>
      <c r="Z2217" s="34"/>
      <c r="AA2217" s="34"/>
    </row>
    <row r="2218" spans="1:27" ht="15">
      <c r="A2218" s="66" t="s">
        <v>259</v>
      </c>
      <c r="B2218" s="66" t="s">
        <v>675</v>
      </c>
      <c r="C2218" s="67" t="s">
        <v>4454</v>
      </c>
      <c r="D2218" s="68">
        <v>5</v>
      </c>
      <c r="E2218" s="69"/>
      <c r="F2218" s="70">
        <v>20</v>
      </c>
      <c r="G2218" s="67"/>
      <c r="H2218" s="71"/>
      <c r="I2218" s="72"/>
      <c r="J2218" s="72"/>
      <c r="K2218" s="34" t="s">
        <v>65</v>
      </c>
      <c r="L2218" s="79">
        <v>2218</v>
      </c>
      <c r="M2218" s="79"/>
      <c r="N2218" s="74"/>
      <c r="O2218" s="81" t="s">
        <v>944</v>
      </c>
      <c r="P2218">
        <v>1</v>
      </c>
      <c r="Q2218" s="80" t="str">
        <f>REPLACE(INDEX(GroupVertices[Group],MATCH(Edges[[#This Row],[Vertex 1]],GroupVertices[Vertex],0)),1,1,"")</f>
        <v>2</v>
      </c>
      <c r="R2218" s="80" t="str">
        <f>REPLACE(INDEX(GroupVertices[Group],MATCH(Edges[[#This Row],[Vertex 2]],GroupVertices[Vertex],0)),1,1,"")</f>
        <v>2</v>
      </c>
      <c r="S2218" s="34"/>
      <c r="T2218" s="34"/>
      <c r="U2218" s="34"/>
      <c r="V2218" s="34"/>
      <c r="W2218" s="34"/>
      <c r="X2218" s="34"/>
      <c r="Y2218" s="34"/>
      <c r="Z2218" s="34"/>
      <c r="AA2218" s="34"/>
    </row>
    <row r="2219" spans="1:27" ht="15">
      <c r="A2219" s="66" t="s">
        <v>260</v>
      </c>
      <c r="B2219" s="66" t="s">
        <v>675</v>
      </c>
      <c r="C2219" s="67" t="s">
        <v>4454</v>
      </c>
      <c r="D2219" s="68">
        <v>5</v>
      </c>
      <c r="E2219" s="69"/>
      <c r="F2219" s="70">
        <v>20</v>
      </c>
      <c r="G2219" s="67"/>
      <c r="H2219" s="71"/>
      <c r="I2219" s="72"/>
      <c r="J2219" s="72"/>
      <c r="K2219" s="34" t="s">
        <v>65</v>
      </c>
      <c r="L2219" s="79">
        <v>2219</v>
      </c>
      <c r="M2219" s="79"/>
      <c r="N2219" s="74"/>
      <c r="O2219" s="81" t="s">
        <v>944</v>
      </c>
      <c r="P2219">
        <v>1</v>
      </c>
      <c r="Q2219" s="80" t="str">
        <f>REPLACE(INDEX(GroupVertices[Group],MATCH(Edges[[#This Row],[Vertex 1]],GroupVertices[Vertex],0)),1,1,"")</f>
        <v>2</v>
      </c>
      <c r="R2219" s="80" t="str">
        <f>REPLACE(INDEX(GroupVertices[Group],MATCH(Edges[[#This Row],[Vertex 2]],GroupVertices[Vertex],0)),1,1,"")</f>
        <v>2</v>
      </c>
      <c r="S2219" s="34"/>
      <c r="T2219" s="34"/>
      <c r="U2219" s="34"/>
      <c r="V2219" s="34"/>
      <c r="W2219" s="34"/>
      <c r="X2219" s="34"/>
      <c r="Y2219" s="34"/>
      <c r="Z2219" s="34"/>
      <c r="AA2219" s="34"/>
    </row>
    <row r="2220" spans="1:27" ht="15">
      <c r="A2220" s="66" t="s">
        <v>220</v>
      </c>
      <c r="B2220" s="66" t="s">
        <v>256</v>
      </c>
      <c r="C2220" s="67" t="s">
        <v>4454</v>
      </c>
      <c r="D2220" s="68">
        <v>5</v>
      </c>
      <c r="E2220" s="69"/>
      <c r="F2220" s="70">
        <v>20</v>
      </c>
      <c r="G2220" s="67"/>
      <c r="H2220" s="71"/>
      <c r="I2220" s="72"/>
      <c r="J2220" s="72"/>
      <c r="K2220" s="34" t="s">
        <v>66</v>
      </c>
      <c r="L2220" s="79">
        <v>2220</v>
      </c>
      <c r="M2220" s="79"/>
      <c r="N2220" s="74"/>
      <c r="O2220" s="81" t="s">
        <v>944</v>
      </c>
      <c r="P2220">
        <v>1</v>
      </c>
      <c r="Q2220" s="80" t="str">
        <f>REPLACE(INDEX(GroupVertices[Group],MATCH(Edges[[#This Row],[Vertex 1]],GroupVertices[Vertex],0)),1,1,"")</f>
        <v>2</v>
      </c>
      <c r="R2220" s="80" t="str">
        <f>REPLACE(INDEX(GroupVertices[Group],MATCH(Edges[[#This Row],[Vertex 2]],GroupVertices[Vertex],0)),1,1,"")</f>
        <v>1</v>
      </c>
      <c r="S2220" s="34"/>
      <c r="T2220" s="34"/>
      <c r="U2220" s="34"/>
      <c r="V2220" s="34"/>
      <c r="W2220" s="34"/>
      <c r="X2220" s="34"/>
      <c r="Y2220" s="34"/>
      <c r="Z2220" s="34"/>
      <c r="AA2220" s="34"/>
    </row>
    <row r="2221" spans="1:27" ht="15">
      <c r="A2221" s="66" t="s">
        <v>220</v>
      </c>
      <c r="B2221" s="66" t="s">
        <v>616</v>
      </c>
      <c r="C2221" s="67" t="s">
        <v>4454</v>
      </c>
      <c r="D2221" s="68">
        <v>5</v>
      </c>
      <c r="E2221" s="69"/>
      <c r="F2221" s="70">
        <v>20</v>
      </c>
      <c r="G2221" s="67"/>
      <c r="H2221" s="71"/>
      <c r="I2221" s="72"/>
      <c r="J2221" s="72"/>
      <c r="K2221" s="34" t="s">
        <v>65</v>
      </c>
      <c r="L2221" s="79">
        <v>2221</v>
      </c>
      <c r="M2221" s="79"/>
      <c r="N2221" s="74"/>
      <c r="O2221" s="81" t="s">
        <v>944</v>
      </c>
      <c r="P2221">
        <v>1</v>
      </c>
      <c r="Q2221" s="80" t="str">
        <f>REPLACE(INDEX(GroupVertices[Group],MATCH(Edges[[#This Row],[Vertex 1]],GroupVertices[Vertex],0)),1,1,"")</f>
        <v>2</v>
      </c>
      <c r="R2221" s="80" t="str">
        <f>REPLACE(INDEX(GroupVertices[Group],MATCH(Edges[[#This Row],[Vertex 2]],GroupVertices[Vertex],0)),1,1,"")</f>
        <v>1</v>
      </c>
      <c r="S2221" s="34"/>
      <c r="T2221" s="34"/>
      <c r="U2221" s="34"/>
      <c r="V2221" s="34"/>
      <c r="W2221" s="34"/>
      <c r="X2221" s="34"/>
      <c r="Y2221" s="34"/>
      <c r="Z2221" s="34"/>
      <c r="AA2221" s="34"/>
    </row>
    <row r="2222" spans="1:27" ht="15">
      <c r="A2222" s="66" t="s">
        <v>220</v>
      </c>
      <c r="B2222" s="66" t="s">
        <v>258</v>
      </c>
      <c r="C2222" s="67" t="s">
        <v>4454</v>
      </c>
      <c r="D2222" s="68">
        <v>5</v>
      </c>
      <c r="E2222" s="69"/>
      <c r="F2222" s="70">
        <v>20</v>
      </c>
      <c r="G2222" s="67"/>
      <c r="H2222" s="71"/>
      <c r="I2222" s="72"/>
      <c r="J2222" s="72"/>
      <c r="K2222" s="34" t="s">
        <v>66</v>
      </c>
      <c r="L2222" s="79">
        <v>2222</v>
      </c>
      <c r="M2222" s="79"/>
      <c r="N2222" s="74"/>
      <c r="O2222" s="81" t="s">
        <v>944</v>
      </c>
      <c r="P2222">
        <v>1</v>
      </c>
      <c r="Q2222" s="80" t="str">
        <f>REPLACE(INDEX(GroupVertices[Group],MATCH(Edges[[#This Row],[Vertex 1]],GroupVertices[Vertex],0)),1,1,"")</f>
        <v>2</v>
      </c>
      <c r="R2222" s="80" t="str">
        <f>REPLACE(INDEX(GroupVertices[Group],MATCH(Edges[[#This Row],[Vertex 2]],GroupVertices[Vertex],0)),1,1,"")</f>
        <v>1</v>
      </c>
      <c r="S2222" s="34"/>
      <c r="T2222" s="34"/>
      <c r="U2222" s="34"/>
      <c r="V2222" s="34"/>
      <c r="W2222" s="34"/>
      <c r="X2222" s="34"/>
      <c r="Y2222" s="34"/>
      <c r="Z2222" s="34"/>
      <c r="AA2222" s="34"/>
    </row>
    <row r="2223" spans="1:27" ht="15">
      <c r="A2223" s="66" t="s">
        <v>220</v>
      </c>
      <c r="B2223" s="66" t="s">
        <v>260</v>
      </c>
      <c r="C2223" s="67" t="s">
        <v>4454</v>
      </c>
      <c r="D2223" s="68">
        <v>5</v>
      </c>
      <c r="E2223" s="69"/>
      <c r="F2223" s="70">
        <v>20</v>
      </c>
      <c r="G2223" s="67"/>
      <c r="H2223" s="71"/>
      <c r="I2223" s="72"/>
      <c r="J2223" s="72"/>
      <c r="K2223" s="34" t="s">
        <v>66</v>
      </c>
      <c r="L2223" s="79">
        <v>2223</v>
      </c>
      <c r="M2223" s="79"/>
      <c r="N2223" s="74"/>
      <c r="O2223" s="81" t="s">
        <v>944</v>
      </c>
      <c r="P2223">
        <v>1</v>
      </c>
      <c r="Q2223" s="80" t="str">
        <f>REPLACE(INDEX(GroupVertices[Group],MATCH(Edges[[#This Row],[Vertex 1]],GroupVertices[Vertex],0)),1,1,"")</f>
        <v>2</v>
      </c>
      <c r="R2223" s="80" t="str">
        <f>REPLACE(INDEX(GroupVertices[Group],MATCH(Edges[[#This Row],[Vertex 2]],GroupVertices[Vertex],0)),1,1,"")</f>
        <v>2</v>
      </c>
      <c r="S2223" s="34"/>
      <c r="T2223" s="34"/>
      <c r="U2223" s="34"/>
      <c r="V2223" s="34"/>
      <c r="W2223" s="34"/>
      <c r="X2223" s="34"/>
      <c r="Y2223" s="34"/>
      <c r="Z2223" s="34"/>
      <c r="AA2223" s="34"/>
    </row>
    <row r="2224" spans="1:27" ht="15">
      <c r="A2224" s="66" t="s">
        <v>220</v>
      </c>
      <c r="B2224" s="66" t="s">
        <v>261</v>
      </c>
      <c r="C2224" s="67" t="s">
        <v>4454</v>
      </c>
      <c r="D2224" s="68">
        <v>5</v>
      </c>
      <c r="E2224" s="69"/>
      <c r="F2224" s="70">
        <v>20</v>
      </c>
      <c r="G2224" s="67"/>
      <c r="H2224" s="71"/>
      <c r="I2224" s="72"/>
      <c r="J2224" s="72"/>
      <c r="K2224" s="34" t="s">
        <v>65</v>
      </c>
      <c r="L2224" s="79">
        <v>2224</v>
      </c>
      <c r="M2224" s="79"/>
      <c r="N2224" s="74"/>
      <c r="O2224" s="81" t="s">
        <v>944</v>
      </c>
      <c r="P2224">
        <v>1</v>
      </c>
      <c r="Q2224" s="80" t="str">
        <f>REPLACE(INDEX(GroupVertices[Group],MATCH(Edges[[#This Row],[Vertex 1]],GroupVertices[Vertex],0)),1,1,"")</f>
        <v>2</v>
      </c>
      <c r="R2224" s="80" t="str">
        <f>REPLACE(INDEX(GroupVertices[Group],MATCH(Edges[[#This Row],[Vertex 2]],GroupVertices[Vertex],0)),1,1,"")</f>
        <v>1</v>
      </c>
      <c r="S2224" s="34"/>
      <c r="T2224" s="34"/>
      <c r="U2224" s="34"/>
      <c r="V2224" s="34"/>
      <c r="W2224" s="34"/>
      <c r="X2224" s="34"/>
      <c r="Y2224" s="34"/>
      <c r="Z2224" s="34"/>
      <c r="AA2224" s="34"/>
    </row>
    <row r="2225" spans="1:27" ht="15">
      <c r="A2225" s="66" t="s">
        <v>220</v>
      </c>
      <c r="B2225" s="66" t="s">
        <v>254</v>
      </c>
      <c r="C2225" s="67" t="s">
        <v>4454</v>
      </c>
      <c r="D2225" s="68">
        <v>5</v>
      </c>
      <c r="E2225" s="69"/>
      <c r="F2225" s="70">
        <v>20</v>
      </c>
      <c r="G2225" s="67"/>
      <c r="H2225" s="71"/>
      <c r="I2225" s="72"/>
      <c r="J2225" s="72"/>
      <c r="K2225" s="34" t="s">
        <v>65</v>
      </c>
      <c r="L2225" s="79">
        <v>2225</v>
      </c>
      <c r="M2225" s="79"/>
      <c r="N2225" s="74"/>
      <c r="O2225" s="81" t="s">
        <v>944</v>
      </c>
      <c r="P2225">
        <v>1</v>
      </c>
      <c r="Q2225" s="80" t="str">
        <f>REPLACE(INDEX(GroupVertices[Group],MATCH(Edges[[#This Row],[Vertex 1]],GroupVertices[Vertex],0)),1,1,"")</f>
        <v>2</v>
      </c>
      <c r="R2225" s="80" t="str">
        <f>REPLACE(INDEX(GroupVertices[Group],MATCH(Edges[[#This Row],[Vertex 2]],GroupVertices[Vertex],0)),1,1,"")</f>
        <v>3</v>
      </c>
      <c r="S2225" s="34"/>
      <c r="T2225" s="34"/>
      <c r="U2225" s="34"/>
      <c r="V2225" s="34"/>
      <c r="W2225" s="34"/>
      <c r="X2225" s="34"/>
      <c r="Y2225" s="34"/>
      <c r="Z2225" s="34"/>
      <c r="AA2225" s="34"/>
    </row>
    <row r="2226" spans="1:27" ht="15">
      <c r="A2226" s="66" t="s">
        <v>220</v>
      </c>
      <c r="B2226" s="66" t="s">
        <v>926</v>
      </c>
      <c r="C2226" s="67" t="s">
        <v>4454</v>
      </c>
      <c r="D2226" s="68">
        <v>5</v>
      </c>
      <c r="E2226" s="69"/>
      <c r="F2226" s="70">
        <v>20</v>
      </c>
      <c r="G2226" s="67"/>
      <c r="H2226" s="71"/>
      <c r="I2226" s="72"/>
      <c r="J2226" s="72"/>
      <c r="K2226" s="34" t="s">
        <v>65</v>
      </c>
      <c r="L2226" s="79">
        <v>2226</v>
      </c>
      <c r="M2226" s="79"/>
      <c r="N2226" s="74"/>
      <c r="O2226" s="81" t="s">
        <v>944</v>
      </c>
      <c r="P2226">
        <v>1</v>
      </c>
      <c r="Q2226" s="80" t="str">
        <f>REPLACE(INDEX(GroupVertices[Group],MATCH(Edges[[#This Row],[Vertex 1]],GroupVertices[Vertex],0)),1,1,"")</f>
        <v>2</v>
      </c>
      <c r="R2226" s="80" t="str">
        <f>REPLACE(INDEX(GroupVertices[Group],MATCH(Edges[[#This Row],[Vertex 2]],GroupVertices[Vertex],0)),1,1,"")</f>
        <v>1</v>
      </c>
      <c r="S2226" s="34"/>
      <c r="T2226" s="34"/>
      <c r="U2226" s="34"/>
      <c r="V2226" s="34"/>
      <c r="W2226" s="34"/>
      <c r="X2226" s="34"/>
      <c r="Y2226" s="34"/>
      <c r="Z2226" s="34"/>
      <c r="AA2226" s="34"/>
    </row>
    <row r="2227" spans="1:27" ht="15">
      <c r="A2227" s="66" t="s">
        <v>220</v>
      </c>
      <c r="B2227" s="66" t="s">
        <v>249</v>
      </c>
      <c r="C2227" s="67" t="s">
        <v>4454</v>
      </c>
      <c r="D2227" s="68">
        <v>5</v>
      </c>
      <c r="E2227" s="69"/>
      <c r="F2227" s="70">
        <v>20</v>
      </c>
      <c r="G2227" s="67"/>
      <c r="H2227" s="71"/>
      <c r="I2227" s="72"/>
      <c r="J2227" s="72"/>
      <c r="K2227" s="34" t="s">
        <v>66</v>
      </c>
      <c r="L2227" s="79">
        <v>2227</v>
      </c>
      <c r="M2227" s="79"/>
      <c r="N2227" s="74"/>
      <c r="O2227" s="81" t="s">
        <v>944</v>
      </c>
      <c r="P2227">
        <v>1</v>
      </c>
      <c r="Q2227" s="80" t="str">
        <f>REPLACE(INDEX(GroupVertices[Group],MATCH(Edges[[#This Row],[Vertex 1]],GroupVertices[Vertex],0)),1,1,"")</f>
        <v>2</v>
      </c>
      <c r="R2227" s="80" t="str">
        <f>REPLACE(INDEX(GroupVertices[Group],MATCH(Edges[[#This Row],[Vertex 2]],GroupVertices[Vertex],0)),1,1,"")</f>
        <v>2</v>
      </c>
      <c r="S2227" s="34"/>
      <c r="T2227" s="34"/>
      <c r="U2227" s="34"/>
      <c r="V2227" s="34"/>
      <c r="W2227" s="34"/>
      <c r="X2227" s="34"/>
      <c r="Y2227" s="34"/>
      <c r="Z2227" s="34"/>
      <c r="AA2227" s="34"/>
    </row>
    <row r="2228" spans="1:27" ht="15">
      <c r="A2228" s="66" t="s">
        <v>220</v>
      </c>
      <c r="B2228" s="66" t="s">
        <v>259</v>
      </c>
      <c r="C2228" s="67" t="s">
        <v>4454</v>
      </c>
      <c r="D2228" s="68">
        <v>5</v>
      </c>
      <c r="E2228" s="69"/>
      <c r="F2228" s="70">
        <v>20</v>
      </c>
      <c r="G2228" s="67"/>
      <c r="H2228" s="71"/>
      <c r="I2228" s="72"/>
      <c r="J2228" s="72"/>
      <c r="K2228" s="34" t="s">
        <v>65</v>
      </c>
      <c r="L2228" s="79">
        <v>2228</v>
      </c>
      <c r="M2228" s="79"/>
      <c r="N2228" s="74"/>
      <c r="O2228" s="81" t="s">
        <v>944</v>
      </c>
      <c r="P2228">
        <v>1</v>
      </c>
      <c r="Q2228" s="80" t="str">
        <f>REPLACE(INDEX(GroupVertices[Group],MATCH(Edges[[#This Row],[Vertex 1]],GroupVertices[Vertex],0)),1,1,"")</f>
        <v>2</v>
      </c>
      <c r="R2228" s="80" t="str">
        <f>REPLACE(INDEX(GroupVertices[Group],MATCH(Edges[[#This Row],[Vertex 2]],GroupVertices[Vertex],0)),1,1,"")</f>
        <v>2</v>
      </c>
      <c r="S2228" s="34"/>
      <c r="T2228" s="34"/>
      <c r="U2228" s="34"/>
      <c r="V2228" s="34"/>
      <c r="W2228" s="34"/>
      <c r="X2228" s="34"/>
      <c r="Y2228" s="34"/>
      <c r="Z2228" s="34"/>
      <c r="AA2228" s="34"/>
    </row>
    <row r="2229" spans="1:27" ht="15">
      <c r="A2229" s="66" t="s">
        <v>220</v>
      </c>
      <c r="B2229" s="66" t="s">
        <v>250</v>
      </c>
      <c r="C2229" s="67" t="s">
        <v>4454</v>
      </c>
      <c r="D2229" s="68">
        <v>5</v>
      </c>
      <c r="E2229" s="69"/>
      <c r="F2229" s="70">
        <v>20</v>
      </c>
      <c r="G2229" s="67"/>
      <c r="H2229" s="71"/>
      <c r="I2229" s="72"/>
      <c r="J2229" s="72"/>
      <c r="K2229" s="34" t="s">
        <v>66</v>
      </c>
      <c r="L2229" s="79">
        <v>2229</v>
      </c>
      <c r="M2229" s="79"/>
      <c r="N2229" s="74"/>
      <c r="O2229" s="81" t="s">
        <v>944</v>
      </c>
      <c r="P2229">
        <v>1</v>
      </c>
      <c r="Q2229" s="80" t="str">
        <f>REPLACE(INDEX(GroupVertices[Group],MATCH(Edges[[#This Row],[Vertex 1]],GroupVertices[Vertex],0)),1,1,"")</f>
        <v>2</v>
      </c>
      <c r="R2229" s="80" t="str">
        <f>REPLACE(INDEX(GroupVertices[Group],MATCH(Edges[[#This Row],[Vertex 2]],GroupVertices[Vertex],0)),1,1,"")</f>
        <v>2</v>
      </c>
      <c r="S2229" s="34"/>
      <c r="T2229" s="34"/>
      <c r="U2229" s="34"/>
      <c r="V2229" s="34"/>
      <c r="W2229" s="34"/>
      <c r="X2229" s="34"/>
      <c r="Y2229" s="34"/>
      <c r="Z2229" s="34"/>
      <c r="AA2229" s="34"/>
    </row>
    <row r="2230" spans="1:27" ht="15">
      <c r="A2230" s="66" t="s">
        <v>220</v>
      </c>
      <c r="B2230" s="66" t="s">
        <v>253</v>
      </c>
      <c r="C2230" s="67" t="s">
        <v>4454</v>
      </c>
      <c r="D2230" s="68">
        <v>5</v>
      </c>
      <c r="E2230" s="69"/>
      <c r="F2230" s="70">
        <v>20</v>
      </c>
      <c r="G2230" s="67"/>
      <c r="H2230" s="71"/>
      <c r="I2230" s="72"/>
      <c r="J2230" s="72"/>
      <c r="K2230" s="34" t="s">
        <v>65</v>
      </c>
      <c r="L2230" s="79">
        <v>2230</v>
      </c>
      <c r="M2230" s="79"/>
      <c r="N2230" s="74"/>
      <c r="O2230" s="81" t="s">
        <v>944</v>
      </c>
      <c r="P2230">
        <v>1</v>
      </c>
      <c r="Q2230" s="80" t="str">
        <f>REPLACE(INDEX(GroupVertices[Group],MATCH(Edges[[#This Row],[Vertex 1]],GroupVertices[Vertex],0)),1,1,"")</f>
        <v>2</v>
      </c>
      <c r="R2230" s="80" t="str">
        <f>REPLACE(INDEX(GroupVertices[Group],MATCH(Edges[[#This Row],[Vertex 2]],GroupVertices[Vertex],0)),1,1,"")</f>
        <v>1</v>
      </c>
      <c r="S2230" s="34"/>
      <c r="T2230" s="34"/>
      <c r="U2230" s="34"/>
      <c r="V2230" s="34"/>
      <c r="W2230" s="34"/>
      <c r="X2230" s="34"/>
      <c r="Y2230" s="34"/>
      <c r="Z2230" s="34"/>
      <c r="AA2230" s="34"/>
    </row>
    <row r="2231" spans="1:27" ht="15">
      <c r="A2231" s="66" t="s">
        <v>249</v>
      </c>
      <c r="B2231" s="66" t="s">
        <v>220</v>
      </c>
      <c r="C2231" s="67" t="s">
        <v>4454</v>
      </c>
      <c r="D2231" s="68">
        <v>5</v>
      </c>
      <c r="E2231" s="69"/>
      <c r="F2231" s="70">
        <v>20</v>
      </c>
      <c r="G2231" s="67"/>
      <c r="H2231" s="71"/>
      <c r="I2231" s="72"/>
      <c r="J2231" s="72"/>
      <c r="K2231" s="34" t="s">
        <v>66</v>
      </c>
      <c r="L2231" s="79">
        <v>2231</v>
      </c>
      <c r="M2231" s="79"/>
      <c r="N2231" s="74"/>
      <c r="O2231" s="81" t="s">
        <v>944</v>
      </c>
      <c r="P2231">
        <v>1</v>
      </c>
      <c r="Q2231" s="80" t="str">
        <f>REPLACE(INDEX(GroupVertices[Group],MATCH(Edges[[#This Row],[Vertex 1]],GroupVertices[Vertex],0)),1,1,"")</f>
        <v>2</v>
      </c>
      <c r="R2231" s="80" t="str">
        <f>REPLACE(INDEX(GroupVertices[Group],MATCH(Edges[[#This Row],[Vertex 2]],GroupVertices[Vertex],0)),1,1,"")</f>
        <v>2</v>
      </c>
      <c r="S2231" s="34"/>
      <c r="T2231" s="34"/>
      <c r="U2231" s="34"/>
      <c r="V2231" s="34"/>
      <c r="W2231" s="34"/>
      <c r="X2231" s="34"/>
      <c r="Y2231" s="34"/>
      <c r="Z2231" s="34"/>
      <c r="AA2231" s="34"/>
    </row>
    <row r="2232" spans="1:27" ht="15">
      <c r="A2232" s="66" t="s">
        <v>250</v>
      </c>
      <c r="B2232" s="66" t="s">
        <v>220</v>
      </c>
      <c r="C2232" s="67" t="s">
        <v>4454</v>
      </c>
      <c r="D2232" s="68">
        <v>5</v>
      </c>
      <c r="E2232" s="69"/>
      <c r="F2232" s="70">
        <v>20</v>
      </c>
      <c r="G2232" s="67"/>
      <c r="H2232" s="71"/>
      <c r="I2232" s="72"/>
      <c r="J2232" s="72"/>
      <c r="K2232" s="34" t="s">
        <v>66</v>
      </c>
      <c r="L2232" s="79">
        <v>2232</v>
      </c>
      <c r="M2232" s="79"/>
      <c r="N2232" s="74"/>
      <c r="O2232" s="81" t="s">
        <v>944</v>
      </c>
      <c r="P2232">
        <v>1</v>
      </c>
      <c r="Q2232" s="80" t="str">
        <f>REPLACE(INDEX(GroupVertices[Group],MATCH(Edges[[#This Row],[Vertex 1]],GroupVertices[Vertex],0)),1,1,"")</f>
        <v>2</v>
      </c>
      <c r="R2232" s="80" t="str">
        <f>REPLACE(INDEX(GroupVertices[Group],MATCH(Edges[[#This Row],[Vertex 2]],GroupVertices[Vertex],0)),1,1,"")</f>
        <v>2</v>
      </c>
      <c r="S2232" s="34"/>
      <c r="T2232" s="34"/>
      <c r="U2232" s="34"/>
      <c r="V2232" s="34"/>
      <c r="W2232" s="34"/>
      <c r="X2232" s="34"/>
      <c r="Y2232" s="34"/>
      <c r="Z2232" s="34"/>
      <c r="AA2232" s="34"/>
    </row>
    <row r="2233" spans="1:27" ht="15">
      <c r="A2233" s="66" t="s">
        <v>256</v>
      </c>
      <c r="B2233" s="66" t="s">
        <v>220</v>
      </c>
      <c r="C2233" s="67" t="s">
        <v>4454</v>
      </c>
      <c r="D2233" s="68">
        <v>5</v>
      </c>
      <c r="E2233" s="69"/>
      <c r="F2233" s="70">
        <v>20</v>
      </c>
      <c r="G2233" s="67"/>
      <c r="H2233" s="71"/>
      <c r="I2233" s="72"/>
      <c r="J2233" s="72"/>
      <c r="K2233" s="34" t="s">
        <v>66</v>
      </c>
      <c r="L2233" s="79">
        <v>2233</v>
      </c>
      <c r="M2233" s="79"/>
      <c r="N2233" s="74"/>
      <c r="O2233" s="81" t="s">
        <v>944</v>
      </c>
      <c r="P2233">
        <v>1</v>
      </c>
      <c r="Q2233" s="80" t="str">
        <f>REPLACE(INDEX(GroupVertices[Group],MATCH(Edges[[#This Row],[Vertex 1]],GroupVertices[Vertex],0)),1,1,"")</f>
        <v>1</v>
      </c>
      <c r="R2233" s="80" t="str">
        <f>REPLACE(INDEX(GroupVertices[Group],MATCH(Edges[[#This Row],[Vertex 2]],GroupVertices[Vertex],0)),1,1,"")</f>
        <v>2</v>
      </c>
      <c r="S2233" s="34"/>
      <c r="T2233" s="34"/>
      <c r="U2233" s="34"/>
      <c r="V2233" s="34"/>
      <c r="W2233" s="34"/>
      <c r="X2233" s="34"/>
      <c r="Y2233" s="34"/>
      <c r="Z2233" s="34"/>
      <c r="AA2233" s="34"/>
    </row>
    <row r="2234" spans="1:27" ht="15">
      <c r="A2234" s="66" t="s">
        <v>258</v>
      </c>
      <c r="B2234" s="66" t="s">
        <v>220</v>
      </c>
      <c r="C2234" s="67" t="s">
        <v>4454</v>
      </c>
      <c r="D2234" s="68">
        <v>5</v>
      </c>
      <c r="E2234" s="69"/>
      <c r="F2234" s="70">
        <v>20</v>
      </c>
      <c r="G2234" s="67"/>
      <c r="H2234" s="71"/>
      <c r="I2234" s="72"/>
      <c r="J2234" s="72"/>
      <c r="K2234" s="34" t="s">
        <v>66</v>
      </c>
      <c r="L2234" s="79">
        <v>2234</v>
      </c>
      <c r="M2234" s="79"/>
      <c r="N2234" s="74"/>
      <c r="O2234" s="81" t="s">
        <v>944</v>
      </c>
      <c r="P2234">
        <v>1</v>
      </c>
      <c r="Q2234" s="80" t="str">
        <f>REPLACE(INDEX(GroupVertices[Group],MATCH(Edges[[#This Row],[Vertex 1]],GroupVertices[Vertex],0)),1,1,"")</f>
        <v>1</v>
      </c>
      <c r="R2234" s="80" t="str">
        <f>REPLACE(INDEX(GroupVertices[Group],MATCH(Edges[[#This Row],[Vertex 2]],GroupVertices[Vertex],0)),1,1,"")</f>
        <v>2</v>
      </c>
      <c r="S2234" s="34"/>
      <c r="T2234" s="34"/>
      <c r="U2234" s="34"/>
      <c r="V2234" s="34"/>
      <c r="W2234" s="34"/>
      <c r="X2234" s="34"/>
      <c r="Y2234" s="34"/>
      <c r="Z2234" s="34"/>
      <c r="AA2234" s="34"/>
    </row>
    <row r="2235" spans="1:27" ht="15">
      <c r="A2235" s="66" t="s">
        <v>260</v>
      </c>
      <c r="B2235" s="66" t="s">
        <v>220</v>
      </c>
      <c r="C2235" s="67" t="s">
        <v>4454</v>
      </c>
      <c r="D2235" s="68">
        <v>5</v>
      </c>
      <c r="E2235" s="69"/>
      <c r="F2235" s="70">
        <v>20</v>
      </c>
      <c r="G2235" s="67"/>
      <c r="H2235" s="71"/>
      <c r="I2235" s="72"/>
      <c r="J2235" s="72"/>
      <c r="K2235" s="34" t="s">
        <v>66</v>
      </c>
      <c r="L2235" s="79">
        <v>2235</v>
      </c>
      <c r="M2235" s="79"/>
      <c r="N2235" s="74"/>
      <c r="O2235" s="81" t="s">
        <v>944</v>
      </c>
      <c r="P2235">
        <v>1</v>
      </c>
      <c r="Q2235" s="80" t="str">
        <f>REPLACE(INDEX(GroupVertices[Group],MATCH(Edges[[#This Row],[Vertex 1]],GroupVertices[Vertex],0)),1,1,"")</f>
        <v>2</v>
      </c>
      <c r="R2235" s="80" t="str">
        <f>REPLACE(INDEX(GroupVertices[Group],MATCH(Edges[[#This Row],[Vertex 2]],GroupVertices[Vertex],0)),1,1,"")</f>
        <v>2</v>
      </c>
      <c r="S2235" s="34"/>
      <c r="T2235" s="34"/>
      <c r="U2235" s="34"/>
      <c r="V2235" s="34"/>
      <c r="W2235" s="34"/>
      <c r="X2235" s="34"/>
      <c r="Y2235" s="34"/>
      <c r="Z2235" s="34"/>
      <c r="AA2235" s="34"/>
    </row>
    <row r="2236" spans="1:27" ht="15">
      <c r="A2236" s="66" t="s">
        <v>253</v>
      </c>
      <c r="B2236" s="66" t="s">
        <v>887</v>
      </c>
      <c r="C2236" s="67" t="s">
        <v>4454</v>
      </c>
      <c r="D2236" s="68">
        <v>5</v>
      </c>
      <c r="E2236" s="69"/>
      <c r="F2236" s="70">
        <v>20</v>
      </c>
      <c r="G2236" s="67"/>
      <c r="H2236" s="71"/>
      <c r="I2236" s="72"/>
      <c r="J2236" s="72"/>
      <c r="K2236" s="34" t="s">
        <v>65</v>
      </c>
      <c r="L2236" s="79">
        <v>2236</v>
      </c>
      <c r="M2236" s="79"/>
      <c r="N2236" s="74"/>
      <c r="O2236" s="81" t="s">
        <v>944</v>
      </c>
      <c r="P2236">
        <v>1</v>
      </c>
      <c r="Q2236" s="80" t="str">
        <f>REPLACE(INDEX(GroupVertices[Group],MATCH(Edges[[#This Row],[Vertex 1]],GroupVertices[Vertex],0)),1,1,"")</f>
        <v>1</v>
      </c>
      <c r="R2236" s="80" t="str">
        <f>REPLACE(INDEX(GroupVertices[Group],MATCH(Edges[[#This Row],[Vertex 2]],GroupVertices[Vertex],0)),1,1,"")</f>
        <v>2</v>
      </c>
      <c r="S2236" s="34"/>
      <c r="T2236" s="34"/>
      <c r="U2236" s="34"/>
      <c r="V2236" s="34"/>
      <c r="W2236" s="34"/>
      <c r="X2236" s="34"/>
      <c r="Y2236" s="34"/>
      <c r="Z2236" s="34"/>
      <c r="AA2236" s="34"/>
    </row>
    <row r="2237" spans="1:27" ht="15">
      <c r="A2237" s="66" t="s">
        <v>260</v>
      </c>
      <c r="B2237" s="66" t="s">
        <v>887</v>
      </c>
      <c r="C2237" s="67" t="s">
        <v>4454</v>
      </c>
      <c r="D2237" s="68">
        <v>5</v>
      </c>
      <c r="E2237" s="69"/>
      <c r="F2237" s="70">
        <v>20</v>
      </c>
      <c r="G2237" s="67"/>
      <c r="H2237" s="71"/>
      <c r="I2237" s="72"/>
      <c r="J2237" s="72"/>
      <c r="K2237" s="34" t="s">
        <v>65</v>
      </c>
      <c r="L2237" s="79">
        <v>2237</v>
      </c>
      <c r="M2237" s="79"/>
      <c r="N2237" s="74"/>
      <c r="O2237" s="81" t="s">
        <v>944</v>
      </c>
      <c r="P2237">
        <v>1</v>
      </c>
      <c r="Q2237" s="80" t="str">
        <f>REPLACE(INDEX(GroupVertices[Group],MATCH(Edges[[#This Row],[Vertex 1]],GroupVertices[Vertex],0)),1,1,"")</f>
        <v>2</v>
      </c>
      <c r="R2237" s="80" t="str">
        <f>REPLACE(INDEX(GroupVertices[Group],MATCH(Edges[[#This Row],[Vertex 2]],GroupVertices[Vertex],0)),1,1,"")</f>
        <v>2</v>
      </c>
      <c r="S2237" s="34"/>
      <c r="T2237" s="34"/>
      <c r="U2237" s="34"/>
      <c r="V2237" s="34"/>
      <c r="W2237" s="34"/>
      <c r="X2237" s="34"/>
      <c r="Y2237" s="34"/>
      <c r="Z2237" s="34"/>
      <c r="AA2237" s="34"/>
    </row>
    <row r="2238" spans="1:27" ht="15">
      <c r="A2238" s="66" t="s">
        <v>260</v>
      </c>
      <c r="B2238" s="66" t="s">
        <v>927</v>
      </c>
      <c r="C2238" s="67" t="s">
        <v>4454</v>
      </c>
      <c r="D2238" s="68">
        <v>5</v>
      </c>
      <c r="E2238" s="69"/>
      <c r="F2238" s="70">
        <v>20</v>
      </c>
      <c r="G2238" s="67"/>
      <c r="H2238" s="71"/>
      <c r="I2238" s="72"/>
      <c r="J2238" s="72"/>
      <c r="K2238" s="34"/>
      <c r="L2238" s="79">
        <v>2238</v>
      </c>
      <c r="M2238" s="79"/>
      <c r="N2238" s="74"/>
      <c r="O2238" s="81" t="s">
        <v>944</v>
      </c>
      <c r="P2238">
        <v>1</v>
      </c>
      <c r="Q2238" s="80" t="str">
        <f>REPLACE(INDEX(GroupVertices[Group],MATCH(Edges[[#This Row],[Vertex 1]],GroupVertices[Vertex],0)),1,1,"")</f>
        <v>2</v>
      </c>
      <c r="R2238" s="80" t="e">
        <f>REPLACE(INDEX(GroupVertices[Group],MATCH(Edges[[#This Row],[Vertex 2]],GroupVertices[Vertex],0)),1,1,"")</f>
        <v>#N/A</v>
      </c>
      <c r="S2238" s="34"/>
      <c r="T2238" s="34"/>
      <c r="U2238" s="34"/>
      <c r="V2238" s="34"/>
      <c r="W2238" s="34"/>
      <c r="X2238" s="34"/>
      <c r="Y2238" s="34"/>
      <c r="Z2238" s="34"/>
      <c r="AA2238" s="34"/>
    </row>
    <row r="2239" spans="1:27" ht="15">
      <c r="A2239" s="66" t="s">
        <v>249</v>
      </c>
      <c r="B2239" s="66" t="s">
        <v>250</v>
      </c>
      <c r="C2239" s="67" t="s">
        <v>4454</v>
      </c>
      <c r="D2239" s="68">
        <v>5</v>
      </c>
      <c r="E2239" s="69"/>
      <c r="F2239" s="70">
        <v>20</v>
      </c>
      <c r="G2239" s="67"/>
      <c r="H2239" s="71"/>
      <c r="I2239" s="72"/>
      <c r="J2239" s="72"/>
      <c r="K2239" s="34" t="s">
        <v>66</v>
      </c>
      <c r="L2239" s="79">
        <v>2239</v>
      </c>
      <c r="M2239" s="79"/>
      <c r="N2239" s="74"/>
      <c r="O2239" s="81" t="s">
        <v>944</v>
      </c>
      <c r="P2239">
        <v>1</v>
      </c>
      <c r="Q2239" s="80" t="str">
        <f>REPLACE(INDEX(GroupVertices[Group],MATCH(Edges[[#This Row],[Vertex 1]],GroupVertices[Vertex],0)),1,1,"")</f>
        <v>2</v>
      </c>
      <c r="R2239" s="80" t="str">
        <f>REPLACE(INDEX(GroupVertices[Group],MATCH(Edges[[#This Row],[Vertex 2]],GroupVertices[Vertex],0)),1,1,"")</f>
        <v>2</v>
      </c>
      <c r="S2239" s="34"/>
      <c r="T2239" s="34"/>
      <c r="U2239" s="34"/>
      <c r="V2239" s="34"/>
      <c r="W2239" s="34"/>
      <c r="X2239" s="34"/>
      <c r="Y2239" s="34"/>
      <c r="Z2239" s="34"/>
      <c r="AA2239" s="34"/>
    </row>
    <row r="2240" spans="1:27" ht="15">
      <c r="A2240" s="66" t="s">
        <v>250</v>
      </c>
      <c r="B2240" s="66" t="s">
        <v>226</v>
      </c>
      <c r="C2240" s="67" t="s">
        <v>4454</v>
      </c>
      <c r="D2240" s="68">
        <v>5</v>
      </c>
      <c r="E2240" s="69"/>
      <c r="F2240" s="70">
        <v>20</v>
      </c>
      <c r="G2240" s="67"/>
      <c r="H2240" s="71"/>
      <c r="I2240" s="72"/>
      <c r="J2240" s="72"/>
      <c r="K2240" s="34" t="s">
        <v>65</v>
      </c>
      <c r="L2240" s="79">
        <v>2240</v>
      </c>
      <c r="M2240" s="79"/>
      <c r="N2240" s="74"/>
      <c r="O2240" s="81" t="s">
        <v>944</v>
      </c>
      <c r="P2240">
        <v>1</v>
      </c>
      <c r="Q2240" s="80" t="str">
        <f>REPLACE(INDEX(GroupVertices[Group],MATCH(Edges[[#This Row],[Vertex 1]],GroupVertices[Vertex],0)),1,1,"")</f>
        <v>2</v>
      </c>
      <c r="R2240" s="80" t="str">
        <f>REPLACE(INDEX(GroupVertices[Group],MATCH(Edges[[#This Row],[Vertex 2]],GroupVertices[Vertex],0)),1,1,"")</f>
        <v>4</v>
      </c>
      <c r="S2240" s="34"/>
      <c r="T2240" s="34"/>
      <c r="U2240" s="34"/>
      <c r="V2240" s="34"/>
      <c r="W2240" s="34"/>
      <c r="X2240" s="34"/>
      <c r="Y2240" s="34"/>
      <c r="Z2240" s="34"/>
      <c r="AA2240" s="34"/>
    </row>
    <row r="2241" spans="1:27" ht="15">
      <c r="A2241" s="66" t="s">
        <v>250</v>
      </c>
      <c r="B2241" s="66" t="s">
        <v>256</v>
      </c>
      <c r="C2241" s="67" t="s">
        <v>4454</v>
      </c>
      <c r="D2241" s="68">
        <v>5</v>
      </c>
      <c r="E2241" s="69"/>
      <c r="F2241" s="70">
        <v>20</v>
      </c>
      <c r="G2241" s="67"/>
      <c r="H2241" s="71"/>
      <c r="I2241" s="72"/>
      <c r="J2241" s="72"/>
      <c r="K2241" s="34" t="s">
        <v>66</v>
      </c>
      <c r="L2241" s="79">
        <v>2241</v>
      </c>
      <c r="M2241" s="79"/>
      <c r="N2241" s="74"/>
      <c r="O2241" s="81" t="s">
        <v>944</v>
      </c>
      <c r="P2241">
        <v>1</v>
      </c>
      <c r="Q2241" s="80" t="str">
        <f>REPLACE(INDEX(GroupVertices[Group],MATCH(Edges[[#This Row],[Vertex 1]],GroupVertices[Vertex],0)),1,1,"")</f>
        <v>2</v>
      </c>
      <c r="R2241" s="80" t="str">
        <f>REPLACE(INDEX(GroupVertices[Group],MATCH(Edges[[#This Row],[Vertex 2]],GroupVertices[Vertex],0)),1,1,"")</f>
        <v>1</v>
      </c>
      <c r="S2241" s="34"/>
      <c r="T2241" s="34"/>
      <c r="U2241" s="34"/>
      <c r="V2241" s="34"/>
      <c r="W2241" s="34"/>
      <c r="X2241" s="34"/>
      <c r="Y2241" s="34"/>
      <c r="Z2241" s="34"/>
      <c r="AA2241" s="34"/>
    </row>
    <row r="2242" spans="1:27" ht="15">
      <c r="A2242" s="66" t="s">
        <v>250</v>
      </c>
      <c r="B2242" s="66" t="s">
        <v>249</v>
      </c>
      <c r="C2242" s="67" t="s">
        <v>4454</v>
      </c>
      <c r="D2242" s="68">
        <v>5</v>
      </c>
      <c r="E2242" s="69"/>
      <c r="F2242" s="70">
        <v>20</v>
      </c>
      <c r="G2242" s="67"/>
      <c r="H2242" s="71"/>
      <c r="I2242" s="72"/>
      <c r="J2242" s="72"/>
      <c r="K2242" s="34" t="s">
        <v>66</v>
      </c>
      <c r="L2242" s="79">
        <v>2242</v>
      </c>
      <c r="M2242" s="79"/>
      <c r="N2242" s="74"/>
      <c r="O2242" s="81" t="s">
        <v>944</v>
      </c>
      <c r="P2242">
        <v>1</v>
      </c>
      <c r="Q2242" s="80" t="str">
        <f>REPLACE(INDEX(GroupVertices[Group],MATCH(Edges[[#This Row],[Vertex 1]],GroupVertices[Vertex],0)),1,1,"")</f>
        <v>2</v>
      </c>
      <c r="R2242" s="80" t="str">
        <f>REPLACE(INDEX(GroupVertices[Group],MATCH(Edges[[#This Row],[Vertex 2]],GroupVertices[Vertex],0)),1,1,"")</f>
        <v>2</v>
      </c>
      <c r="S2242" s="34"/>
      <c r="T2242" s="34"/>
      <c r="U2242" s="34"/>
      <c r="V2242" s="34"/>
      <c r="W2242" s="34"/>
      <c r="X2242" s="34"/>
      <c r="Y2242" s="34"/>
      <c r="Z2242" s="34"/>
      <c r="AA2242" s="34"/>
    </row>
    <row r="2243" spans="1:27" ht="15">
      <c r="A2243" s="66" t="s">
        <v>250</v>
      </c>
      <c r="B2243" s="66" t="s">
        <v>260</v>
      </c>
      <c r="C2243" s="67" t="s">
        <v>4454</v>
      </c>
      <c r="D2243" s="68">
        <v>5</v>
      </c>
      <c r="E2243" s="69"/>
      <c r="F2243" s="70">
        <v>20</v>
      </c>
      <c r="G2243" s="67"/>
      <c r="H2243" s="71"/>
      <c r="I2243" s="72"/>
      <c r="J2243" s="72"/>
      <c r="K2243" s="34" t="s">
        <v>66</v>
      </c>
      <c r="L2243" s="79">
        <v>2243</v>
      </c>
      <c r="M2243" s="79"/>
      <c r="N2243" s="74"/>
      <c r="O2243" s="81" t="s">
        <v>944</v>
      </c>
      <c r="P2243">
        <v>1</v>
      </c>
      <c r="Q2243" s="80" t="str">
        <f>REPLACE(INDEX(GroupVertices[Group],MATCH(Edges[[#This Row],[Vertex 1]],GroupVertices[Vertex],0)),1,1,"")</f>
        <v>2</v>
      </c>
      <c r="R2243" s="80" t="str">
        <f>REPLACE(INDEX(GroupVertices[Group],MATCH(Edges[[#This Row],[Vertex 2]],GroupVertices[Vertex],0)),1,1,"")</f>
        <v>2</v>
      </c>
      <c r="S2243" s="34"/>
      <c r="T2243" s="34"/>
      <c r="U2243" s="34"/>
      <c r="V2243" s="34"/>
      <c r="W2243" s="34"/>
      <c r="X2243" s="34"/>
      <c r="Y2243" s="34"/>
      <c r="Z2243" s="34"/>
      <c r="AA2243" s="34"/>
    </row>
    <row r="2244" spans="1:27" ht="15">
      <c r="A2244" s="66" t="s">
        <v>250</v>
      </c>
      <c r="B2244" s="66" t="s">
        <v>232</v>
      </c>
      <c r="C2244" s="67" t="s">
        <v>4454</v>
      </c>
      <c r="D2244" s="68">
        <v>5</v>
      </c>
      <c r="E2244" s="69"/>
      <c r="F2244" s="70">
        <v>20</v>
      </c>
      <c r="G2244" s="67"/>
      <c r="H2244" s="71"/>
      <c r="I2244" s="72"/>
      <c r="J2244" s="72"/>
      <c r="K2244" s="34" t="s">
        <v>65</v>
      </c>
      <c r="L2244" s="79">
        <v>2244</v>
      </c>
      <c r="M2244" s="79"/>
      <c r="N2244" s="74"/>
      <c r="O2244" s="81" t="s">
        <v>944</v>
      </c>
      <c r="P2244">
        <v>1</v>
      </c>
      <c r="Q2244" s="80" t="str">
        <f>REPLACE(INDEX(GroupVertices[Group],MATCH(Edges[[#This Row],[Vertex 1]],GroupVertices[Vertex],0)),1,1,"")</f>
        <v>2</v>
      </c>
      <c r="R2244" s="80" t="str">
        <f>REPLACE(INDEX(GroupVertices[Group],MATCH(Edges[[#This Row],[Vertex 2]],GroupVertices[Vertex],0)),1,1,"")</f>
        <v>1</v>
      </c>
      <c r="S2244" s="34"/>
      <c r="T2244" s="34"/>
      <c r="U2244" s="34"/>
      <c r="V2244" s="34"/>
      <c r="W2244" s="34"/>
      <c r="X2244" s="34"/>
      <c r="Y2244" s="34"/>
      <c r="Z2244" s="34"/>
      <c r="AA2244" s="34"/>
    </row>
    <row r="2245" spans="1:27" ht="15">
      <c r="A2245" s="66" t="s">
        <v>250</v>
      </c>
      <c r="B2245" s="66" t="s">
        <v>261</v>
      </c>
      <c r="C2245" s="67" t="s">
        <v>4454</v>
      </c>
      <c r="D2245" s="68">
        <v>5</v>
      </c>
      <c r="E2245" s="69"/>
      <c r="F2245" s="70">
        <v>20</v>
      </c>
      <c r="G2245" s="67"/>
      <c r="H2245" s="71"/>
      <c r="I2245" s="72"/>
      <c r="J2245" s="72"/>
      <c r="K2245" s="34" t="s">
        <v>65</v>
      </c>
      <c r="L2245" s="79">
        <v>2245</v>
      </c>
      <c r="M2245" s="79"/>
      <c r="N2245" s="74"/>
      <c r="O2245" s="81" t="s">
        <v>944</v>
      </c>
      <c r="P2245">
        <v>1</v>
      </c>
      <c r="Q2245" s="80" t="str">
        <f>REPLACE(INDEX(GroupVertices[Group],MATCH(Edges[[#This Row],[Vertex 1]],GroupVertices[Vertex],0)),1,1,"")</f>
        <v>2</v>
      </c>
      <c r="R2245" s="80" t="str">
        <f>REPLACE(INDEX(GroupVertices[Group],MATCH(Edges[[#This Row],[Vertex 2]],GroupVertices[Vertex],0)),1,1,"")</f>
        <v>1</v>
      </c>
      <c r="S2245" s="34"/>
      <c r="T2245" s="34"/>
      <c r="U2245" s="34"/>
      <c r="V2245" s="34"/>
      <c r="W2245" s="34"/>
      <c r="X2245" s="34"/>
      <c r="Y2245" s="34"/>
      <c r="Z2245" s="34"/>
      <c r="AA2245" s="34"/>
    </row>
    <row r="2246" spans="1:27" ht="15">
      <c r="A2246" s="66" t="s">
        <v>250</v>
      </c>
      <c r="B2246" s="66" t="s">
        <v>253</v>
      </c>
      <c r="C2246" s="67" t="s">
        <v>4454</v>
      </c>
      <c r="D2246" s="68">
        <v>5</v>
      </c>
      <c r="E2246" s="69"/>
      <c r="F2246" s="70">
        <v>20</v>
      </c>
      <c r="G2246" s="67"/>
      <c r="H2246" s="71"/>
      <c r="I2246" s="72"/>
      <c r="J2246" s="72"/>
      <c r="K2246" s="34" t="s">
        <v>65</v>
      </c>
      <c r="L2246" s="79">
        <v>2246</v>
      </c>
      <c r="M2246" s="79"/>
      <c r="N2246" s="74"/>
      <c r="O2246" s="81" t="s">
        <v>944</v>
      </c>
      <c r="P2246">
        <v>1</v>
      </c>
      <c r="Q2246" s="80" t="str">
        <f>REPLACE(INDEX(GroupVertices[Group],MATCH(Edges[[#This Row],[Vertex 1]],GroupVertices[Vertex],0)),1,1,"")</f>
        <v>2</v>
      </c>
      <c r="R2246" s="80" t="str">
        <f>REPLACE(INDEX(GroupVertices[Group],MATCH(Edges[[#This Row],[Vertex 2]],GroupVertices[Vertex],0)),1,1,"")</f>
        <v>1</v>
      </c>
      <c r="S2246" s="34"/>
      <c r="T2246" s="34"/>
      <c r="U2246" s="34"/>
      <c r="V2246" s="34"/>
      <c r="W2246" s="34"/>
      <c r="X2246" s="34"/>
      <c r="Y2246" s="34"/>
      <c r="Z2246" s="34"/>
      <c r="AA2246" s="34"/>
    </row>
    <row r="2247" spans="1:27" ht="15">
      <c r="A2247" s="66" t="s">
        <v>250</v>
      </c>
      <c r="B2247" s="66" t="s">
        <v>254</v>
      </c>
      <c r="C2247" s="67" t="s">
        <v>4454</v>
      </c>
      <c r="D2247" s="68">
        <v>5</v>
      </c>
      <c r="E2247" s="69"/>
      <c r="F2247" s="70">
        <v>20</v>
      </c>
      <c r="G2247" s="67"/>
      <c r="H2247" s="71"/>
      <c r="I2247" s="72"/>
      <c r="J2247" s="72"/>
      <c r="K2247" s="34" t="s">
        <v>65</v>
      </c>
      <c r="L2247" s="79">
        <v>2247</v>
      </c>
      <c r="M2247" s="79"/>
      <c r="N2247" s="74"/>
      <c r="O2247" s="81" t="s">
        <v>944</v>
      </c>
      <c r="P2247">
        <v>1</v>
      </c>
      <c r="Q2247" s="80" t="str">
        <f>REPLACE(INDEX(GroupVertices[Group],MATCH(Edges[[#This Row],[Vertex 1]],GroupVertices[Vertex],0)),1,1,"")</f>
        <v>2</v>
      </c>
      <c r="R2247" s="80" t="str">
        <f>REPLACE(INDEX(GroupVertices[Group],MATCH(Edges[[#This Row],[Vertex 2]],GroupVertices[Vertex],0)),1,1,"")</f>
        <v>3</v>
      </c>
      <c r="S2247" s="34"/>
      <c r="T2247" s="34"/>
      <c r="U2247" s="34"/>
      <c r="V2247" s="34"/>
      <c r="W2247" s="34"/>
      <c r="X2247" s="34"/>
      <c r="Y2247" s="34"/>
      <c r="Z2247" s="34"/>
      <c r="AA2247" s="34"/>
    </row>
    <row r="2248" spans="1:27" ht="15">
      <c r="A2248" s="66" t="s">
        <v>250</v>
      </c>
      <c r="B2248" s="66" t="s">
        <v>259</v>
      </c>
      <c r="C2248" s="67" t="s">
        <v>4454</v>
      </c>
      <c r="D2248" s="68">
        <v>5</v>
      </c>
      <c r="E2248" s="69"/>
      <c r="F2248" s="70">
        <v>20</v>
      </c>
      <c r="G2248" s="67"/>
      <c r="H2248" s="71"/>
      <c r="I2248" s="72"/>
      <c r="J2248" s="72"/>
      <c r="K2248" s="34" t="s">
        <v>65</v>
      </c>
      <c r="L2248" s="79">
        <v>2248</v>
      </c>
      <c r="M2248" s="79"/>
      <c r="N2248" s="74"/>
      <c r="O2248" s="81" t="s">
        <v>944</v>
      </c>
      <c r="P2248">
        <v>1</v>
      </c>
      <c r="Q2248" s="80" t="str">
        <f>REPLACE(INDEX(GroupVertices[Group],MATCH(Edges[[#This Row],[Vertex 1]],GroupVertices[Vertex],0)),1,1,"")</f>
        <v>2</v>
      </c>
      <c r="R2248" s="80" t="str">
        <f>REPLACE(INDEX(GroupVertices[Group],MATCH(Edges[[#This Row],[Vertex 2]],GroupVertices[Vertex],0)),1,1,"")</f>
        <v>2</v>
      </c>
      <c r="S2248" s="34"/>
      <c r="T2248" s="34"/>
      <c r="U2248" s="34"/>
      <c r="V2248" s="34"/>
      <c r="W2248" s="34"/>
      <c r="X2248" s="34"/>
      <c r="Y2248" s="34"/>
      <c r="Z2248" s="34"/>
      <c r="AA2248" s="34"/>
    </row>
    <row r="2249" spans="1:27" ht="15">
      <c r="A2249" s="66" t="s">
        <v>256</v>
      </c>
      <c r="B2249" s="66" t="s">
        <v>250</v>
      </c>
      <c r="C2249" s="67" t="s">
        <v>4454</v>
      </c>
      <c r="D2249" s="68">
        <v>5</v>
      </c>
      <c r="E2249" s="69"/>
      <c r="F2249" s="70">
        <v>20</v>
      </c>
      <c r="G2249" s="67"/>
      <c r="H2249" s="71"/>
      <c r="I2249" s="72"/>
      <c r="J2249" s="72"/>
      <c r="K2249" s="34" t="s">
        <v>66</v>
      </c>
      <c r="L2249" s="79">
        <v>2249</v>
      </c>
      <c r="M2249" s="79"/>
      <c r="N2249" s="74"/>
      <c r="O2249" s="81" t="s">
        <v>944</v>
      </c>
      <c r="P2249">
        <v>1</v>
      </c>
      <c r="Q2249" s="80" t="str">
        <f>REPLACE(INDEX(GroupVertices[Group],MATCH(Edges[[#This Row],[Vertex 1]],GroupVertices[Vertex],0)),1,1,"")</f>
        <v>1</v>
      </c>
      <c r="R2249" s="80" t="str">
        <f>REPLACE(INDEX(GroupVertices[Group],MATCH(Edges[[#This Row],[Vertex 2]],GroupVertices[Vertex],0)),1,1,"")</f>
        <v>2</v>
      </c>
      <c r="S2249" s="34"/>
      <c r="T2249" s="34"/>
      <c r="U2249" s="34"/>
      <c r="V2249" s="34"/>
      <c r="W2249" s="34"/>
      <c r="X2249" s="34"/>
      <c r="Y2249" s="34"/>
      <c r="Z2249" s="34"/>
      <c r="AA2249" s="34"/>
    </row>
    <row r="2250" spans="1:27" ht="15">
      <c r="A2250" s="66" t="s">
        <v>258</v>
      </c>
      <c r="B2250" s="66" t="s">
        <v>250</v>
      </c>
      <c r="C2250" s="67" t="s">
        <v>4454</v>
      </c>
      <c r="D2250" s="68">
        <v>5</v>
      </c>
      <c r="E2250" s="69"/>
      <c r="F2250" s="70">
        <v>20</v>
      </c>
      <c r="G2250" s="67"/>
      <c r="H2250" s="71"/>
      <c r="I2250" s="72"/>
      <c r="J2250" s="72"/>
      <c r="K2250" s="34" t="s">
        <v>65</v>
      </c>
      <c r="L2250" s="79">
        <v>2250</v>
      </c>
      <c r="M2250" s="79"/>
      <c r="N2250" s="74"/>
      <c r="O2250" s="81" t="s">
        <v>944</v>
      </c>
      <c r="P2250">
        <v>1</v>
      </c>
      <c r="Q2250" s="80" t="str">
        <f>REPLACE(INDEX(GroupVertices[Group],MATCH(Edges[[#This Row],[Vertex 1]],GroupVertices[Vertex],0)),1,1,"")</f>
        <v>1</v>
      </c>
      <c r="R2250" s="80" t="str">
        <f>REPLACE(INDEX(GroupVertices[Group],MATCH(Edges[[#This Row],[Vertex 2]],GroupVertices[Vertex],0)),1,1,"")</f>
        <v>2</v>
      </c>
      <c r="S2250" s="34"/>
      <c r="T2250" s="34"/>
      <c r="U2250" s="34"/>
      <c r="V2250" s="34"/>
      <c r="W2250" s="34"/>
      <c r="X2250" s="34"/>
      <c r="Y2250" s="34"/>
      <c r="Z2250" s="34"/>
      <c r="AA2250" s="34"/>
    </row>
    <row r="2251" spans="1:27" ht="15">
      <c r="A2251" s="66" t="s">
        <v>260</v>
      </c>
      <c r="B2251" s="66" t="s">
        <v>250</v>
      </c>
      <c r="C2251" s="67" t="s">
        <v>4454</v>
      </c>
      <c r="D2251" s="68">
        <v>5</v>
      </c>
      <c r="E2251" s="69"/>
      <c r="F2251" s="70">
        <v>20</v>
      </c>
      <c r="G2251" s="67"/>
      <c r="H2251" s="71"/>
      <c r="I2251" s="72"/>
      <c r="J2251" s="72"/>
      <c r="K2251" s="34" t="s">
        <v>66</v>
      </c>
      <c r="L2251" s="79">
        <v>2251</v>
      </c>
      <c r="M2251" s="79"/>
      <c r="N2251" s="74"/>
      <c r="O2251" s="81" t="s">
        <v>944</v>
      </c>
      <c r="P2251">
        <v>1</v>
      </c>
      <c r="Q2251" s="80" t="str">
        <f>REPLACE(INDEX(GroupVertices[Group],MATCH(Edges[[#This Row],[Vertex 1]],GroupVertices[Vertex],0)),1,1,"")</f>
        <v>2</v>
      </c>
      <c r="R2251" s="80" t="str">
        <f>REPLACE(INDEX(GroupVertices[Group],MATCH(Edges[[#This Row],[Vertex 2]],GroupVertices[Vertex],0)),1,1,"")</f>
        <v>2</v>
      </c>
      <c r="S2251" s="34"/>
      <c r="T2251" s="34"/>
      <c r="U2251" s="34"/>
      <c r="V2251" s="34"/>
      <c r="W2251" s="34"/>
      <c r="X2251" s="34"/>
      <c r="Y2251" s="34"/>
      <c r="Z2251" s="34"/>
      <c r="AA2251" s="34"/>
    </row>
    <row r="2252" spans="1:27" ht="15">
      <c r="A2252" s="66" t="s">
        <v>249</v>
      </c>
      <c r="B2252" s="66" t="s">
        <v>260</v>
      </c>
      <c r="C2252" s="67" t="s">
        <v>4454</v>
      </c>
      <c r="D2252" s="68">
        <v>5</v>
      </c>
      <c r="E2252" s="69"/>
      <c r="F2252" s="70">
        <v>20</v>
      </c>
      <c r="G2252" s="67"/>
      <c r="H2252" s="71"/>
      <c r="I2252" s="72"/>
      <c r="J2252" s="72"/>
      <c r="K2252" s="34" t="s">
        <v>66</v>
      </c>
      <c r="L2252" s="79">
        <v>2252</v>
      </c>
      <c r="M2252" s="79"/>
      <c r="N2252" s="74"/>
      <c r="O2252" s="81" t="s">
        <v>944</v>
      </c>
      <c r="P2252">
        <v>1</v>
      </c>
      <c r="Q2252" s="80" t="str">
        <f>REPLACE(INDEX(GroupVertices[Group],MATCH(Edges[[#This Row],[Vertex 1]],GroupVertices[Vertex],0)),1,1,"")</f>
        <v>2</v>
      </c>
      <c r="R2252" s="80" t="str">
        <f>REPLACE(INDEX(GroupVertices[Group],MATCH(Edges[[#This Row],[Vertex 2]],GroupVertices[Vertex],0)),1,1,"")</f>
        <v>2</v>
      </c>
      <c r="S2252" s="34"/>
      <c r="T2252" s="34"/>
      <c r="U2252" s="34"/>
      <c r="V2252" s="34"/>
      <c r="W2252" s="34"/>
      <c r="X2252" s="34"/>
      <c r="Y2252" s="34"/>
      <c r="Z2252" s="34"/>
      <c r="AA2252" s="34"/>
    </row>
    <row r="2253" spans="1:27" ht="15">
      <c r="A2253" s="66" t="s">
        <v>256</v>
      </c>
      <c r="B2253" s="66" t="s">
        <v>260</v>
      </c>
      <c r="C2253" s="67" t="s">
        <v>4454</v>
      </c>
      <c r="D2253" s="68">
        <v>5</v>
      </c>
      <c r="E2253" s="69"/>
      <c r="F2253" s="70">
        <v>20</v>
      </c>
      <c r="G2253" s="67"/>
      <c r="H2253" s="71"/>
      <c r="I2253" s="72"/>
      <c r="J2253" s="72"/>
      <c r="K2253" s="34" t="s">
        <v>65</v>
      </c>
      <c r="L2253" s="79">
        <v>2253</v>
      </c>
      <c r="M2253" s="79"/>
      <c r="N2253" s="74"/>
      <c r="O2253" s="81" t="s">
        <v>944</v>
      </c>
      <c r="P2253">
        <v>1</v>
      </c>
      <c r="Q2253" s="80" t="str">
        <f>REPLACE(INDEX(GroupVertices[Group],MATCH(Edges[[#This Row],[Vertex 1]],GroupVertices[Vertex],0)),1,1,"")</f>
        <v>1</v>
      </c>
      <c r="R2253" s="80" t="str">
        <f>REPLACE(INDEX(GroupVertices[Group],MATCH(Edges[[#This Row],[Vertex 2]],GroupVertices[Vertex],0)),1,1,"")</f>
        <v>2</v>
      </c>
      <c r="S2253" s="34"/>
      <c r="T2253" s="34"/>
      <c r="U2253" s="34"/>
      <c r="V2253" s="34"/>
      <c r="W2253" s="34"/>
      <c r="X2253" s="34"/>
      <c r="Y2253" s="34"/>
      <c r="Z2253" s="34"/>
      <c r="AA2253" s="34"/>
    </row>
    <row r="2254" spans="1:27" ht="15">
      <c r="A2254" s="66" t="s">
        <v>258</v>
      </c>
      <c r="B2254" s="66" t="s">
        <v>260</v>
      </c>
      <c r="C2254" s="67" t="s">
        <v>4454</v>
      </c>
      <c r="D2254" s="68">
        <v>5</v>
      </c>
      <c r="E2254" s="69"/>
      <c r="F2254" s="70">
        <v>20</v>
      </c>
      <c r="G2254" s="67"/>
      <c r="H2254" s="71"/>
      <c r="I2254" s="72"/>
      <c r="J2254" s="72"/>
      <c r="K2254" s="34" t="s">
        <v>66</v>
      </c>
      <c r="L2254" s="79">
        <v>2254</v>
      </c>
      <c r="M2254" s="79"/>
      <c r="N2254" s="74"/>
      <c r="O2254" s="81" t="s">
        <v>944</v>
      </c>
      <c r="P2254">
        <v>1</v>
      </c>
      <c r="Q2254" s="80" t="str">
        <f>REPLACE(INDEX(GroupVertices[Group],MATCH(Edges[[#This Row],[Vertex 1]],GroupVertices[Vertex],0)),1,1,"")</f>
        <v>1</v>
      </c>
      <c r="R2254" s="80" t="str">
        <f>REPLACE(INDEX(GroupVertices[Group],MATCH(Edges[[#This Row],[Vertex 2]],GroupVertices[Vertex],0)),1,1,"")</f>
        <v>2</v>
      </c>
      <c r="S2254" s="34"/>
      <c r="T2254" s="34"/>
      <c r="U2254" s="34"/>
      <c r="V2254" s="34"/>
      <c r="W2254" s="34"/>
      <c r="X2254" s="34"/>
      <c r="Y2254" s="34"/>
      <c r="Z2254" s="34"/>
      <c r="AA2254" s="34"/>
    </row>
    <row r="2255" spans="1:27" ht="15">
      <c r="A2255" s="66" t="s">
        <v>259</v>
      </c>
      <c r="B2255" s="66" t="s">
        <v>260</v>
      </c>
      <c r="C2255" s="67" t="s">
        <v>4454</v>
      </c>
      <c r="D2255" s="68">
        <v>5</v>
      </c>
      <c r="E2255" s="69"/>
      <c r="F2255" s="70">
        <v>20</v>
      </c>
      <c r="G2255" s="67"/>
      <c r="H2255" s="71"/>
      <c r="I2255" s="72"/>
      <c r="J2255" s="72"/>
      <c r="K2255" s="34" t="s">
        <v>66</v>
      </c>
      <c r="L2255" s="79">
        <v>2255</v>
      </c>
      <c r="M2255" s="79"/>
      <c r="N2255" s="74"/>
      <c r="O2255" s="81" t="s">
        <v>944</v>
      </c>
      <c r="P2255">
        <v>1</v>
      </c>
      <c r="Q2255" s="80" t="str">
        <f>REPLACE(INDEX(GroupVertices[Group],MATCH(Edges[[#This Row],[Vertex 1]],GroupVertices[Vertex],0)),1,1,"")</f>
        <v>2</v>
      </c>
      <c r="R2255" s="80" t="str">
        <f>REPLACE(INDEX(GroupVertices[Group],MATCH(Edges[[#This Row],[Vertex 2]],GroupVertices[Vertex],0)),1,1,"")</f>
        <v>2</v>
      </c>
      <c r="S2255" s="34"/>
      <c r="T2255" s="34"/>
      <c r="U2255" s="34"/>
      <c r="V2255" s="34"/>
      <c r="W2255" s="34"/>
      <c r="X2255" s="34"/>
      <c r="Y2255" s="34"/>
      <c r="Z2255" s="34"/>
      <c r="AA2255" s="34"/>
    </row>
    <row r="2256" spans="1:27" ht="15">
      <c r="A2256" s="66" t="s">
        <v>260</v>
      </c>
      <c r="B2256" s="66" t="s">
        <v>226</v>
      </c>
      <c r="C2256" s="67" t="s">
        <v>4454</v>
      </c>
      <c r="D2256" s="68">
        <v>5</v>
      </c>
      <c r="E2256" s="69"/>
      <c r="F2256" s="70">
        <v>20</v>
      </c>
      <c r="G2256" s="67"/>
      <c r="H2256" s="71"/>
      <c r="I2256" s="72"/>
      <c r="J2256" s="72"/>
      <c r="K2256" s="34" t="s">
        <v>65</v>
      </c>
      <c r="L2256" s="79">
        <v>2256</v>
      </c>
      <c r="M2256" s="79"/>
      <c r="N2256" s="74"/>
      <c r="O2256" s="81" t="s">
        <v>944</v>
      </c>
      <c r="P2256">
        <v>1</v>
      </c>
      <c r="Q2256" s="80" t="str">
        <f>REPLACE(INDEX(GroupVertices[Group],MATCH(Edges[[#This Row],[Vertex 1]],GroupVertices[Vertex],0)),1,1,"")</f>
        <v>2</v>
      </c>
      <c r="R2256" s="80" t="str">
        <f>REPLACE(INDEX(GroupVertices[Group],MATCH(Edges[[#This Row],[Vertex 2]],GroupVertices[Vertex],0)),1,1,"")</f>
        <v>4</v>
      </c>
      <c r="S2256" s="34"/>
      <c r="T2256" s="34"/>
      <c r="U2256" s="34"/>
      <c r="V2256" s="34"/>
      <c r="W2256" s="34"/>
      <c r="X2256" s="34"/>
      <c r="Y2256" s="34"/>
      <c r="Z2256" s="34"/>
      <c r="AA2256" s="34"/>
    </row>
    <row r="2257" spans="1:27" ht="15">
      <c r="A2257" s="66" t="s">
        <v>260</v>
      </c>
      <c r="B2257" s="66" t="s">
        <v>248</v>
      </c>
      <c r="C2257" s="67" t="s">
        <v>4454</v>
      </c>
      <c r="D2257" s="68">
        <v>5</v>
      </c>
      <c r="E2257" s="69"/>
      <c r="F2257" s="70">
        <v>20</v>
      </c>
      <c r="G2257" s="67"/>
      <c r="H2257" s="71"/>
      <c r="I2257" s="72"/>
      <c r="J2257" s="72"/>
      <c r="K2257" s="34" t="s">
        <v>65</v>
      </c>
      <c r="L2257" s="79">
        <v>2257</v>
      </c>
      <c r="M2257" s="79"/>
      <c r="N2257" s="74"/>
      <c r="O2257" s="81" t="s">
        <v>944</v>
      </c>
      <c r="P2257">
        <v>1</v>
      </c>
      <c r="Q2257" s="80" t="str">
        <f>REPLACE(INDEX(GroupVertices[Group],MATCH(Edges[[#This Row],[Vertex 1]],GroupVertices[Vertex],0)),1,1,"")</f>
        <v>2</v>
      </c>
      <c r="R2257" s="80" t="str">
        <f>REPLACE(INDEX(GroupVertices[Group],MATCH(Edges[[#This Row],[Vertex 2]],GroupVertices[Vertex],0)),1,1,"")</f>
        <v>1</v>
      </c>
      <c r="S2257" s="34"/>
      <c r="T2257" s="34"/>
      <c r="U2257" s="34"/>
      <c r="V2257" s="34"/>
      <c r="W2257" s="34"/>
      <c r="X2257" s="34"/>
      <c r="Y2257" s="34"/>
      <c r="Z2257" s="34"/>
      <c r="AA2257" s="34"/>
    </row>
    <row r="2258" spans="1:27" ht="15">
      <c r="A2258" s="66" t="s">
        <v>260</v>
      </c>
      <c r="B2258" s="66" t="s">
        <v>508</v>
      </c>
      <c r="C2258" s="67" t="s">
        <v>4454</v>
      </c>
      <c r="D2258" s="68">
        <v>5</v>
      </c>
      <c r="E2258" s="69"/>
      <c r="F2258" s="70">
        <v>20</v>
      </c>
      <c r="G2258" s="67"/>
      <c r="H2258" s="71"/>
      <c r="I2258" s="72"/>
      <c r="J2258" s="72"/>
      <c r="K2258" s="34" t="s">
        <v>65</v>
      </c>
      <c r="L2258" s="79">
        <v>2258</v>
      </c>
      <c r="M2258" s="79"/>
      <c r="N2258" s="74"/>
      <c r="O2258" s="81" t="s">
        <v>944</v>
      </c>
      <c r="P2258">
        <v>1</v>
      </c>
      <c r="Q2258" s="80" t="str">
        <f>REPLACE(INDEX(GroupVertices[Group],MATCH(Edges[[#This Row],[Vertex 1]],GroupVertices[Vertex],0)),1,1,"")</f>
        <v>2</v>
      </c>
      <c r="R2258" s="80" t="str">
        <f>REPLACE(INDEX(GroupVertices[Group],MATCH(Edges[[#This Row],[Vertex 2]],GroupVertices[Vertex],0)),1,1,"")</f>
        <v>1</v>
      </c>
      <c r="S2258" s="34"/>
      <c r="T2258" s="34"/>
      <c r="U2258" s="34"/>
      <c r="V2258" s="34"/>
      <c r="W2258" s="34"/>
      <c r="X2258" s="34"/>
      <c r="Y2258" s="34"/>
      <c r="Z2258" s="34"/>
      <c r="AA2258" s="34"/>
    </row>
    <row r="2259" spans="1:27" ht="15">
      <c r="A2259" s="66" t="s">
        <v>260</v>
      </c>
      <c r="B2259" s="66" t="s">
        <v>663</v>
      </c>
      <c r="C2259" s="67" t="s">
        <v>4454</v>
      </c>
      <c r="D2259" s="68">
        <v>5</v>
      </c>
      <c r="E2259" s="69"/>
      <c r="F2259" s="70">
        <v>20</v>
      </c>
      <c r="G2259" s="67"/>
      <c r="H2259" s="71"/>
      <c r="I2259" s="72"/>
      <c r="J2259" s="72"/>
      <c r="K2259" s="34" t="s">
        <v>65</v>
      </c>
      <c r="L2259" s="79">
        <v>2259</v>
      </c>
      <c r="M2259" s="79"/>
      <c r="N2259" s="74"/>
      <c r="O2259" s="81" t="s">
        <v>944</v>
      </c>
      <c r="P2259">
        <v>1</v>
      </c>
      <c r="Q2259" s="80" t="str">
        <f>REPLACE(INDEX(GroupVertices[Group],MATCH(Edges[[#This Row],[Vertex 1]],GroupVertices[Vertex],0)),1,1,"")</f>
        <v>2</v>
      </c>
      <c r="R2259" s="80" t="str">
        <f>REPLACE(INDEX(GroupVertices[Group],MATCH(Edges[[#This Row],[Vertex 2]],GroupVertices[Vertex],0)),1,1,"")</f>
        <v>1</v>
      </c>
      <c r="S2259" s="34"/>
      <c r="T2259" s="34"/>
      <c r="U2259" s="34"/>
      <c r="V2259" s="34"/>
      <c r="W2259" s="34"/>
      <c r="X2259" s="34"/>
      <c r="Y2259" s="34"/>
      <c r="Z2259" s="34"/>
      <c r="AA2259" s="34"/>
    </row>
    <row r="2260" spans="1:27" ht="15">
      <c r="A2260" s="66" t="s">
        <v>260</v>
      </c>
      <c r="B2260" s="66" t="s">
        <v>482</v>
      </c>
      <c r="C2260" s="67" t="s">
        <v>4454</v>
      </c>
      <c r="D2260" s="68">
        <v>5</v>
      </c>
      <c r="E2260" s="69"/>
      <c r="F2260" s="70">
        <v>20</v>
      </c>
      <c r="G2260" s="67"/>
      <c r="H2260" s="71"/>
      <c r="I2260" s="72"/>
      <c r="J2260" s="72"/>
      <c r="K2260" s="34" t="s">
        <v>65</v>
      </c>
      <c r="L2260" s="79">
        <v>2260</v>
      </c>
      <c r="M2260" s="79"/>
      <c r="N2260" s="74"/>
      <c r="O2260" s="81" t="s">
        <v>944</v>
      </c>
      <c r="P2260">
        <v>1</v>
      </c>
      <c r="Q2260" s="80" t="str">
        <f>REPLACE(INDEX(GroupVertices[Group],MATCH(Edges[[#This Row],[Vertex 1]],GroupVertices[Vertex],0)),1,1,"")</f>
        <v>2</v>
      </c>
      <c r="R2260" s="80" t="str">
        <f>REPLACE(INDEX(GroupVertices[Group],MATCH(Edges[[#This Row],[Vertex 2]],GroupVertices[Vertex],0)),1,1,"")</f>
        <v>1</v>
      </c>
      <c r="S2260" s="34"/>
      <c r="T2260" s="34"/>
      <c r="U2260" s="34"/>
      <c r="V2260" s="34"/>
      <c r="W2260" s="34"/>
      <c r="X2260" s="34"/>
      <c r="Y2260" s="34"/>
      <c r="Z2260" s="34"/>
      <c r="AA2260" s="34"/>
    </row>
    <row r="2261" spans="1:27" ht="15">
      <c r="A2261" s="66" t="s">
        <v>260</v>
      </c>
      <c r="B2261" s="66" t="s">
        <v>480</v>
      </c>
      <c r="C2261" s="67" t="s">
        <v>4454</v>
      </c>
      <c r="D2261" s="68">
        <v>5</v>
      </c>
      <c r="E2261" s="69"/>
      <c r="F2261" s="70">
        <v>20</v>
      </c>
      <c r="G2261" s="67"/>
      <c r="H2261" s="71"/>
      <c r="I2261" s="72"/>
      <c r="J2261" s="72"/>
      <c r="K2261" s="34" t="s">
        <v>65</v>
      </c>
      <c r="L2261" s="79">
        <v>2261</v>
      </c>
      <c r="M2261" s="79"/>
      <c r="N2261" s="74"/>
      <c r="O2261" s="81" t="s">
        <v>944</v>
      </c>
      <c r="P2261">
        <v>1</v>
      </c>
      <c r="Q2261" s="80" t="str">
        <f>REPLACE(INDEX(GroupVertices[Group],MATCH(Edges[[#This Row],[Vertex 1]],GroupVertices[Vertex],0)),1,1,"")</f>
        <v>2</v>
      </c>
      <c r="R2261" s="80" t="str">
        <f>REPLACE(INDEX(GroupVertices[Group],MATCH(Edges[[#This Row],[Vertex 2]],GroupVertices[Vertex],0)),1,1,"")</f>
        <v>1</v>
      </c>
      <c r="S2261" s="34"/>
      <c r="T2261" s="34"/>
      <c r="U2261" s="34"/>
      <c r="V2261" s="34"/>
      <c r="W2261" s="34"/>
      <c r="X2261" s="34"/>
      <c r="Y2261" s="34"/>
      <c r="Z2261" s="34"/>
      <c r="AA2261" s="34"/>
    </row>
    <row r="2262" spans="1:27" ht="15">
      <c r="A2262" s="66" t="s">
        <v>260</v>
      </c>
      <c r="B2262" s="66" t="s">
        <v>252</v>
      </c>
      <c r="C2262" s="67" t="s">
        <v>4454</v>
      </c>
      <c r="D2262" s="68">
        <v>5</v>
      </c>
      <c r="E2262" s="69"/>
      <c r="F2262" s="70">
        <v>20</v>
      </c>
      <c r="G2262" s="67"/>
      <c r="H2262" s="71"/>
      <c r="I2262" s="72"/>
      <c r="J2262" s="72"/>
      <c r="K2262" s="34" t="s">
        <v>65</v>
      </c>
      <c r="L2262" s="79">
        <v>2262</v>
      </c>
      <c r="M2262" s="79"/>
      <c r="N2262" s="74"/>
      <c r="O2262" s="81" t="s">
        <v>944</v>
      </c>
      <c r="P2262">
        <v>1</v>
      </c>
      <c r="Q2262" s="80" t="str">
        <f>REPLACE(INDEX(GroupVertices[Group],MATCH(Edges[[#This Row],[Vertex 1]],GroupVertices[Vertex],0)),1,1,"")</f>
        <v>2</v>
      </c>
      <c r="R2262" s="80" t="str">
        <f>REPLACE(INDEX(GroupVertices[Group],MATCH(Edges[[#This Row],[Vertex 2]],GroupVertices[Vertex],0)),1,1,"")</f>
        <v>1</v>
      </c>
      <c r="S2262" s="34"/>
      <c r="T2262" s="34"/>
      <c r="U2262" s="34"/>
      <c r="V2262" s="34"/>
      <c r="W2262" s="34"/>
      <c r="X2262" s="34"/>
      <c r="Y2262" s="34"/>
      <c r="Z2262" s="34"/>
      <c r="AA2262" s="34"/>
    </row>
    <row r="2263" spans="1:27" ht="15">
      <c r="A2263" s="66" t="s">
        <v>260</v>
      </c>
      <c r="B2263" s="66" t="s">
        <v>736</v>
      </c>
      <c r="C2263" s="67" t="s">
        <v>4454</v>
      </c>
      <c r="D2263" s="68">
        <v>5</v>
      </c>
      <c r="E2263" s="69"/>
      <c r="F2263" s="70">
        <v>20</v>
      </c>
      <c r="G2263" s="67"/>
      <c r="H2263" s="71"/>
      <c r="I2263" s="72"/>
      <c r="J2263" s="72"/>
      <c r="K2263" s="34" t="s">
        <v>65</v>
      </c>
      <c r="L2263" s="79">
        <v>2263</v>
      </c>
      <c r="M2263" s="79"/>
      <c r="N2263" s="74"/>
      <c r="O2263" s="81" t="s">
        <v>944</v>
      </c>
      <c r="P2263">
        <v>1</v>
      </c>
      <c r="Q2263" s="80" t="str">
        <f>REPLACE(INDEX(GroupVertices[Group],MATCH(Edges[[#This Row],[Vertex 1]],GroupVertices[Vertex],0)),1,1,"")</f>
        <v>2</v>
      </c>
      <c r="R2263" s="80" t="str">
        <f>REPLACE(INDEX(GroupVertices[Group],MATCH(Edges[[#This Row],[Vertex 2]],GroupVertices[Vertex],0)),1,1,"")</f>
        <v>1</v>
      </c>
      <c r="S2263" s="34"/>
      <c r="T2263" s="34"/>
      <c r="U2263" s="34"/>
      <c r="V2263" s="34"/>
      <c r="W2263" s="34"/>
      <c r="X2263" s="34"/>
      <c r="Y2263" s="34"/>
      <c r="Z2263" s="34"/>
      <c r="AA2263" s="34"/>
    </row>
    <row r="2264" spans="1:27" ht="15">
      <c r="A2264" s="66" t="s">
        <v>260</v>
      </c>
      <c r="B2264" s="66" t="s">
        <v>259</v>
      </c>
      <c r="C2264" s="67" t="s">
        <v>4454</v>
      </c>
      <c r="D2264" s="68">
        <v>5</v>
      </c>
      <c r="E2264" s="69"/>
      <c r="F2264" s="70">
        <v>20</v>
      </c>
      <c r="G2264" s="67"/>
      <c r="H2264" s="71"/>
      <c r="I2264" s="72"/>
      <c r="J2264" s="72"/>
      <c r="K2264" s="34" t="s">
        <v>66</v>
      </c>
      <c r="L2264" s="79">
        <v>2264</v>
      </c>
      <c r="M2264" s="79"/>
      <c r="N2264" s="74"/>
      <c r="O2264" s="81" t="s">
        <v>944</v>
      </c>
      <c r="P2264">
        <v>1</v>
      </c>
      <c r="Q2264" s="80" t="str">
        <f>REPLACE(INDEX(GroupVertices[Group],MATCH(Edges[[#This Row],[Vertex 1]],GroupVertices[Vertex],0)),1,1,"")</f>
        <v>2</v>
      </c>
      <c r="R2264" s="80" t="str">
        <f>REPLACE(INDEX(GroupVertices[Group],MATCH(Edges[[#This Row],[Vertex 2]],GroupVertices[Vertex],0)),1,1,"")</f>
        <v>2</v>
      </c>
      <c r="S2264" s="34"/>
      <c r="T2264" s="34"/>
      <c r="U2264" s="34"/>
      <c r="V2264" s="34"/>
      <c r="W2264" s="34"/>
      <c r="X2264" s="34"/>
      <c r="Y2264" s="34"/>
      <c r="Z2264" s="34"/>
      <c r="AA2264" s="34"/>
    </row>
    <row r="2265" spans="1:27" ht="15">
      <c r="A2265" s="66" t="s">
        <v>260</v>
      </c>
      <c r="B2265" s="66" t="s">
        <v>258</v>
      </c>
      <c r="C2265" s="67" t="s">
        <v>4454</v>
      </c>
      <c r="D2265" s="68">
        <v>5</v>
      </c>
      <c r="E2265" s="69"/>
      <c r="F2265" s="70">
        <v>20</v>
      </c>
      <c r="G2265" s="67"/>
      <c r="H2265" s="71"/>
      <c r="I2265" s="72"/>
      <c r="J2265" s="72"/>
      <c r="K2265" s="34" t="s">
        <v>66</v>
      </c>
      <c r="L2265" s="79">
        <v>2265</v>
      </c>
      <c r="M2265" s="79"/>
      <c r="N2265" s="74"/>
      <c r="O2265" s="81" t="s">
        <v>944</v>
      </c>
      <c r="P2265">
        <v>1</v>
      </c>
      <c r="Q2265" s="80" t="str">
        <f>REPLACE(INDEX(GroupVertices[Group],MATCH(Edges[[#This Row],[Vertex 1]],GroupVertices[Vertex],0)),1,1,"")</f>
        <v>2</v>
      </c>
      <c r="R2265" s="80" t="str">
        <f>REPLACE(INDEX(GroupVertices[Group],MATCH(Edges[[#This Row],[Vertex 2]],GroupVertices[Vertex],0)),1,1,"")</f>
        <v>1</v>
      </c>
      <c r="S2265" s="34"/>
      <c r="T2265" s="34"/>
      <c r="U2265" s="34"/>
      <c r="V2265" s="34"/>
      <c r="W2265" s="34"/>
      <c r="X2265" s="34"/>
      <c r="Y2265" s="34"/>
      <c r="Z2265" s="34"/>
      <c r="AA2265" s="34"/>
    </row>
    <row r="2266" spans="1:27" ht="15">
      <c r="A2266" s="66" t="s">
        <v>260</v>
      </c>
      <c r="B2266" s="66" t="s">
        <v>253</v>
      </c>
      <c r="C2266" s="67" t="s">
        <v>4454</v>
      </c>
      <c r="D2266" s="68">
        <v>5</v>
      </c>
      <c r="E2266" s="69"/>
      <c r="F2266" s="70">
        <v>20</v>
      </c>
      <c r="G2266" s="67"/>
      <c r="H2266" s="71"/>
      <c r="I2266" s="72"/>
      <c r="J2266" s="72"/>
      <c r="K2266" s="34" t="s">
        <v>65</v>
      </c>
      <c r="L2266" s="79">
        <v>2266</v>
      </c>
      <c r="M2266" s="79"/>
      <c r="N2266" s="74"/>
      <c r="O2266" s="81" t="s">
        <v>944</v>
      </c>
      <c r="P2266">
        <v>1</v>
      </c>
      <c r="Q2266" s="80" t="str">
        <f>REPLACE(INDEX(GroupVertices[Group],MATCH(Edges[[#This Row],[Vertex 1]],GroupVertices[Vertex],0)),1,1,"")</f>
        <v>2</v>
      </c>
      <c r="R2266" s="80" t="str">
        <f>REPLACE(INDEX(GroupVertices[Group],MATCH(Edges[[#This Row],[Vertex 2]],GroupVertices[Vertex],0)),1,1,"")</f>
        <v>1</v>
      </c>
      <c r="S2266" s="34"/>
      <c r="T2266" s="34"/>
      <c r="U2266" s="34"/>
      <c r="V2266" s="34"/>
      <c r="W2266" s="34"/>
      <c r="X2266" s="34"/>
      <c r="Y2266" s="34"/>
      <c r="Z2266" s="34"/>
      <c r="AA2266" s="34"/>
    </row>
    <row r="2267" spans="1:27" ht="15">
      <c r="A2267" s="66" t="s">
        <v>260</v>
      </c>
      <c r="B2267" s="66" t="s">
        <v>249</v>
      </c>
      <c r="C2267" s="67" t="s">
        <v>4454</v>
      </c>
      <c r="D2267" s="68">
        <v>5</v>
      </c>
      <c r="E2267" s="69"/>
      <c r="F2267" s="70">
        <v>20</v>
      </c>
      <c r="G2267" s="67"/>
      <c r="H2267" s="71"/>
      <c r="I2267" s="72"/>
      <c r="J2267" s="72"/>
      <c r="K2267" s="34" t="s">
        <v>66</v>
      </c>
      <c r="L2267" s="79">
        <v>2267</v>
      </c>
      <c r="M2267" s="79"/>
      <c r="N2267" s="74"/>
      <c r="O2267" s="81" t="s">
        <v>944</v>
      </c>
      <c r="P2267">
        <v>1</v>
      </c>
      <c r="Q2267" s="80" t="str">
        <f>REPLACE(INDEX(GroupVertices[Group],MATCH(Edges[[#This Row],[Vertex 1]],GroupVertices[Vertex],0)),1,1,"")</f>
        <v>2</v>
      </c>
      <c r="R2267" s="80" t="str">
        <f>REPLACE(INDEX(GroupVertices[Group],MATCH(Edges[[#This Row],[Vertex 2]],GroupVertices[Vertex],0)),1,1,"")</f>
        <v>2</v>
      </c>
      <c r="S2267" s="34"/>
      <c r="T2267" s="34"/>
      <c r="U2267" s="34"/>
      <c r="V2267" s="34"/>
      <c r="W2267" s="34"/>
      <c r="X2267" s="34"/>
      <c r="Y2267" s="34"/>
      <c r="Z2267" s="34"/>
      <c r="AA2267" s="34"/>
    </row>
    <row r="2268" spans="1:27" ht="15">
      <c r="A2268" s="66" t="s">
        <v>260</v>
      </c>
      <c r="B2268" s="66" t="s">
        <v>737</v>
      </c>
      <c r="C2268" s="67" t="s">
        <v>4454</v>
      </c>
      <c r="D2268" s="68">
        <v>5</v>
      </c>
      <c r="E2268" s="69"/>
      <c r="F2268" s="70">
        <v>20</v>
      </c>
      <c r="G2268" s="67"/>
      <c r="H2268" s="71"/>
      <c r="I2268" s="72"/>
      <c r="J2268" s="72"/>
      <c r="K2268" s="34" t="s">
        <v>65</v>
      </c>
      <c r="L2268" s="79">
        <v>2268</v>
      </c>
      <c r="M2268" s="79"/>
      <c r="N2268" s="74"/>
      <c r="O2268" s="81" t="s">
        <v>944</v>
      </c>
      <c r="P2268">
        <v>1</v>
      </c>
      <c r="Q2268" s="80" t="str">
        <f>REPLACE(INDEX(GroupVertices[Group],MATCH(Edges[[#This Row],[Vertex 1]],GroupVertices[Vertex],0)),1,1,"")</f>
        <v>2</v>
      </c>
      <c r="R2268" s="80" t="str">
        <f>REPLACE(INDEX(GroupVertices[Group],MATCH(Edges[[#This Row],[Vertex 2]],GroupVertices[Vertex],0)),1,1,"")</f>
        <v>1</v>
      </c>
      <c r="S2268" s="34"/>
      <c r="T2268" s="34"/>
      <c r="U2268" s="34"/>
      <c r="V2268" s="34"/>
      <c r="W2268" s="34"/>
      <c r="X2268" s="34"/>
      <c r="Y2268" s="34"/>
      <c r="Z2268" s="34"/>
      <c r="AA2268" s="34"/>
    </row>
    <row r="2269" spans="1:27" ht="15">
      <c r="A2269" s="66" t="s">
        <v>260</v>
      </c>
      <c r="B2269" s="66" t="s">
        <v>261</v>
      </c>
      <c r="C2269" s="67" t="s">
        <v>4454</v>
      </c>
      <c r="D2269" s="68">
        <v>5</v>
      </c>
      <c r="E2269" s="69"/>
      <c r="F2269" s="70">
        <v>20</v>
      </c>
      <c r="G2269" s="67"/>
      <c r="H2269" s="71"/>
      <c r="I2269" s="72"/>
      <c r="J2269" s="72"/>
      <c r="K2269" s="34" t="s">
        <v>65</v>
      </c>
      <c r="L2269" s="79">
        <v>2269</v>
      </c>
      <c r="M2269" s="79"/>
      <c r="N2269" s="74"/>
      <c r="O2269" s="81" t="s">
        <v>944</v>
      </c>
      <c r="P2269">
        <v>1</v>
      </c>
      <c r="Q2269" s="80" t="str">
        <f>REPLACE(INDEX(GroupVertices[Group],MATCH(Edges[[#This Row],[Vertex 1]],GroupVertices[Vertex],0)),1,1,"")</f>
        <v>2</v>
      </c>
      <c r="R2269" s="80" t="str">
        <f>REPLACE(INDEX(GroupVertices[Group],MATCH(Edges[[#This Row],[Vertex 2]],GroupVertices[Vertex],0)),1,1,"")</f>
        <v>1</v>
      </c>
      <c r="S2269" s="34"/>
      <c r="T2269" s="34"/>
      <c r="U2269" s="34"/>
      <c r="V2269" s="34"/>
      <c r="W2269" s="34"/>
      <c r="X2269" s="34"/>
      <c r="Y2269" s="34"/>
      <c r="Z2269" s="34"/>
      <c r="AA2269" s="34"/>
    </row>
    <row r="2270" spans="1:27" ht="15">
      <c r="A2270" s="66" t="s">
        <v>260</v>
      </c>
      <c r="B2270" s="66" t="s">
        <v>254</v>
      </c>
      <c r="C2270" s="67" t="s">
        <v>4454</v>
      </c>
      <c r="D2270" s="68">
        <v>5</v>
      </c>
      <c r="E2270" s="69"/>
      <c r="F2270" s="70">
        <v>20</v>
      </c>
      <c r="G2270" s="67"/>
      <c r="H2270" s="71"/>
      <c r="I2270" s="72"/>
      <c r="J2270" s="72"/>
      <c r="K2270" s="34" t="s">
        <v>65</v>
      </c>
      <c r="L2270" s="79">
        <v>2270</v>
      </c>
      <c r="M2270" s="79"/>
      <c r="N2270" s="74"/>
      <c r="O2270" s="81" t="s">
        <v>944</v>
      </c>
      <c r="P2270">
        <v>1</v>
      </c>
      <c r="Q2270" s="80" t="str">
        <f>REPLACE(INDEX(GroupVertices[Group],MATCH(Edges[[#This Row],[Vertex 1]],GroupVertices[Vertex],0)),1,1,"")</f>
        <v>2</v>
      </c>
      <c r="R2270" s="80" t="str">
        <f>REPLACE(INDEX(GroupVertices[Group],MATCH(Edges[[#This Row],[Vertex 2]],GroupVertices[Vertex],0)),1,1,"")</f>
        <v>3</v>
      </c>
      <c r="S2270" s="34"/>
      <c r="T2270" s="34"/>
      <c r="U2270" s="34"/>
      <c r="V2270" s="34"/>
      <c r="W2270" s="34"/>
      <c r="X2270" s="34"/>
      <c r="Y2270" s="34"/>
      <c r="Z2270" s="34"/>
      <c r="AA2270" s="34"/>
    </row>
    <row r="2271" spans="1:27" ht="15">
      <c r="A2271" s="66" t="s">
        <v>261</v>
      </c>
      <c r="B2271" s="66" t="s">
        <v>928</v>
      </c>
      <c r="C2271" s="67" t="s">
        <v>4454</v>
      </c>
      <c r="D2271" s="68">
        <v>5</v>
      </c>
      <c r="E2271" s="69"/>
      <c r="F2271" s="70">
        <v>20</v>
      </c>
      <c r="G2271" s="67"/>
      <c r="H2271" s="71"/>
      <c r="I2271" s="72"/>
      <c r="J2271" s="72"/>
      <c r="K2271" s="34"/>
      <c r="L2271" s="79">
        <v>2271</v>
      </c>
      <c r="M2271" s="79"/>
      <c r="N2271" s="74"/>
      <c r="O2271" s="81" t="s">
        <v>944</v>
      </c>
      <c r="P2271">
        <v>1</v>
      </c>
      <c r="Q2271" s="80" t="str">
        <f>REPLACE(INDEX(GroupVertices[Group],MATCH(Edges[[#This Row],[Vertex 1]],GroupVertices[Vertex],0)),1,1,"")</f>
        <v>1</v>
      </c>
      <c r="R2271" s="80" t="e">
        <f>REPLACE(INDEX(GroupVertices[Group],MATCH(Edges[[#This Row],[Vertex 2]],GroupVertices[Vertex],0)),1,1,"")</f>
        <v>#N/A</v>
      </c>
      <c r="S2271" s="34"/>
      <c r="T2271" s="34"/>
      <c r="U2271" s="34"/>
      <c r="V2271" s="34"/>
      <c r="W2271" s="34"/>
      <c r="X2271" s="34"/>
      <c r="Y2271" s="34"/>
      <c r="Z2271" s="34"/>
      <c r="AA2271" s="34"/>
    </row>
    <row r="2272" spans="1:27" ht="15">
      <c r="A2272" s="66" t="s">
        <v>261</v>
      </c>
      <c r="B2272" s="66" t="s">
        <v>929</v>
      </c>
      <c r="C2272" s="67" t="s">
        <v>4454</v>
      </c>
      <c r="D2272" s="68">
        <v>5</v>
      </c>
      <c r="E2272" s="69"/>
      <c r="F2272" s="70">
        <v>20</v>
      </c>
      <c r="G2272" s="67"/>
      <c r="H2272" s="71"/>
      <c r="I2272" s="72"/>
      <c r="J2272" s="72"/>
      <c r="K2272" s="34"/>
      <c r="L2272" s="79">
        <v>2272</v>
      </c>
      <c r="M2272" s="79"/>
      <c r="N2272" s="74"/>
      <c r="O2272" s="81" t="s">
        <v>944</v>
      </c>
      <c r="P2272">
        <v>1</v>
      </c>
      <c r="Q2272" s="80" t="str">
        <f>REPLACE(INDEX(GroupVertices[Group],MATCH(Edges[[#This Row],[Vertex 1]],GroupVertices[Vertex],0)),1,1,"")</f>
        <v>1</v>
      </c>
      <c r="R2272" s="80" t="e">
        <f>REPLACE(INDEX(GroupVertices[Group],MATCH(Edges[[#This Row],[Vertex 2]],GroupVertices[Vertex],0)),1,1,"")</f>
        <v>#N/A</v>
      </c>
      <c r="S2272" s="34"/>
      <c r="T2272" s="34"/>
      <c r="U2272" s="34"/>
      <c r="V2272" s="34"/>
      <c r="W2272" s="34"/>
      <c r="X2272" s="34"/>
      <c r="Y2272" s="34"/>
      <c r="Z2272" s="34"/>
      <c r="AA2272" s="34"/>
    </row>
    <row r="2273" spans="1:27" ht="15">
      <c r="A2273" s="66" t="s">
        <v>253</v>
      </c>
      <c r="B2273" s="66" t="s">
        <v>889</v>
      </c>
      <c r="C2273" s="67" t="s">
        <v>4454</v>
      </c>
      <c r="D2273" s="68">
        <v>5</v>
      </c>
      <c r="E2273" s="69"/>
      <c r="F2273" s="70">
        <v>20</v>
      </c>
      <c r="G2273" s="67"/>
      <c r="H2273" s="71"/>
      <c r="I2273" s="72"/>
      <c r="J2273" s="72"/>
      <c r="K2273" s="34" t="s">
        <v>65</v>
      </c>
      <c r="L2273" s="79">
        <v>2273</v>
      </c>
      <c r="M2273" s="79"/>
      <c r="N2273" s="74"/>
      <c r="O2273" s="81" t="s">
        <v>944</v>
      </c>
      <c r="P2273">
        <v>1</v>
      </c>
      <c r="Q2273" s="80" t="str">
        <f>REPLACE(INDEX(GroupVertices[Group],MATCH(Edges[[#This Row],[Vertex 1]],GroupVertices[Vertex],0)),1,1,"")</f>
        <v>1</v>
      </c>
      <c r="R2273" s="80" t="str">
        <f>REPLACE(INDEX(GroupVertices[Group],MATCH(Edges[[#This Row],[Vertex 2]],GroupVertices[Vertex],0)),1,1,"")</f>
        <v>2</v>
      </c>
      <c r="S2273" s="34"/>
      <c r="T2273" s="34"/>
      <c r="U2273" s="34"/>
      <c r="V2273" s="34"/>
      <c r="W2273" s="34"/>
      <c r="X2273" s="34"/>
      <c r="Y2273" s="34"/>
      <c r="Z2273" s="34"/>
      <c r="AA2273" s="34"/>
    </row>
    <row r="2274" spans="1:27" ht="15">
      <c r="A2274" s="66" t="s">
        <v>259</v>
      </c>
      <c r="B2274" s="66" t="s">
        <v>889</v>
      </c>
      <c r="C2274" s="67" t="s">
        <v>4454</v>
      </c>
      <c r="D2274" s="68">
        <v>5</v>
      </c>
      <c r="E2274" s="69"/>
      <c r="F2274" s="70">
        <v>20</v>
      </c>
      <c r="G2274" s="67"/>
      <c r="H2274" s="71"/>
      <c r="I2274" s="72"/>
      <c r="J2274" s="72"/>
      <c r="K2274" s="34" t="s">
        <v>65</v>
      </c>
      <c r="L2274" s="79">
        <v>2274</v>
      </c>
      <c r="M2274" s="79"/>
      <c r="N2274" s="74"/>
      <c r="O2274" s="81" t="s">
        <v>944</v>
      </c>
      <c r="P2274">
        <v>1</v>
      </c>
      <c r="Q2274" s="80" t="str">
        <f>REPLACE(INDEX(GroupVertices[Group],MATCH(Edges[[#This Row],[Vertex 1]],GroupVertices[Vertex],0)),1,1,"")</f>
        <v>2</v>
      </c>
      <c r="R2274" s="80" t="str">
        <f>REPLACE(INDEX(GroupVertices[Group],MATCH(Edges[[#This Row],[Vertex 2]],GroupVertices[Vertex],0)),1,1,"")</f>
        <v>2</v>
      </c>
      <c r="S2274" s="34"/>
      <c r="T2274" s="34"/>
      <c r="U2274" s="34"/>
      <c r="V2274" s="34"/>
      <c r="W2274" s="34"/>
      <c r="X2274" s="34"/>
      <c r="Y2274" s="34"/>
      <c r="Z2274" s="34"/>
      <c r="AA2274" s="34"/>
    </row>
    <row r="2275" spans="1:27" ht="15">
      <c r="A2275" s="66" t="s">
        <v>261</v>
      </c>
      <c r="B2275" s="66" t="s">
        <v>889</v>
      </c>
      <c r="C2275" s="67" t="s">
        <v>4454</v>
      </c>
      <c r="D2275" s="68">
        <v>5</v>
      </c>
      <c r="E2275" s="69"/>
      <c r="F2275" s="70">
        <v>20</v>
      </c>
      <c r="G2275" s="67"/>
      <c r="H2275" s="71"/>
      <c r="I2275" s="72"/>
      <c r="J2275" s="72"/>
      <c r="K2275" s="34" t="s">
        <v>65</v>
      </c>
      <c r="L2275" s="79">
        <v>2275</v>
      </c>
      <c r="M2275" s="79"/>
      <c r="N2275" s="74"/>
      <c r="O2275" s="81" t="s">
        <v>944</v>
      </c>
      <c r="P2275">
        <v>1</v>
      </c>
      <c r="Q2275" s="80" t="str">
        <f>REPLACE(INDEX(GroupVertices[Group],MATCH(Edges[[#This Row],[Vertex 1]],GroupVertices[Vertex],0)),1,1,"")</f>
        <v>1</v>
      </c>
      <c r="R2275" s="80" t="str">
        <f>REPLACE(INDEX(GroupVertices[Group],MATCH(Edges[[#This Row],[Vertex 2]],GroupVertices[Vertex],0)),1,1,"")</f>
        <v>2</v>
      </c>
      <c r="S2275" s="34"/>
      <c r="T2275" s="34"/>
      <c r="U2275" s="34"/>
      <c r="V2275" s="34"/>
      <c r="W2275" s="34"/>
      <c r="X2275" s="34"/>
      <c r="Y2275" s="34"/>
      <c r="Z2275" s="34"/>
      <c r="AA2275" s="34"/>
    </row>
    <row r="2276" spans="1:27" ht="15">
      <c r="A2276" s="66" t="s">
        <v>226</v>
      </c>
      <c r="B2276" s="66" t="s">
        <v>508</v>
      </c>
      <c r="C2276" s="67" t="s">
        <v>4454</v>
      </c>
      <c r="D2276" s="68">
        <v>5</v>
      </c>
      <c r="E2276" s="69"/>
      <c r="F2276" s="70">
        <v>20</v>
      </c>
      <c r="G2276" s="67"/>
      <c r="H2276" s="71"/>
      <c r="I2276" s="72"/>
      <c r="J2276" s="72"/>
      <c r="K2276" s="34" t="s">
        <v>65</v>
      </c>
      <c r="L2276" s="79">
        <v>2276</v>
      </c>
      <c r="M2276" s="79"/>
      <c r="N2276" s="74"/>
      <c r="O2276" s="81" t="s">
        <v>944</v>
      </c>
      <c r="P2276">
        <v>1</v>
      </c>
      <c r="Q2276" s="80" t="str">
        <f>REPLACE(INDEX(GroupVertices[Group],MATCH(Edges[[#This Row],[Vertex 1]],GroupVertices[Vertex],0)),1,1,"")</f>
        <v>4</v>
      </c>
      <c r="R2276" s="80" t="str">
        <f>REPLACE(INDEX(GroupVertices[Group],MATCH(Edges[[#This Row],[Vertex 2]],GroupVertices[Vertex],0)),1,1,"")</f>
        <v>1</v>
      </c>
      <c r="S2276" s="34"/>
      <c r="T2276" s="34"/>
      <c r="U2276" s="34"/>
      <c r="V2276" s="34"/>
      <c r="W2276" s="34"/>
      <c r="X2276" s="34"/>
      <c r="Y2276" s="34"/>
      <c r="Z2276" s="34"/>
      <c r="AA2276" s="34"/>
    </row>
    <row r="2277" spans="1:27" ht="15">
      <c r="A2277" s="66" t="s">
        <v>248</v>
      </c>
      <c r="B2277" s="66" t="s">
        <v>508</v>
      </c>
      <c r="C2277" s="67" t="s">
        <v>4454</v>
      </c>
      <c r="D2277" s="68">
        <v>5</v>
      </c>
      <c r="E2277" s="69"/>
      <c r="F2277" s="70">
        <v>20</v>
      </c>
      <c r="G2277" s="67"/>
      <c r="H2277" s="71"/>
      <c r="I2277" s="72"/>
      <c r="J2277" s="72"/>
      <c r="K2277" s="34" t="s">
        <v>65</v>
      </c>
      <c r="L2277" s="79">
        <v>2277</v>
      </c>
      <c r="M2277" s="79"/>
      <c r="N2277" s="74"/>
      <c r="O2277" s="81" t="s">
        <v>944</v>
      </c>
      <c r="P2277">
        <v>1</v>
      </c>
      <c r="Q2277" s="80" t="str">
        <f>REPLACE(INDEX(GroupVertices[Group],MATCH(Edges[[#This Row],[Vertex 1]],GroupVertices[Vertex],0)),1,1,"")</f>
        <v>1</v>
      </c>
      <c r="R2277" s="80" t="str">
        <f>REPLACE(INDEX(GroupVertices[Group],MATCH(Edges[[#This Row],[Vertex 2]],GroupVertices[Vertex],0)),1,1,"")</f>
        <v>1</v>
      </c>
      <c r="S2277" s="34"/>
      <c r="T2277" s="34"/>
      <c r="U2277" s="34"/>
      <c r="V2277" s="34"/>
      <c r="W2277" s="34"/>
      <c r="X2277" s="34"/>
      <c r="Y2277" s="34"/>
      <c r="Z2277" s="34"/>
      <c r="AA2277" s="34"/>
    </row>
    <row r="2278" spans="1:27" ht="15">
      <c r="A2278" s="66" t="s">
        <v>256</v>
      </c>
      <c r="B2278" s="66" t="s">
        <v>508</v>
      </c>
      <c r="C2278" s="67" t="s">
        <v>4454</v>
      </c>
      <c r="D2278" s="68">
        <v>5</v>
      </c>
      <c r="E2278" s="69"/>
      <c r="F2278" s="70">
        <v>20</v>
      </c>
      <c r="G2278" s="67"/>
      <c r="H2278" s="71"/>
      <c r="I2278" s="72"/>
      <c r="J2278" s="72"/>
      <c r="K2278" s="34" t="s">
        <v>65</v>
      </c>
      <c r="L2278" s="79">
        <v>2278</v>
      </c>
      <c r="M2278" s="79"/>
      <c r="N2278" s="74"/>
      <c r="O2278" s="81" t="s">
        <v>944</v>
      </c>
      <c r="P2278">
        <v>1</v>
      </c>
      <c r="Q2278" s="80" t="str">
        <f>REPLACE(INDEX(GroupVertices[Group],MATCH(Edges[[#This Row],[Vertex 1]],GroupVertices[Vertex],0)),1,1,"")</f>
        <v>1</v>
      </c>
      <c r="R2278" s="80" t="str">
        <f>REPLACE(INDEX(GroupVertices[Group],MATCH(Edges[[#This Row],[Vertex 2]],GroupVertices[Vertex],0)),1,1,"")</f>
        <v>1</v>
      </c>
      <c r="S2278" s="34"/>
      <c r="T2278" s="34"/>
      <c r="U2278" s="34"/>
      <c r="V2278" s="34"/>
      <c r="W2278" s="34"/>
      <c r="X2278" s="34"/>
      <c r="Y2278" s="34"/>
      <c r="Z2278" s="34"/>
      <c r="AA2278" s="34"/>
    </row>
    <row r="2279" spans="1:27" ht="15">
      <c r="A2279" s="66" t="s">
        <v>258</v>
      </c>
      <c r="B2279" s="66" t="s">
        <v>508</v>
      </c>
      <c r="C2279" s="67" t="s">
        <v>4454</v>
      </c>
      <c r="D2279" s="68">
        <v>5</v>
      </c>
      <c r="E2279" s="69"/>
      <c r="F2279" s="70">
        <v>20</v>
      </c>
      <c r="G2279" s="67"/>
      <c r="H2279" s="71"/>
      <c r="I2279" s="72"/>
      <c r="J2279" s="72"/>
      <c r="K2279" s="34" t="s">
        <v>65</v>
      </c>
      <c r="L2279" s="79">
        <v>2279</v>
      </c>
      <c r="M2279" s="79"/>
      <c r="N2279" s="74"/>
      <c r="O2279" s="81" t="s">
        <v>944</v>
      </c>
      <c r="P2279">
        <v>1</v>
      </c>
      <c r="Q2279" s="80" t="str">
        <f>REPLACE(INDEX(GroupVertices[Group],MATCH(Edges[[#This Row],[Vertex 1]],GroupVertices[Vertex],0)),1,1,"")</f>
        <v>1</v>
      </c>
      <c r="R2279" s="80" t="str">
        <f>REPLACE(INDEX(GroupVertices[Group],MATCH(Edges[[#This Row],[Vertex 2]],GroupVertices[Vertex],0)),1,1,"")</f>
        <v>1</v>
      </c>
      <c r="S2279" s="34"/>
      <c r="T2279" s="34"/>
      <c r="U2279" s="34"/>
      <c r="V2279" s="34"/>
      <c r="W2279" s="34"/>
      <c r="X2279" s="34"/>
      <c r="Y2279" s="34"/>
      <c r="Z2279" s="34"/>
      <c r="AA2279" s="34"/>
    </row>
    <row r="2280" spans="1:27" ht="15">
      <c r="A2280" s="66" t="s">
        <v>259</v>
      </c>
      <c r="B2280" s="66" t="s">
        <v>508</v>
      </c>
      <c r="C2280" s="67" t="s">
        <v>4454</v>
      </c>
      <c r="D2280" s="68">
        <v>5</v>
      </c>
      <c r="E2280" s="69"/>
      <c r="F2280" s="70">
        <v>20</v>
      </c>
      <c r="G2280" s="67"/>
      <c r="H2280" s="71"/>
      <c r="I2280" s="72"/>
      <c r="J2280" s="72"/>
      <c r="K2280" s="34" t="s">
        <v>65</v>
      </c>
      <c r="L2280" s="79">
        <v>2280</v>
      </c>
      <c r="M2280" s="79"/>
      <c r="N2280" s="74"/>
      <c r="O2280" s="81" t="s">
        <v>944</v>
      </c>
      <c r="P2280">
        <v>1</v>
      </c>
      <c r="Q2280" s="80" t="str">
        <f>REPLACE(INDEX(GroupVertices[Group],MATCH(Edges[[#This Row],[Vertex 1]],GroupVertices[Vertex],0)),1,1,"")</f>
        <v>2</v>
      </c>
      <c r="R2280" s="80" t="str">
        <f>REPLACE(INDEX(GroupVertices[Group],MATCH(Edges[[#This Row],[Vertex 2]],GroupVertices[Vertex],0)),1,1,"")</f>
        <v>1</v>
      </c>
      <c r="S2280" s="34"/>
      <c r="T2280" s="34"/>
      <c r="U2280" s="34"/>
      <c r="V2280" s="34"/>
      <c r="W2280" s="34"/>
      <c r="X2280" s="34"/>
      <c r="Y2280" s="34"/>
      <c r="Z2280" s="34"/>
      <c r="AA2280" s="34"/>
    </row>
    <row r="2281" spans="1:27" ht="15">
      <c r="A2281" s="66" t="s">
        <v>261</v>
      </c>
      <c r="B2281" s="66" t="s">
        <v>508</v>
      </c>
      <c r="C2281" s="67" t="s">
        <v>4454</v>
      </c>
      <c r="D2281" s="68">
        <v>5</v>
      </c>
      <c r="E2281" s="69"/>
      <c r="F2281" s="70">
        <v>20</v>
      </c>
      <c r="G2281" s="67"/>
      <c r="H2281" s="71"/>
      <c r="I2281" s="72"/>
      <c r="J2281" s="72"/>
      <c r="K2281" s="34" t="s">
        <v>65</v>
      </c>
      <c r="L2281" s="79">
        <v>2281</v>
      </c>
      <c r="M2281" s="79"/>
      <c r="N2281" s="74"/>
      <c r="O2281" s="81" t="s">
        <v>944</v>
      </c>
      <c r="P2281">
        <v>1</v>
      </c>
      <c r="Q2281" s="80" t="str">
        <f>REPLACE(INDEX(GroupVertices[Group],MATCH(Edges[[#This Row],[Vertex 1]],GroupVertices[Vertex],0)),1,1,"")</f>
        <v>1</v>
      </c>
      <c r="R2281" s="80" t="str">
        <f>REPLACE(INDEX(GroupVertices[Group],MATCH(Edges[[#This Row],[Vertex 2]],GroupVertices[Vertex],0)),1,1,"")</f>
        <v>1</v>
      </c>
      <c r="S2281" s="34"/>
      <c r="T2281" s="34"/>
      <c r="U2281" s="34"/>
      <c r="V2281" s="34"/>
      <c r="W2281" s="34"/>
      <c r="X2281" s="34"/>
      <c r="Y2281" s="34"/>
      <c r="Z2281" s="34"/>
      <c r="AA2281" s="34"/>
    </row>
    <row r="2282" spans="1:27" ht="15">
      <c r="A2282" s="66" t="s">
        <v>254</v>
      </c>
      <c r="B2282" s="66" t="s">
        <v>882</v>
      </c>
      <c r="C2282" s="67" t="s">
        <v>4454</v>
      </c>
      <c r="D2282" s="68">
        <v>5</v>
      </c>
      <c r="E2282" s="69"/>
      <c r="F2282" s="70">
        <v>20</v>
      </c>
      <c r="G2282" s="67"/>
      <c r="H2282" s="71"/>
      <c r="I2282" s="72"/>
      <c r="J2282" s="72"/>
      <c r="K2282" s="34" t="s">
        <v>65</v>
      </c>
      <c r="L2282" s="79">
        <v>2282</v>
      </c>
      <c r="M2282" s="79"/>
      <c r="N2282" s="74"/>
      <c r="O2282" s="81" t="s">
        <v>944</v>
      </c>
      <c r="P2282">
        <v>1</v>
      </c>
      <c r="Q2282" s="80" t="str">
        <f>REPLACE(INDEX(GroupVertices[Group],MATCH(Edges[[#This Row],[Vertex 1]],GroupVertices[Vertex],0)),1,1,"")</f>
        <v>3</v>
      </c>
      <c r="R2282" s="80" t="str">
        <f>REPLACE(INDEX(GroupVertices[Group],MATCH(Edges[[#This Row],[Vertex 2]],GroupVertices[Vertex],0)),1,1,"")</f>
        <v>4</v>
      </c>
      <c r="S2282" s="34"/>
      <c r="T2282" s="34"/>
      <c r="U2282" s="34"/>
      <c r="V2282" s="34"/>
      <c r="W2282" s="34"/>
      <c r="X2282" s="34"/>
      <c r="Y2282" s="34"/>
      <c r="Z2282" s="34"/>
      <c r="AA2282" s="34"/>
    </row>
    <row r="2283" spans="1:27" ht="15">
      <c r="A2283" s="66" t="s">
        <v>261</v>
      </c>
      <c r="B2283" s="66" t="s">
        <v>882</v>
      </c>
      <c r="C2283" s="67" t="s">
        <v>4454</v>
      </c>
      <c r="D2283" s="68">
        <v>5</v>
      </c>
      <c r="E2283" s="69"/>
      <c r="F2283" s="70">
        <v>20</v>
      </c>
      <c r="G2283" s="67"/>
      <c r="H2283" s="71"/>
      <c r="I2283" s="72"/>
      <c r="J2283" s="72"/>
      <c r="K2283" s="34" t="s">
        <v>65</v>
      </c>
      <c r="L2283" s="79">
        <v>2283</v>
      </c>
      <c r="M2283" s="79"/>
      <c r="N2283" s="74"/>
      <c r="O2283" s="81" t="s">
        <v>944</v>
      </c>
      <c r="P2283">
        <v>1</v>
      </c>
      <c r="Q2283" s="80" t="str">
        <f>REPLACE(INDEX(GroupVertices[Group],MATCH(Edges[[#This Row],[Vertex 1]],GroupVertices[Vertex],0)),1,1,"")</f>
        <v>1</v>
      </c>
      <c r="R2283" s="80" t="str">
        <f>REPLACE(INDEX(GroupVertices[Group],MATCH(Edges[[#This Row],[Vertex 2]],GroupVertices[Vertex],0)),1,1,"")</f>
        <v>4</v>
      </c>
      <c r="S2283" s="34"/>
      <c r="T2283" s="34"/>
      <c r="U2283" s="34"/>
      <c r="V2283" s="34"/>
      <c r="W2283" s="34"/>
      <c r="X2283" s="34"/>
      <c r="Y2283" s="34"/>
      <c r="Z2283" s="34"/>
      <c r="AA2283" s="34"/>
    </row>
    <row r="2284" spans="1:27" ht="15">
      <c r="A2284" s="66" t="s">
        <v>261</v>
      </c>
      <c r="B2284" s="66" t="s">
        <v>930</v>
      </c>
      <c r="C2284" s="67" t="s">
        <v>4454</v>
      </c>
      <c r="D2284" s="68">
        <v>5</v>
      </c>
      <c r="E2284" s="69"/>
      <c r="F2284" s="70">
        <v>20</v>
      </c>
      <c r="G2284" s="67"/>
      <c r="H2284" s="71"/>
      <c r="I2284" s="72"/>
      <c r="J2284" s="72"/>
      <c r="K2284" s="34"/>
      <c r="L2284" s="79">
        <v>2284</v>
      </c>
      <c r="M2284" s="79"/>
      <c r="N2284" s="74"/>
      <c r="O2284" s="81" t="s">
        <v>944</v>
      </c>
      <c r="P2284">
        <v>1</v>
      </c>
      <c r="Q2284" s="80" t="str">
        <f>REPLACE(INDEX(GroupVertices[Group],MATCH(Edges[[#This Row],[Vertex 1]],GroupVertices[Vertex],0)),1,1,"")</f>
        <v>1</v>
      </c>
      <c r="R2284" s="80" t="e">
        <f>REPLACE(INDEX(GroupVertices[Group],MATCH(Edges[[#This Row],[Vertex 2]],GroupVertices[Vertex],0)),1,1,"")</f>
        <v>#N/A</v>
      </c>
      <c r="S2284" s="34"/>
      <c r="T2284" s="34"/>
      <c r="U2284" s="34"/>
      <c r="V2284" s="34"/>
      <c r="W2284" s="34"/>
      <c r="X2284" s="34"/>
      <c r="Y2284" s="34"/>
      <c r="Z2284" s="34"/>
      <c r="AA2284" s="34"/>
    </row>
    <row r="2285" spans="1:27" ht="15">
      <c r="A2285" s="66" t="s">
        <v>226</v>
      </c>
      <c r="B2285" s="66" t="s">
        <v>480</v>
      </c>
      <c r="C2285" s="67" t="s">
        <v>4454</v>
      </c>
      <c r="D2285" s="68">
        <v>5</v>
      </c>
      <c r="E2285" s="69"/>
      <c r="F2285" s="70">
        <v>20</v>
      </c>
      <c r="G2285" s="67"/>
      <c r="H2285" s="71"/>
      <c r="I2285" s="72"/>
      <c r="J2285" s="72"/>
      <c r="K2285" s="34" t="s">
        <v>65</v>
      </c>
      <c r="L2285" s="79">
        <v>2285</v>
      </c>
      <c r="M2285" s="79"/>
      <c r="N2285" s="74"/>
      <c r="O2285" s="81" t="s">
        <v>944</v>
      </c>
      <c r="P2285">
        <v>1</v>
      </c>
      <c r="Q2285" s="80" t="str">
        <f>REPLACE(INDEX(GroupVertices[Group],MATCH(Edges[[#This Row],[Vertex 1]],GroupVertices[Vertex],0)),1,1,"")</f>
        <v>4</v>
      </c>
      <c r="R2285" s="80" t="str">
        <f>REPLACE(INDEX(GroupVertices[Group],MATCH(Edges[[#This Row],[Vertex 2]],GroupVertices[Vertex],0)),1,1,"")</f>
        <v>1</v>
      </c>
      <c r="S2285" s="34"/>
      <c r="T2285" s="34"/>
      <c r="U2285" s="34"/>
      <c r="V2285" s="34"/>
      <c r="W2285" s="34"/>
      <c r="X2285" s="34"/>
      <c r="Y2285" s="34"/>
      <c r="Z2285" s="34"/>
      <c r="AA2285" s="34"/>
    </row>
    <row r="2286" spans="1:27" ht="15">
      <c r="A2286" s="66" t="s">
        <v>248</v>
      </c>
      <c r="B2286" s="66" t="s">
        <v>480</v>
      </c>
      <c r="C2286" s="67" t="s">
        <v>4454</v>
      </c>
      <c r="D2286" s="68">
        <v>5</v>
      </c>
      <c r="E2286" s="69"/>
      <c r="F2286" s="70">
        <v>20</v>
      </c>
      <c r="G2286" s="67"/>
      <c r="H2286" s="71"/>
      <c r="I2286" s="72"/>
      <c r="J2286" s="72"/>
      <c r="K2286" s="34" t="s">
        <v>65</v>
      </c>
      <c r="L2286" s="79">
        <v>2286</v>
      </c>
      <c r="M2286" s="79"/>
      <c r="N2286" s="74"/>
      <c r="O2286" s="81" t="s">
        <v>944</v>
      </c>
      <c r="P2286">
        <v>1</v>
      </c>
      <c r="Q2286" s="80" t="str">
        <f>REPLACE(INDEX(GroupVertices[Group],MATCH(Edges[[#This Row],[Vertex 1]],GroupVertices[Vertex],0)),1,1,"")</f>
        <v>1</v>
      </c>
      <c r="R2286" s="80" t="str">
        <f>REPLACE(INDEX(GroupVertices[Group],MATCH(Edges[[#This Row],[Vertex 2]],GroupVertices[Vertex],0)),1,1,"")</f>
        <v>1</v>
      </c>
      <c r="S2286" s="34"/>
      <c r="T2286" s="34"/>
      <c r="U2286" s="34"/>
      <c r="V2286" s="34"/>
      <c r="W2286" s="34"/>
      <c r="X2286" s="34"/>
      <c r="Y2286" s="34"/>
      <c r="Z2286" s="34"/>
      <c r="AA2286" s="34"/>
    </row>
    <row r="2287" spans="1:27" ht="15">
      <c r="A2287" s="66" t="s">
        <v>253</v>
      </c>
      <c r="B2287" s="66" t="s">
        <v>480</v>
      </c>
      <c r="C2287" s="67" t="s">
        <v>4454</v>
      </c>
      <c r="D2287" s="68">
        <v>5</v>
      </c>
      <c r="E2287" s="69"/>
      <c r="F2287" s="70">
        <v>20</v>
      </c>
      <c r="G2287" s="67"/>
      <c r="H2287" s="71"/>
      <c r="I2287" s="72"/>
      <c r="J2287" s="72"/>
      <c r="K2287" s="34" t="s">
        <v>65</v>
      </c>
      <c r="L2287" s="79">
        <v>2287</v>
      </c>
      <c r="M2287" s="79"/>
      <c r="N2287" s="74"/>
      <c r="O2287" s="81" t="s">
        <v>944</v>
      </c>
      <c r="P2287">
        <v>1</v>
      </c>
      <c r="Q2287" s="80" t="str">
        <f>REPLACE(INDEX(GroupVertices[Group],MATCH(Edges[[#This Row],[Vertex 1]],GroupVertices[Vertex],0)),1,1,"")</f>
        <v>1</v>
      </c>
      <c r="R2287" s="80" t="str">
        <f>REPLACE(INDEX(GroupVertices[Group],MATCH(Edges[[#This Row],[Vertex 2]],GroupVertices[Vertex],0)),1,1,"")</f>
        <v>1</v>
      </c>
      <c r="S2287" s="34"/>
      <c r="T2287" s="34"/>
      <c r="U2287" s="34"/>
      <c r="V2287" s="34"/>
      <c r="W2287" s="34"/>
      <c r="X2287" s="34"/>
      <c r="Y2287" s="34"/>
      <c r="Z2287" s="34"/>
      <c r="AA2287" s="34"/>
    </row>
    <row r="2288" spans="1:27" ht="15">
      <c r="A2288" s="66" t="s">
        <v>254</v>
      </c>
      <c r="B2288" s="66" t="s">
        <v>480</v>
      </c>
      <c r="C2288" s="67" t="s">
        <v>4454</v>
      </c>
      <c r="D2288" s="68">
        <v>5</v>
      </c>
      <c r="E2288" s="69"/>
      <c r="F2288" s="70">
        <v>20</v>
      </c>
      <c r="G2288" s="67"/>
      <c r="H2288" s="71"/>
      <c r="I2288" s="72"/>
      <c r="J2288" s="72"/>
      <c r="K2288" s="34" t="s">
        <v>65</v>
      </c>
      <c r="L2288" s="79">
        <v>2288</v>
      </c>
      <c r="M2288" s="79"/>
      <c r="N2288" s="74"/>
      <c r="O2288" s="81" t="s">
        <v>944</v>
      </c>
      <c r="P2288">
        <v>1</v>
      </c>
      <c r="Q2288" s="80" t="str">
        <f>REPLACE(INDEX(GroupVertices[Group],MATCH(Edges[[#This Row],[Vertex 1]],GroupVertices[Vertex],0)),1,1,"")</f>
        <v>3</v>
      </c>
      <c r="R2288" s="80" t="str">
        <f>REPLACE(INDEX(GroupVertices[Group],MATCH(Edges[[#This Row],[Vertex 2]],GroupVertices[Vertex],0)),1,1,"")</f>
        <v>1</v>
      </c>
      <c r="S2288" s="34"/>
      <c r="T2288" s="34"/>
      <c r="U2288" s="34"/>
      <c r="V2288" s="34"/>
      <c r="W2288" s="34"/>
      <c r="X2288" s="34"/>
      <c r="Y2288" s="34"/>
      <c r="Z2288" s="34"/>
      <c r="AA2288" s="34"/>
    </row>
    <row r="2289" spans="1:27" ht="15">
      <c r="A2289" s="66" t="s">
        <v>256</v>
      </c>
      <c r="B2289" s="66" t="s">
        <v>480</v>
      </c>
      <c r="C2289" s="67" t="s">
        <v>4454</v>
      </c>
      <c r="D2289" s="68">
        <v>5</v>
      </c>
      <c r="E2289" s="69"/>
      <c r="F2289" s="70">
        <v>20</v>
      </c>
      <c r="G2289" s="67"/>
      <c r="H2289" s="71"/>
      <c r="I2289" s="72"/>
      <c r="J2289" s="72"/>
      <c r="K2289" s="34" t="s">
        <v>65</v>
      </c>
      <c r="L2289" s="79">
        <v>2289</v>
      </c>
      <c r="M2289" s="79"/>
      <c r="N2289" s="74"/>
      <c r="O2289" s="81" t="s">
        <v>944</v>
      </c>
      <c r="P2289">
        <v>1</v>
      </c>
      <c r="Q2289" s="80" t="str">
        <f>REPLACE(INDEX(GroupVertices[Group],MATCH(Edges[[#This Row],[Vertex 1]],GroupVertices[Vertex],0)),1,1,"")</f>
        <v>1</v>
      </c>
      <c r="R2289" s="80" t="str">
        <f>REPLACE(INDEX(GroupVertices[Group],MATCH(Edges[[#This Row],[Vertex 2]],GroupVertices[Vertex],0)),1,1,"")</f>
        <v>1</v>
      </c>
      <c r="S2289" s="34"/>
      <c r="T2289" s="34"/>
      <c r="U2289" s="34"/>
      <c r="V2289" s="34"/>
      <c r="W2289" s="34"/>
      <c r="X2289" s="34"/>
      <c r="Y2289" s="34"/>
      <c r="Z2289" s="34"/>
      <c r="AA2289" s="34"/>
    </row>
    <row r="2290" spans="1:27" ht="15">
      <c r="A2290" s="66" t="s">
        <v>258</v>
      </c>
      <c r="B2290" s="66" t="s">
        <v>480</v>
      </c>
      <c r="C2290" s="67" t="s">
        <v>4454</v>
      </c>
      <c r="D2290" s="68">
        <v>5</v>
      </c>
      <c r="E2290" s="69"/>
      <c r="F2290" s="70">
        <v>20</v>
      </c>
      <c r="G2290" s="67"/>
      <c r="H2290" s="71"/>
      <c r="I2290" s="72"/>
      <c r="J2290" s="72"/>
      <c r="K2290" s="34" t="s">
        <v>65</v>
      </c>
      <c r="L2290" s="79">
        <v>2290</v>
      </c>
      <c r="M2290" s="79"/>
      <c r="N2290" s="74"/>
      <c r="O2290" s="81" t="s">
        <v>944</v>
      </c>
      <c r="P2290">
        <v>1</v>
      </c>
      <c r="Q2290" s="80" t="str">
        <f>REPLACE(INDEX(GroupVertices[Group],MATCH(Edges[[#This Row],[Vertex 1]],GroupVertices[Vertex],0)),1,1,"")</f>
        <v>1</v>
      </c>
      <c r="R2290" s="80" t="str">
        <f>REPLACE(INDEX(GroupVertices[Group],MATCH(Edges[[#This Row],[Vertex 2]],GroupVertices[Vertex],0)),1,1,"")</f>
        <v>1</v>
      </c>
      <c r="S2290" s="34"/>
      <c r="T2290" s="34"/>
      <c r="U2290" s="34"/>
      <c r="V2290" s="34"/>
      <c r="W2290" s="34"/>
      <c r="X2290" s="34"/>
      <c r="Y2290" s="34"/>
      <c r="Z2290" s="34"/>
      <c r="AA2290" s="34"/>
    </row>
    <row r="2291" spans="1:27" ht="15">
      <c r="A2291" s="66" t="s">
        <v>261</v>
      </c>
      <c r="B2291" s="66" t="s">
        <v>480</v>
      </c>
      <c r="C2291" s="67" t="s">
        <v>4454</v>
      </c>
      <c r="D2291" s="68">
        <v>5</v>
      </c>
      <c r="E2291" s="69"/>
      <c r="F2291" s="70">
        <v>20</v>
      </c>
      <c r="G2291" s="67"/>
      <c r="H2291" s="71"/>
      <c r="I2291" s="72"/>
      <c r="J2291" s="72"/>
      <c r="K2291" s="34" t="s">
        <v>65</v>
      </c>
      <c r="L2291" s="79">
        <v>2291</v>
      </c>
      <c r="M2291" s="79"/>
      <c r="N2291" s="74"/>
      <c r="O2291" s="81" t="s">
        <v>944</v>
      </c>
      <c r="P2291">
        <v>1</v>
      </c>
      <c r="Q2291" s="80" t="str">
        <f>REPLACE(INDEX(GroupVertices[Group],MATCH(Edges[[#This Row],[Vertex 1]],GroupVertices[Vertex],0)),1,1,"")</f>
        <v>1</v>
      </c>
      <c r="R2291" s="80" t="str">
        <f>REPLACE(INDEX(GroupVertices[Group],MATCH(Edges[[#This Row],[Vertex 2]],GroupVertices[Vertex],0)),1,1,"")</f>
        <v>1</v>
      </c>
      <c r="S2291" s="34"/>
      <c r="T2291" s="34"/>
      <c r="U2291" s="34"/>
      <c r="V2291" s="34"/>
      <c r="W2291" s="34"/>
      <c r="X2291" s="34"/>
      <c r="Y2291" s="34"/>
      <c r="Z2291" s="34"/>
      <c r="AA2291" s="34"/>
    </row>
    <row r="2292" spans="1:27" ht="15">
      <c r="A2292" s="66" t="s">
        <v>232</v>
      </c>
      <c r="B2292" s="66" t="s">
        <v>869</v>
      </c>
      <c r="C2292" s="67" t="s">
        <v>4454</v>
      </c>
      <c r="D2292" s="68">
        <v>5</v>
      </c>
      <c r="E2292" s="69"/>
      <c r="F2292" s="70">
        <v>20</v>
      </c>
      <c r="G2292" s="67"/>
      <c r="H2292" s="71"/>
      <c r="I2292" s="72"/>
      <c r="J2292" s="72"/>
      <c r="K2292" s="34" t="s">
        <v>65</v>
      </c>
      <c r="L2292" s="79">
        <v>2292</v>
      </c>
      <c r="M2292" s="79"/>
      <c r="N2292" s="74"/>
      <c r="O2292" s="81" t="s">
        <v>944</v>
      </c>
      <c r="P2292">
        <v>1</v>
      </c>
      <c r="Q2292" s="80" t="str">
        <f>REPLACE(INDEX(GroupVertices[Group],MATCH(Edges[[#This Row],[Vertex 1]],GroupVertices[Vertex],0)),1,1,"")</f>
        <v>1</v>
      </c>
      <c r="R2292" s="80" t="str">
        <f>REPLACE(INDEX(GroupVertices[Group],MATCH(Edges[[#This Row],[Vertex 2]],GroupVertices[Vertex],0)),1,1,"")</f>
        <v>1</v>
      </c>
      <c r="S2292" s="34"/>
      <c r="T2292" s="34"/>
      <c r="U2292" s="34"/>
      <c r="V2292" s="34"/>
      <c r="W2292" s="34"/>
      <c r="X2292" s="34"/>
      <c r="Y2292" s="34"/>
      <c r="Z2292" s="34"/>
      <c r="AA2292" s="34"/>
    </row>
    <row r="2293" spans="1:27" ht="15">
      <c r="A2293" s="66" t="s">
        <v>248</v>
      </c>
      <c r="B2293" s="66" t="s">
        <v>869</v>
      </c>
      <c r="C2293" s="67" t="s">
        <v>4454</v>
      </c>
      <c r="D2293" s="68">
        <v>5</v>
      </c>
      <c r="E2293" s="69"/>
      <c r="F2293" s="70">
        <v>20</v>
      </c>
      <c r="G2293" s="67"/>
      <c r="H2293" s="71"/>
      <c r="I2293" s="72"/>
      <c r="J2293" s="72"/>
      <c r="K2293" s="34" t="s">
        <v>65</v>
      </c>
      <c r="L2293" s="79">
        <v>2293</v>
      </c>
      <c r="M2293" s="79"/>
      <c r="N2293" s="74"/>
      <c r="O2293" s="81" t="s">
        <v>944</v>
      </c>
      <c r="P2293">
        <v>1</v>
      </c>
      <c r="Q2293" s="80" t="str">
        <f>REPLACE(INDEX(GroupVertices[Group],MATCH(Edges[[#This Row],[Vertex 1]],GroupVertices[Vertex],0)),1,1,"")</f>
        <v>1</v>
      </c>
      <c r="R2293" s="80" t="str">
        <f>REPLACE(INDEX(GroupVertices[Group],MATCH(Edges[[#This Row],[Vertex 2]],GroupVertices[Vertex],0)),1,1,"")</f>
        <v>1</v>
      </c>
      <c r="S2293" s="34"/>
      <c r="T2293" s="34"/>
      <c r="U2293" s="34"/>
      <c r="V2293" s="34"/>
      <c r="W2293" s="34"/>
      <c r="X2293" s="34"/>
      <c r="Y2293" s="34"/>
      <c r="Z2293" s="34"/>
      <c r="AA2293" s="34"/>
    </row>
    <row r="2294" spans="1:27" ht="15">
      <c r="A2294" s="66" t="s">
        <v>253</v>
      </c>
      <c r="B2294" s="66" t="s">
        <v>869</v>
      </c>
      <c r="C2294" s="67" t="s">
        <v>4454</v>
      </c>
      <c r="D2294" s="68">
        <v>5</v>
      </c>
      <c r="E2294" s="69"/>
      <c r="F2294" s="70">
        <v>20</v>
      </c>
      <c r="G2294" s="67"/>
      <c r="H2294" s="71"/>
      <c r="I2294" s="72"/>
      <c r="J2294" s="72"/>
      <c r="K2294" s="34" t="s">
        <v>65</v>
      </c>
      <c r="L2294" s="79">
        <v>2294</v>
      </c>
      <c r="M2294" s="79"/>
      <c r="N2294" s="74"/>
      <c r="O2294" s="81" t="s">
        <v>944</v>
      </c>
      <c r="P2294">
        <v>1</v>
      </c>
      <c r="Q2294" s="80" t="str">
        <f>REPLACE(INDEX(GroupVertices[Group],MATCH(Edges[[#This Row],[Vertex 1]],GroupVertices[Vertex],0)),1,1,"")</f>
        <v>1</v>
      </c>
      <c r="R2294" s="80" t="str">
        <f>REPLACE(INDEX(GroupVertices[Group],MATCH(Edges[[#This Row],[Vertex 2]],GroupVertices[Vertex],0)),1,1,"")</f>
        <v>1</v>
      </c>
      <c r="S2294" s="34"/>
      <c r="T2294" s="34"/>
      <c r="U2294" s="34"/>
      <c r="V2294" s="34"/>
      <c r="W2294" s="34"/>
      <c r="X2294" s="34"/>
      <c r="Y2294" s="34"/>
      <c r="Z2294" s="34"/>
      <c r="AA2294" s="34"/>
    </row>
    <row r="2295" spans="1:27" ht="15">
      <c r="A2295" s="66" t="s">
        <v>259</v>
      </c>
      <c r="B2295" s="66" t="s">
        <v>869</v>
      </c>
      <c r="C2295" s="67" t="s">
        <v>4454</v>
      </c>
      <c r="D2295" s="68">
        <v>5</v>
      </c>
      <c r="E2295" s="69"/>
      <c r="F2295" s="70">
        <v>20</v>
      </c>
      <c r="G2295" s="67"/>
      <c r="H2295" s="71"/>
      <c r="I2295" s="72"/>
      <c r="J2295" s="72"/>
      <c r="K2295" s="34" t="s">
        <v>65</v>
      </c>
      <c r="L2295" s="79">
        <v>2295</v>
      </c>
      <c r="M2295" s="79"/>
      <c r="N2295" s="74"/>
      <c r="O2295" s="81" t="s">
        <v>944</v>
      </c>
      <c r="P2295">
        <v>1</v>
      </c>
      <c r="Q2295" s="80" t="str">
        <f>REPLACE(INDEX(GroupVertices[Group],MATCH(Edges[[#This Row],[Vertex 1]],GroupVertices[Vertex],0)),1,1,"")</f>
        <v>2</v>
      </c>
      <c r="R2295" s="80" t="str">
        <f>REPLACE(INDEX(GroupVertices[Group],MATCH(Edges[[#This Row],[Vertex 2]],GroupVertices[Vertex],0)),1,1,"")</f>
        <v>1</v>
      </c>
      <c r="S2295" s="34"/>
      <c r="T2295" s="34"/>
      <c r="U2295" s="34"/>
      <c r="V2295" s="34"/>
      <c r="W2295" s="34"/>
      <c r="X2295" s="34"/>
      <c r="Y2295" s="34"/>
      <c r="Z2295" s="34"/>
      <c r="AA2295" s="34"/>
    </row>
    <row r="2296" spans="1:27" ht="15">
      <c r="A2296" s="66" t="s">
        <v>261</v>
      </c>
      <c r="B2296" s="66" t="s">
        <v>869</v>
      </c>
      <c r="C2296" s="67" t="s">
        <v>4454</v>
      </c>
      <c r="D2296" s="68">
        <v>5</v>
      </c>
      <c r="E2296" s="69"/>
      <c r="F2296" s="70">
        <v>20</v>
      </c>
      <c r="G2296" s="67"/>
      <c r="H2296" s="71"/>
      <c r="I2296" s="72"/>
      <c r="J2296" s="72"/>
      <c r="K2296" s="34" t="s">
        <v>65</v>
      </c>
      <c r="L2296" s="79">
        <v>2296</v>
      </c>
      <c r="M2296" s="79"/>
      <c r="N2296" s="74"/>
      <c r="O2296" s="81" t="s">
        <v>944</v>
      </c>
      <c r="P2296">
        <v>1</v>
      </c>
      <c r="Q2296" s="80" t="str">
        <f>REPLACE(INDEX(GroupVertices[Group],MATCH(Edges[[#This Row],[Vertex 1]],GroupVertices[Vertex],0)),1,1,"")</f>
        <v>1</v>
      </c>
      <c r="R2296" s="80" t="str">
        <f>REPLACE(INDEX(GroupVertices[Group],MATCH(Edges[[#This Row],[Vertex 2]],GroupVertices[Vertex],0)),1,1,"")</f>
        <v>1</v>
      </c>
      <c r="S2296" s="34"/>
      <c r="T2296" s="34"/>
      <c r="U2296" s="34"/>
      <c r="V2296" s="34"/>
      <c r="W2296" s="34"/>
      <c r="X2296" s="34"/>
      <c r="Y2296" s="34"/>
      <c r="Z2296" s="34"/>
      <c r="AA2296" s="34"/>
    </row>
    <row r="2297" spans="1:27" ht="15">
      <c r="A2297" s="66" t="s">
        <v>256</v>
      </c>
      <c r="B2297" s="66" t="s">
        <v>913</v>
      </c>
      <c r="C2297" s="67" t="s">
        <v>4454</v>
      </c>
      <c r="D2297" s="68">
        <v>5</v>
      </c>
      <c r="E2297" s="69"/>
      <c r="F2297" s="70">
        <v>20</v>
      </c>
      <c r="G2297" s="67"/>
      <c r="H2297" s="71"/>
      <c r="I2297" s="72"/>
      <c r="J2297" s="72"/>
      <c r="K2297" s="34" t="s">
        <v>65</v>
      </c>
      <c r="L2297" s="79">
        <v>2297</v>
      </c>
      <c r="M2297" s="79"/>
      <c r="N2297" s="74"/>
      <c r="O2297" s="81" t="s">
        <v>944</v>
      </c>
      <c r="P2297">
        <v>1</v>
      </c>
      <c r="Q2297" s="80" t="str">
        <f>REPLACE(INDEX(GroupVertices[Group],MATCH(Edges[[#This Row],[Vertex 1]],GroupVertices[Vertex],0)),1,1,"")</f>
        <v>1</v>
      </c>
      <c r="R2297" s="80" t="str">
        <f>REPLACE(INDEX(GroupVertices[Group],MATCH(Edges[[#This Row],[Vertex 2]],GroupVertices[Vertex],0)),1,1,"")</f>
        <v>1</v>
      </c>
      <c r="S2297" s="34"/>
      <c r="T2297" s="34"/>
      <c r="U2297" s="34"/>
      <c r="V2297" s="34"/>
      <c r="W2297" s="34"/>
      <c r="X2297" s="34"/>
      <c r="Y2297" s="34"/>
      <c r="Z2297" s="34"/>
      <c r="AA2297" s="34"/>
    </row>
    <row r="2298" spans="1:27" ht="15">
      <c r="A2298" s="66" t="s">
        <v>258</v>
      </c>
      <c r="B2298" s="66" t="s">
        <v>913</v>
      </c>
      <c r="C2298" s="67" t="s">
        <v>4454</v>
      </c>
      <c r="D2298" s="68">
        <v>5</v>
      </c>
      <c r="E2298" s="69"/>
      <c r="F2298" s="70">
        <v>20</v>
      </c>
      <c r="G2298" s="67"/>
      <c r="H2298" s="71"/>
      <c r="I2298" s="72"/>
      <c r="J2298" s="72"/>
      <c r="K2298" s="34" t="s">
        <v>65</v>
      </c>
      <c r="L2298" s="79">
        <v>2298</v>
      </c>
      <c r="M2298" s="79"/>
      <c r="N2298" s="74"/>
      <c r="O2298" s="81" t="s">
        <v>944</v>
      </c>
      <c r="P2298">
        <v>1</v>
      </c>
      <c r="Q2298" s="80" t="str">
        <f>REPLACE(INDEX(GroupVertices[Group],MATCH(Edges[[#This Row],[Vertex 1]],GroupVertices[Vertex],0)),1,1,"")</f>
        <v>1</v>
      </c>
      <c r="R2298" s="80" t="str">
        <f>REPLACE(INDEX(GroupVertices[Group],MATCH(Edges[[#This Row],[Vertex 2]],GroupVertices[Vertex],0)),1,1,"")</f>
        <v>1</v>
      </c>
      <c r="S2298" s="34"/>
      <c r="T2298" s="34"/>
      <c r="U2298" s="34"/>
      <c r="V2298" s="34"/>
      <c r="W2298" s="34"/>
      <c r="X2298" s="34"/>
      <c r="Y2298" s="34"/>
      <c r="Z2298" s="34"/>
      <c r="AA2298" s="34"/>
    </row>
    <row r="2299" spans="1:27" ht="15">
      <c r="A2299" s="66" t="s">
        <v>261</v>
      </c>
      <c r="B2299" s="66" t="s">
        <v>913</v>
      </c>
      <c r="C2299" s="67" t="s">
        <v>4454</v>
      </c>
      <c r="D2299" s="68">
        <v>5</v>
      </c>
      <c r="E2299" s="69"/>
      <c r="F2299" s="70">
        <v>20</v>
      </c>
      <c r="G2299" s="67"/>
      <c r="H2299" s="71"/>
      <c r="I2299" s="72"/>
      <c r="J2299" s="72"/>
      <c r="K2299" s="34" t="s">
        <v>65</v>
      </c>
      <c r="L2299" s="79">
        <v>2299</v>
      </c>
      <c r="M2299" s="79"/>
      <c r="N2299" s="74"/>
      <c r="O2299" s="81" t="s">
        <v>944</v>
      </c>
      <c r="P2299">
        <v>1</v>
      </c>
      <c r="Q2299" s="80" t="str">
        <f>REPLACE(INDEX(GroupVertices[Group],MATCH(Edges[[#This Row],[Vertex 1]],GroupVertices[Vertex],0)),1,1,"")</f>
        <v>1</v>
      </c>
      <c r="R2299" s="80" t="str">
        <f>REPLACE(INDEX(GroupVertices[Group],MATCH(Edges[[#This Row],[Vertex 2]],GroupVertices[Vertex],0)),1,1,"")</f>
        <v>1</v>
      </c>
      <c r="S2299" s="34"/>
      <c r="T2299" s="34"/>
      <c r="U2299" s="34"/>
      <c r="V2299" s="34"/>
      <c r="W2299" s="34"/>
      <c r="X2299" s="34"/>
      <c r="Y2299" s="34"/>
      <c r="Z2299" s="34"/>
      <c r="AA2299" s="34"/>
    </row>
    <row r="2300" spans="1:27" ht="15">
      <c r="A2300" s="66" t="s">
        <v>261</v>
      </c>
      <c r="B2300" s="66" t="s">
        <v>734</v>
      </c>
      <c r="C2300" s="67" t="s">
        <v>4454</v>
      </c>
      <c r="D2300" s="68">
        <v>5</v>
      </c>
      <c r="E2300" s="69"/>
      <c r="F2300" s="70">
        <v>20</v>
      </c>
      <c r="G2300" s="67"/>
      <c r="H2300" s="71"/>
      <c r="I2300" s="72"/>
      <c r="J2300" s="72"/>
      <c r="K2300" s="34" t="s">
        <v>65</v>
      </c>
      <c r="L2300" s="79">
        <v>2300</v>
      </c>
      <c r="M2300" s="79"/>
      <c r="N2300" s="74"/>
      <c r="O2300" s="81" t="s">
        <v>944</v>
      </c>
      <c r="P2300">
        <v>1</v>
      </c>
      <c r="Q2300" s="80" t="str">
        <f>REPLACE(INDEX(GroupVertices[Group],MATCH(Edges[[#This Row],[Vertex 1]],GroupVertices[Vertex],0)),1,1,"")</f>
        <v>1</v>
      </c>
      <c r="R2300" s="80" t="str">
        <f>REPLACE(INDEX(GroupVertices[Group],MATCH(Edges[[#This Row],[Vertex 2]],GroupVertices[Vertex],0)),1,1,"")</f>
        <v>1</v>
      </c>
      <c r="S2300" s="34"/>
      <c r="T2300" s="34"/>
      <c r="U2300" s="34"/>
      <c r="V2300" s="34"/>
      <c r="W2300" s="34"/>
      <c r="X2300" s="34"/>
      <c r="Y2300" s="34"/>
      <c r="Z2300" s="34"/>
      <c r="AA2300" s="34"/>
    </row>
    <row r="2301" spans="1:27" ht="15">
      <c r="A2301" s="66" t="s">
        <v>253</v>
      </c>
      <c r="B2301" s="66" t="s">
        <v>931</v>
      </c>
      <c r="C2301" s="67" t="s">
        <v>4454</v>
      </c>
      <c r="D2301" s="68">
        <v>5</v>
      </c>
      <c r="E2301" s="69"/>
      <c r="F2301" s="70">
        <v>20</v>
      </c>
      <c r="G2301" s="67"/>
      <c r="H2301" s="71"/>
      <c r="I2301" s="72"/>
      <c r="J2301" s="72"/>
      <c r="K2301" s="34" t="s">
        <v>65</v>
      </c>
      <c r="L2301" s="79">
        <v>2301</v>
      </c>
      <c r="M2301" s="79"/>
      <c r="N2301" s="74"/>
      <c r="O2301" s="81" t="s">
        <v>944</v>
      </c>
      <c r="P2301">
        <v>1</v>
      </c>
      <c r="Q2301" s="80" t="str">
        <f>REPLACE(INDEX(GroupVertices[Group],MATCH(Edges[[#This Row],[Vertex 1]],GroupVertices[Vertex],0)),1,1,"")</f>
        <v>1</v>
      </c>
      <c r="R2301" s="80" t="str">
        <f>REPLACE(INDEX(GroupVertices[Group],MATCH(Edges[[#This Row],[Vertex 2]],GroupVertices[Vertex],0)),1,1,"")</f>
        <v>1</v>
      </c>
      <c r="S2301" s="34"/>
      <c r="T2301" s="34"/>
      <c r="U2301" s="34"/>
      <c r="V2301" s="34"/>
      <c r="W2301" s="34"/>
      <c r="X2301" s="34"/>
      <c r="Y2301" s="34"/>
      <c r="Z2301" s="34"/>
      <c r="AA2301" s="34"/>
    </row>
    <row r="2302" spans="1:27" ht="15">
      <c r="A2302" s="66" t="s">
        <v>261</v>
      </c>
      <c r="B2302" s="66" t="s">
        <v>931</v>
      </c>
      <c r="C2302" s="67" t="s">
        <v>4454</v>
      </c>
      <c r="D2302" s="68">
        <v>5</v>
      </c>
      <c r="E2302" s="69"/>
      <c r="F2302" s="70">
        <v>20</v>
      </c>
      <c r="G2302" s="67"/>
      <c r="H2302" s="71"/>
      <c r="I2302" s="72"/>
      <c r="J2302" s="72"/>
      <c r="K2302" s="34" t="s">
        <v>65</v>
      </c>
      <c r="L2302" s="79">
        <v>2302</v>
      </c>
      <c r="M2302" s="79"/>
      <c r="N2302" s="74"/>
      <c r="O2302" s="81" t="s">
        <v>944</v>
      </c>
      <c r="P2302">
        <v>1</v>
      </c>
      <c r="Q2302" s="80" t="str">
        <f>REPLACE(INDEX(GroupVertices[Group],MATCH(Edges[[#This Row],[Vertex 1]],GroupVertices[Vertex],0)),1,1,"")</f>
        <v>1</v>
      </c>
      <c r="R2302" s="80" t="str">
        <f>REPLACE(INDEX(GroupVertices[Group],MATCH(Edges[[#This Row],[Vertex 2]],GroupVertices[Vertex],0)),1,1,"")</f>
        <v>1</v>
      </c>
      <c r="S2302" s="34"/>
      <c r="T2302" s="34"/>
      <c r="U2302" s="34"/>
      <c r="V2302" s="34"/>
      <c r="W2302" s="34"/>
      <c r="X2302" s="34"/>
      <c r="Y2302" s="34"/>
      <c r="Z2302" s="34"/>
      <c r="AA2302" s="34"/>
    </row>
    <row r="2303" spans="1:27" ht="15">
      <c r="A2303" s="66" t="s">
        <v>253</v>
      </c>
      <c r="B2303" s="66" t="s">
        <v>484</v>
      </c>
      <c r="C2303" s="67" t="s">
        <v>4454</v>
      </c>
      <c r="D2303" s="68">
        <v>5</v>
      </c>
      <c r="E2303" s="69"/>
      <c r="F2303" s="70">
        <v>20</v>
      </c>
      <c r="G2303" s="67"/>
      <c r="H2303" s="71"/>
      <c r="I2303" s="72"/>
      <c r="J2303" s="72"/>
      <c r="K2303" s="34" t="s">
        <v>65</v>
      </c>
      <c r="L2303" s="79">
        <v>2303</v>
      </c>
      <c r="M2303" s="79"/>
      <c r="N2303" s="74"/>
      <c r="O2303" s="81" t="s">
        <v>944</v>
      </c>
      <c r="P2303">
        <v>1</v>
      </c>
      <c r="Q2303" s="80" t="str">
        <f>REPLACE(INDEX(GroupVertices[Group],MATCH(Edges[[#This Row],[Vertex 1]],GroupVertices[Vertex],0)),1,1,"")</f>
        <v>1</v>
      </c>
      <c r="R2303" s="80" t="str">
        <f>REPLACE(INDEX(GroupVertices[Group],MATCH(Edges[[#This Row],[Vertex 2]],GroupVertices[Vertex],0)),1,1,"")</f>
        <v>1</v>
      </c>
      <c r="S2303" s="34"/>
      <c r="T2303" s="34"/>
      <c r="U2303" s="34"/>
      <c r="V2303" s="34"/>
      <c r="W2303" s="34"/>
      <c r="X2303" s="34"/>
      <c r="Y2303" s="34"/>
      <c r="Z2303" s="34"/>
      <c r="AA2303" s="34"/>
    </row>
    <row r="2304" spans="1:27" ht="15">
      <c r="A2304" s="66" t="s">
        <v>254</v>
      </c>
      <c r="B2304" s="66" t="s">
        <v>484</v>
      </c>
      <c r="C2304" s="67" t="s">
        <v>4454</v>
      </c>
      <c r="D2304" s="68">
        <v>5</v>
      </c>
      <c r="E2304" s="69"/>
      <c r="F2304" s="70">
        <v>20</v>
      </c>
      <c r="G2304" s="67"/>
      <c r="H2304" s="71"/>
      <c r="I2304" s="72"/>
      <c r="J2304" s="72"/>
      <c r="K2304" s="34" t="s">
        <v>65</v>
      </c>
      <c r="L2304" s="79">
        <v>2304</v>
      </c>
      <c r="M2304" s="79"/>
      <c r="N2304" s="74"/>
      <c r="O2304" s="81" t="s">
        <v>944</v>
      </c>
      <c r="P2304">
        <v>1</v>
      </c>
      <c r="Q2304" s="80" t="str">
        <f>REPLACE(INDEX(GroupVertices[Group],MATCH(Edges[[#This Row],[Vertex 1]],GroupVertices[Vertex],0)),1,1,"")</f>
        <v>3</v>
      </c>
      <c r="R2304" s="80" t="str">
        <f>REPLACE(INDEX(GroupVertices[Group],MATCH(Edges[[#This Row],[Vertex 2]],GroupVertices[Vertex],0)),1,1,"")</f>
        <v>1</v>
      </c>
      <c r="S2304" s="34"/>
      <c r="T2304" s="34"/>
      <c r="U2304" s="34"/>
      <c r="V2304" s="34"/>
      <c r="W2304" s="34"/>
      <c r="X2304" s="34"/>
      <c r="Y2304" s="34"/>
      <c r="Z2304" s="34"/>
      <c r="AA2304" s="34"/>
    </row>
    <row r="2305" spans="1:27" ht="15">
      <c r="A2305" s="66" t="s">
        <v>256</v>
      </c>
      <c r="B2305" s="66" t="s">
        <v>484</v>
      </c>
      <c r="C2305" s="67" t="s">
        <v>4454</v>
      </c>
      <c r="D2305" s="68">
        <v>5</v>
      </c>
      <c r="E2305" s="69"/>
      <c r="F2305" s="70">
        <v>20</v>
      </c>
      <c r="G2305" s="67"/>
      <c r="H2305" s="71"/>
      <c r="I2305" s="72"/>
      <c r="J2305" s="72"/>
      <c r="K2305" s="34" t="s">
        <v>65</v>
      </c>
      <c r="L2305" s="79">
        <v>2305</v>
      </c>
      <c r="M2305" s="79"/>
      <c r="N2305" s="74"/>
      <c r="O2305" s="81" t="s">
        <v>944</v>
      </c>
      <c r="P2305">
        <v>1</v>
      </c>
      <c r="Q2305" s="80" t="str">
        <f>REPLACE(INDEX(GroupVertices[Group],MATCH(Edges[[#This Row],[Vertex 1]],GroupVertices[Vertex],0)),1,1,"")</f>
        <v>1</v>
      </c>
      <c r="R2305" s="80" t="str">
        <f>REPLACE(INDEX(GroupVertices[Group],MATCH(Edges[[#This Row],[Vertex 2]],GroupVertices[Vertex],0)),1,1,"")</f>
        <v>1</v>
      </c>
      <c r="S2305" s="34"/>
      <c r="T2305" s="34"/>
      <c r="U2305" s="34"/>
      <c r="V2305" s="34"/>
      <c r="W2305" s="34"/>
      <c r="X2305" s="34"/>
      <c r="Y2305" s="34"/>
      <c r="Z2305" s="34"/>
      <c r="AA2305" s="34"/>
    </row>
    <row r="2306" spans="1:27" ht="15">
      <c r="A2306" s="66" t="s">
        <v>258</v>
      </c>
      <c r="B2306" s="66" t="s">
        <v>484</v>
      </c>
      <c r="C2306" s="67" t="s">
        <v>4454</v>
      </c>
      <c r="D2306" s="68">
        <v>5</v>
      </c>
      <c r="E2306" s="69"/>
      <c r="F2306" s="70">
        <v>20</v>
      </c>
      <c r="G2306" s="67"/>
      <c r="H2306" s="71"/>
      <c r="I2306" s="72"/>
      <c r="J2306" s="72"/>
      <c r="K2306" s="34" t="s">
        <v>65</v>
      </c>
      <c r="L2306" s="79">
        <v>2306</v>
      </c>
      <c r="M2306" s="79"/>
      <c r="N2306" s="74"/>
      <c r="O2306" s="81" t="s">
        <v>944</v>
      </c>
      <c r="P2306">
        <v>1</v>
      </c>
      <c r="Q2306" s="80" t="str">
        <f>REPLACE(INDEX(GroupVertices[Group],MATCH(Edges[[#This Row],[Vertex 1]],GroupVertices[Vertex],0)),1,1,"")</f>
        <v>1</v>
      </c>
      <c r="R2306" s="80" t="str">
        <f>REPLACE(INDEX(GroupVertices[Group],MATCH(Edges[[#This Row],[Vertex 2]],GroupVertices[Vertex],0)),1,1,"")</f>
        <v>1</v>
      </c>
      <c r="S2306" s="34"/>
      <c r="T2306" s="34"/>
      <c r="U2306" s="34"/>
      <c r="V2306" s="34"/>
      <c r="W2306" s="34"/>
      <c r="X2306" s="34"/>
      <c r="Y2306" s="34"/>
      <c r="Z2306" s="34"/>
      <c r="AA2306" s="34"/>
    </row>
    <row r="2307" spans="1:27" ht="15">
      <c r="A2307" s="66" t="s">
        <v>261</v>
      </c>
      <c r="B2307" s="66" t="s">
        <v>484</v>
      </c>
      <c r="C2307" s="67" t="s">
        <v>4454</v>
      </c>
      <c r="D2307" s="68">
        <v>5</v>
      </c>
      <c r="E2307" s="69"/>
      <c r="F2307" s="70">
        <v>20</v>
      </c>
      <c r="G2307" s="67"/>
      <c r="H2307" s="71"/>
      <c r="I2307" s="72"/>
      <c r="J2307" s="72"/>
      <c r="K2307" s="34" t="s">
        <v>65</v>
      </c>
      <c r="L2307" s="79">
        <v>2307</v>
      </c>
      <c r="M2307" s="79"/>
      <c r="N2307" s="74"/>
      <c r="O2307" s="81" t="s">
        <v>944</v>
      </c>
      <c r="P2307">
        <v>1</v>
      </c>
      <c r="Q2307" s="80" t="str">
        <f>REPLACE(INDEX(GroupVertices[Group],MATCH(Edges[[#This Row],[Vertex 1]],GroupVertices[Vertex],0)),1,1,"")</f>
        <v>1</v>
      </c>
      <c r="R2307" s="80" t="str">
        <f>REPLACE(INDEX(GroupVertices[Group],MATCH(Edges[[#This Row],[Vertex 2]],GroupVertices[Vertex],0)),1,1,"")</f>
        <v>1</v>
      </c>
      <c r="S2307" s="34"/>
      <c r="T2307" s="34"/>
      <c r="U2307" s="34"/>
      <c r="V2307" s="34"/>
      <c r="W2307" s="34"/>
      <c r="X2307" s="34"/>
      <c r="Y2307" s="34"/>
      <c r="Z2307" s="34"/>
      <c r="AA2307" s="34"/>
    </row>
    <row r="2308" spans="1:27" ht="15">
      <c r="A2308" s="66" t="s">
        <v>258</v>
      </c>
      <c r="B2308" s="66" t="s">
        <v>883</v>
      </c>
      <c r="C2308" s="67" t="s">
        <v>4454</v>
      </c>
      <c r="D2308" s="68">
        <v>5</v>
      </c>
      <c r="E2308" s="69"/>
      <c r="F2308" s="70">
        <v>20</v>
      </c>
      <c r="G2308" s="67"/>
      <c r="H2308" s="71"/>
      <c r="I2308" s="72"/>
      <c r="J2308" s="72"/>
      <c r="K2308" s="34" t="s">
        <v>65</v>
      </c>
      <c r="L2308" s="79">
        <v>2308</v>
      </c>
      <c r="M2308" s="79"/>
      <c r="N2308" s="74"/>
      <c r="O2308" s="81" t="s">
        <v>944</v>
      </c>
      <c r="P2308">
        <v>1</v>
      </c>
      <c r="Q2308" s="80" t="str">
        <f>REPLACE(INDEX(GroupVertices[Group],MATCH(Edges[[#This Row],[Vertex 1]],GroupVertices[Vertex],0)),1,1,"")</f>
        <v>1</v>
      </c>
      <c r="R2308" s="80" t="str">
        <f>REPLACE(INDEX(GroupVertices[Group],MATCH(Edges[[#This Row],[Vertex 2]],GroupVertices[Vertex],0)),1,1,"")</f>
        <v>1</v>
      </c>
      <c r="S2308" s="34"/>
      <c r="T2308" s="34"/>
      <c r="U2308" s="34"/>
      <c r="V2308" s="34"/>
      <c r="W2308" s="34"/>
      <c r="X2308" s="34"/>
      <c r="Y2308" s="34"/>
      <c r="Z2308" s="34"/>
      <c r="AA2308" s="34"/>
    </row>
    <row r="2309" spans="1:27" ht="15">
      <c r="A2309" s="66" t="s">
        <v>261</v>
      </c>
      <c r="B2309" s="66" t="s">
        <v>883</v>
      </c>
      <c r="C2309" s="67" t="s">
        <v>4454</v>
      </c>
      <c r="D2309" s="68">
        <v>5</v>
      </c>
      <c r="E2309" s="69"/>
      <c r="F2309" s="70">
        <v>20</v>
      </c>
      <c r="G2309" s="67"/>
      <c r="H2309" s="71"/>
      <c r="I2309" s="72"/>
      <c r="J2309" s="72"/>
      <c r="K2309" s="34" t="s">
        <v>65</v>
      </c>
      <c r="L2309" s="79">
        <v>2309</v>
      </c>
      <c r="M2309" s="79"/>
      <c r="N2309" s="74"/>
      <c r="O2309" s="81" t="s">
        <v>944</v>
      </c>
      <c r="P2309">
        <v>1</v>
      </c>
      <c r="Q2309" s="80" t="str">
        <f>REPLACE(INDEX(GroupVertices[Group],MATCH(Edges[[#This Row],[Vertex 1]],GroupVertices[Vertex],0)),1,1,"")</f>
        <v>1</v>
      </c>
      <c r="R2309" s="80" t="str">
        <f>REPLACE(INDEX(GroupVertices[Group],MATCH(Edges[[#This Row],[Vertex 2]],GroupVertices[Vertex],0)),1,1,"")</f>
        <v>1</v>
      </c>
      <c r="S2309" s="34"/>
      <c r="T2309" s="34"/>
      <c r="U2309" s="34"/>
      <c r="V2309" s="34"/>
      <c r="W2309" s="34"/>
      <c r="X2309" s="34"/>
      <c r="Y2309" s="34"/>
      <c r="Z2309" s="34"/>
      <c r="AA2309" s="34"/>
    </row>
    <row r="2310" spans="1:27" ht="15">
      <c r="A2310" s="66" t="s">
        <v>252</v>
      </c>
      <c r="B2310" s="66" t="s">
        <v>482</v>
      </c>
      <c r="C2310" s="67" t="s">
        <v>4454</v>
      </c>
      <c r="D2310" s="68">
        <v>5</v>
      </c>
      <c r="E2310" s="69"/>
      <c r="F2310" s="70">
        <v>20</v>
      </c>
      <c r="G2310" s="67"/>
      <c r="H2310" s="71"/>
      <c r="I2310" s="72"/>
      <c r="J2310" s="72"/>
      <c r="K2310" s="34" t="s">
        <v>65</v>
      </c>
      <c r="L2310" s="79">
        <v>2310</v>
      </c>
      <c r="M2310" s="79"/>
      <c r="N2310" s="74"/>
      <c r="O2310" s="81" t="s">
        <v>944</v>
      </c>
      <c r="P2310">
        <v>1</v>
      </c>
      <c r="Q2310" s="80" t="str">
        <f>REPLACE(INDEX(GroupVertices[Group],MATCH(Edges[[#This Row],[Vertex 1]],GroupVertices[Vertex],0)),1,1,"")</f>
        <v>1</v>
      </c>
      <c r="R2310" s="80" t="str">
        <f>REPLACE(INDEX(GroupVertices[Group],MATCH(Edges[[#This Row],[Vertex 2]],GroupVertices[Vertex],0)),1,1,"")</f>
        <v>1</v>
      </c>
      <c r="S2310" s="34"/>
      <c r="T2310" s="34"/>
      <c r="U2310" s="34"/>
      <c r="V2310" s="34"/>
      <c r="W2310" s="34"/>
      <c r="X2310" s="34"/>
      <c r="Y2310" s="34"/>
      <c r="Z2310" s="34"/>
      <c r="AA2310" s="34"/>
    </row>
    <row r="2311" spans="1:27" ht="15">
      <c r="A2311" s="66" t="s">
        <v>256</v>
      </c>
      <c r="B2311" s="66" t="s">
        <v>482</v>
      </c>
      <c r="C2311" s="67" t="s">
        <v>4454</v>
      </c>
      <c r="D2311" s="68">
        <v>5</v>
      </c>
      <c r="E2311" s="69"/>
      <c r="F2311" s="70">
        <v>20</v>
      </c>
      <c r="G2311" s="67"/>
      <c r="H2311" s="71"/>
      <c r="I2311" s="72"/>
      <c r="J2311" s="72"/>
      <c r="K2311" s="34" t="s">
        <v>65</v>
      </c>
      <c r="L2311" s="79">
        <v>2311</v>
      </c>
      <c r="M2311" s="79"/>
      <c r="N2311" s="74"/>
      <c r="O2311" s="81" t="s">
        <v>944</v>
      </c>
      <c r="P2311">
        <v>1</v>
      </c>
      <c r="Q2311" s="80" t="str">
        <f>REPLACE(INDEX(GroupVertices[Group],MATCH(Edges[[#This Row],[Vertex 1]],GroupVertices[Vertex],0)),1,1,"")</f>
        <v>1</v>
      </c>
      <c r="R2311" s="80" t="str">
        <f>REPLACE(INDEX(GroupVertices[Group],MATCH(Edges[[#This Row],[Vertex 2]],GroupVertices[Vertex],0)),1,1,"")</f>
        <v>1</v>
      </c>
      <c r="S2311" s="34"/>
      <c r="T2311" s="34"/>
      <c r="U2311" s="34"/>
      <c r="V2311" s="34"/>
      <c r="W2311" s="34"/>
      <c r="X2311" s="34"/>
      <c r="Y2311" s="34"/>
      <c r="Z2311" s="34"/>
      <c r="AA2311" s="34"/>
    </row>
    <row r="2312" spans="1:27" ht="15">
      <c r="A2312" s="66" t="s">
        <v>258</v>
      </c>
      <c r="B2312" s="66" t="s">
        <v>482</v>
      </c>
      <c r="C2312" s="67" t="s">
        <v>4454</v>
      </c>
      <c r="D2312" s="68">
        <v>5</v>
      </c>
      <c r="E2312" s="69"/>
      <c r="F2312" s="70">
        <v>20</v>
      </c>
      <c r="G2312" s="67"/>
      <c r="H2312" s="71"/>
      <c r="I2312" s="72"/>
      <c r="J2312" s="72"/>
      <c r="K2312" s="34" t="s">
        <v>65</v>
      </c>
      <c r="L2312" s="79">
        <v>2312</v>
      </c>
      <c r="M2312" s="79"/>
      <c r="N2312" s="74"/>
      <c r="O2312" s="81" t="s">
        <v>944</v>
      </c>
      <c r="P2312">
        <v>1</v>
      </c>
      <c r="Q2312" s="80" t="str">
        <f>REPLACE(INDEX(GroupVertices[Group],MATCH(Edges[[#This Row],[Vertex 1]],GroupVertices[Vertex],0)),1,1,"")</f>
        <v>1</v>
      </c>
      <c r="R2312" s="80" t="str">
        <f>REPLACE(INDEX(GroupVertices[Group],MATCH(Edges[[#This Row],[Vertex 2]],GroupVertices[Vertex],0)),1,1,"")</f>
        <v>1</v>
      </c>
      <c r="S2312" s="34"/>
      <c r="T2312" s="34"/>
      <c r="U2312" s="34"/>
      <c r="V2312" s="34"/>
      <c r="W2312" s="34"/>
      <c r="X2312" s="34"/>
      <c r="Y2312" s="34"/>
      <c r="Z2312" s="34"/>
      <c r="AA2312" s="34"/>
    </row>
    <row r="2313" spans="1:27" ht="15">
      <c r="A2313" s="66" t="s">
        <v>261</v>
      </c>
      <c r="B2313" s="66" t="s">
        <v>482</v>
      </c>
      <c r="C2313" s="67" t="s">
        <v>4454</v>
      </c>
      <c r="D2313" s="68">
        <v>5</v>
      </c>
      <c r="E2313" s="69"/>
      <c r="F2313" s="70">
        <v>20</v>
      </c>
      <c r="G2313" s="67"/>
      <c r="H2313" s="71"/>
      <c r="I2313" s="72"/>
      <c r="J2313" s="72"/>
      <c r="K2313" s="34" t="s">
        <v>65</v>
      </c>
      <c r="L2313" s="79">
        <v>2313</v>
      </c>
      <c r="M2313" s="79"/>
      <c r="N2313" s="74"/>
      <c r="O2313" s="81" t="s">
        <v>944</v>
      </c>
      <c r="P2313">
        <v>1</v>
      </c>
      <c r="Q2313" s="80" t="str">
        <f>REPLACE(INDEX(GroupVertices[Group],MATCH(Edges[[#This Row],[Vertex 1]],GroupVertices[Vertex],0)),1,1,"")</f>
        <v>1</v>
      </c>
      <c r="R2313" s="80" t="str">
        <f>REPLACE(INDEX(GroupVertices[Group],MATCH(Edges[[#This Row],[Vertex 2]],GroupVertices[Vertex],0)),1,1,"")</f>
        <v>1</v>
      </c>
      <c r="S2313" s="34"/>
      <c r="T2313" s="34"/>
      <c r="U2313" s="34"/>
      <c r="V2313" s="34"/>
      <c r="W2313" s="34"/>
      <c r="X2313" s="34"/>
      <c r="Y2313" s="34"/>
      <c r="Z2313" s="34"/>
      <c r="AA2313" s="34"/>
    </row>
    <row r="2314" spans="1:27" ht="15">
      <c r="A2314" s="66" t="s">
        <v>248</v>
      </c>
      <c r="B2314" s="66" t="s">
        <v>663</v>
      </c>
      <c r="C2314" s="67" t="s">
        <v>4454</v>
      </c>
      <c r="D2314" s="68">
        <v>5</v>
      </c>
      <c r="E2314" s="69"/>
      <c r="F2314" s="70">
        <v>20</v>
      </c>
      <c r="G2314" s="67"/>
      <c r="H2314" s="71"/>
      <c r="I2314" s="72"/>
      <c r="J2314" s="72"/>
      <c r="K2314" s="34" t="s">
        <v>65</v>
      </c>
      <c r="L2314" s="79">
        <v>2314</v>
      </c>
      <c r="M2314" s="79"/>
      <c r="N2314" s="74"/>
      <c r="O2314" s="81" t="s">
        <v>944</v>
      </c>
      <c r="P2314">
        <v>1</v>
      </c>
      <c r="Q2314" s="80" t="str">
        <f>REPLACE(INDEX(GroupVertices[Group],MATCH(Edges[[#This Row],[Vertex 1]],GroupVertices[Vertex],0)),1,1,"")</f>
        <v>1</v>
      </c>
      <c r="R2314" s="80" t="str">
        <f>REPLACE(INDEX(GroupVertices[Group],MATCH(Edges[[#This Row],[Vertex 2]],GroupVertices[Vertex],0)),1,1,"")</f>
        <v>1</v>
      </c>
      <c r="S2314" s="34"/>
      <c r="T2314" s="34"/>
      <c r="U2314" s="34"/>
      <c r="V2314" s="34"/>
      <c r="W2314" s="34"/>
      <c r="X2314" s="34"/>
      <c r="Y2314" s="34"/>
      <c r="Z2314" s="34"/>
      <c r="AA2314" s="34"/>
    </row>
    <row r="2315" spans="1:27" ht="15">
      <c r="A2315" s="66" t="s">
        <v>252</v>
      </c>
      <c r="B2315" s="66" t="s">
        <v>663</v>
      </c>
      <c r="C2315" s="67" t="s">
        <v>4454</v>
      </c>
      <c r="D2315" s="68">
        <v>5</v>
      </c>
      <c r="E2315" s="69"/>
      <c r="F2315" s="70">
        <v>20</v>
      </c>
      <c r="G2315" s="67"/>
      <c r="H2315" s="71"/>
      <c r="I2315" s="72"/>
      <c r="J2315" s="72"/>
      <c r="K2315" s="34" t="s">
        <v>65</v>
      </c>
      <c r="L2315" s="79">
        <v>2315</v>
      </c>
      <c r="M2315" s="79"/>
      <c r="N2315" s="74"/>
      <c r="O2315" s="81" t="s">
        <v>944</v>
      </c>
      <c r="P2315">
        <v>1</v>
      </c>
      <c r="Q2315" s="80" t="str">
        <f>REPLACE(INDEX(GroupVertices[Group],MATCH(Edges[[#This Row],[Vertex 1]],GroupVertices[Vertex],0)),1,1,"")</f>
        <v>1</v>
      </c>
      <c r="R2315" s="80" t="str">
        <f>REPLACE(INDEX(GroupVertices[Group],MATCH(Edges[[#This Row],[Vertex 2]],GroupVertices[Vertex],0)),1,1,"")</f>
        <v>1</v>
      </c>
      <c r="S2315" s="34"/>
      <c r="T2315" s="34"/>
      <c r="U2315" s="34"/>
      <c r="V2315" s="34"/>
      <c r="W2315" s="34"/>
      <c r="X2315" s="34"/>
      <c r="Y2315" s="34"/>
      <c r="Z2315" s="34"/>
      <c r="AA2315" s="34"/>
    </row>
    <row r="2316" spans="1:27" ht="15">
      <c r="A2316" s="66" t="s">
        <v>254</v>
      </c>
      <c r="B2316" s="66" t="s">
        <v>663</v>
      </c>
      <c r="C2316" s="67" t="s">
        <v>4454</v>
      </c>
      <c r="D2316" s="68">
        <v>5</v>
      </c>
      <c r="E2316" s="69"/>
      <c r="F2316" s="70">
        <v>20</v>
      </c>
      <c r="G2316" s="67"/>
      <c r="H2316" s="71"/>
      <c r="I2316" s="72"/>
      <c r="J2316" s="72"/>
      <c r="K2316" s="34" t="s">
        <v>65</v>
      </c>
      <c r="L2316" s="79">
        <v>2316</v>
      </c>
      <c r="M2316" s="79"/>
      <c r="N2316" s="74"/>
      <c r="O2316" s="81" t="s">
        <v>944</v>
      </c>
      <c r="P2316">
        <v>1</v>
      </c>
      <c r="Q2316" s="80" t="str">
        <f>REPLACE(INDEX(GroupVertices[Group],MATCH(Edges[[#This Row],[Vertex 1]],GroupVertices[Vertex],0)),1,1,"")</f>
        <v>3</v>
      </c>
      <c r="R2316" s="80" t="str">
        <f>REPLACE(INDEX(GroupVertices[Group],MATCH(Edges[[#This Row],[Vertex 2]],GroupVertices[Vertex],0)),1,1,"")</f>
        <v>1</v>
      </c>
      <c r="S2316" s="34"/>
      <c r="T2316" s="34"/>
      <c r="U2316" s="34"/>
      <c r="V2316" s="34"/>
      <c r="W2316" s="34"/>
      <c r="X2316" s="34"/>
      <c r="Y2316" s="34"/>
      <c r="Z2316" s="34"/>
      <c r="AA2316" s="34"/>
    </row>
    <row r="2317" spans="1:27" ht="15">
      <c r="A2317" s="66" t="s">
        <v>258</v>
      </c>
      <c r="B2317" s="66" t="s">
        <v>663</v>
      </c>
      <c r="C2317" s="67" t="s">
        <v>4454</v>
      </c>
      <c r="D2317" s="68">
        <v>5</v>
      </c>
      <c r="E2317" s="69"/>
      <c r="F2317" s="70">
        <v>20</v>
      </c>
      <c r="G2317" s="67"/>
      <c r="H2317" s="71"/>
      <c r="I2317" s="72"/>
      <c r="J2317" s="72"/>
      <c r="K2317" s="34" t="s">
        <v>65</v>
      </c>
      <c r="L2317" s="79">
        <v>2317</v>
      </c>
      <c r="M2317" s="79"/>
      <c r="N2317" s="74"/>
      <c r="O2317" s="81" t="s">
        <v>944</v>
      </c>
      <c r="P2317">
        <v>1</v>
      </c>
      <c r="Q2317" s="80" t="str">
        <f>REPLACE(INDEX(GroupVertices[Group],MATCH(Edges[[#This Row],[Vertex 1]],GroupVertices[Vertex],0)),1,1,"")</f>
        <v>1</v>
      </c>
      <c r="R2317" s="80" t="str">
        <f>REPLACE(INDEX(GroupVertices[Group],MATCH(Edges[[#This Row],[Vertex 2]],GroupVertices[Vertex],0)),1,1,"")</f>
        <v>1</v>
      </c>
      <c r="S2317" s="34"/>
      <c r="T2317" s="34"/>
      <c r="U2317" s="34"/>
      <c r="V2317" s="34"/>
      <c r="W2317" s="34"/>
      <c r="X2317" s="34"/>
      <c r="Y2317" s="34"/>
      <c r="Z2317" s="34"/>
      <c r="AA2317" s="34"/>
    </row>
    <row r="2318" spans="1:27" ht="15">
      <c r="A2318" s="66" t="s">
        <v>261</v>
      </c>
      <c r="B2318" s="66" t="s">
        <v>663</v>
      </c>
      <c r="C2318" s="67" t="s">
        <v>4454</v>
      </c>
      <c r="D2318" s="68">
        <v>5</v>
      </c>
      <c r="E2318" s="69"/>
      <c r="F2318" s="70">
        <v>20</v>
      </c>
      <c r="G2318" s="67"/>
      <c r="H2318" s="71"/>
      <c r="I2318" s="72"/>
      <c r="J2318" s="72"/>
      <c r="K2318" s="34" t="s">
        <v>65</v>
      </c>
      <c r="L2318" s="79">
        <v>2318</v>
      </c>
      <c r="M2318" s="79"/>
      <c r="N2318" s="74"/>
      <c r="O2318" s="81" t="s">
        <v>944</v>
      </c>
      <c r="P2318">
        <v>1</v>
      </c>
      <c r="Q2318" s="80" t="str">
        <f>REPLACE(INDEX(GroupVertices[Group],MATCH(Edges[[#This Row],[Vertex 1]],GroupVertices[Vertex],0)),1,1,"")</f>
        <v>1</v>
      </c>
      <c r="R2318" s="80" t="str">
        <f>REPLACE(INDEX(GroupVertices[Group],MATCH(Edges[[#This Row],[Vertex 2]],GroupVertices[Vertex],0)),1,1,"")</f>
        <v>1</v>
      </c>
      <c r="S2318" s="34"/>
      <c r="T2318" s="34"/>
      <c r="U2318" s="34"/>
      <c r="V2318" s="34"/>
      <c r="W2318" s="34"/>
      <c r="X2318" s="34"/>
      <c r="Y2318" s="34"/>
      <c r="Z2318" s="34"/>
      <c r="AA2318" s="34"/>
    </row>
    <row r="2319" spans="1:27" ht="15">
      <c r="A2319" s="66" t="s">
        <v>261</v>
      </c>
      <c r="B2319" s="66" t="s">
        <v>932</v>
      </c>
      <c r="C2319" s="67" t="s">
        <v>4454</v>
      </c>
      <c r="D2319" s="68">
        <v>5</v>
      </c>
      <c r="E2319" s="69"/>
      <c r="F2319" s="70">
        <v>20</v>
      </c>
      <c r="G2319" s="67"/>
      <c r="H2319" s="71"/>
      <c r="I2319" s="72"/>
      <c r="J2319" s="72"/>
      <c r="K2319" s="34"/>
      <c r="L2319" s="79">
        <v>2319</v>
      </c>
      <c r="M2319" s="79"/>
      <c r="N2319" s="74"/>
      <c r="O2319" s="81" t="s">
        <v>944</v>
      </c>
      <c r="P2319">
        <v>1</v>
      </c>
      <c r="Q2319" s="80" t="str">
        <f>REPLACE(INDEX(GroupVertices[Group],MATCH(Edges[[#This Row],[Vertex 1]],GroupVertices[Vertex],0)),1,1,"")</f>
        <v>1</v>
      </c>
      <c r="R2319" s="80" t="e">
        <f>REPLACE(INDEX(GroupVertices[Group],MATCH(Edges[[#This Row],[Vertex 2]],GroupVertices[Vertex],0)),1,1,"")</f>
        <v>#N/A</v>
      </c>
      <c r="S2319" s="34"/>
      <c r="T2319" s="34"/>
      <c r="U2319" s="34"/>
      <c r="V2319" s="34"/>
      <c r="W2319" s="34"/>
      <c r="X2319" s="34"/>
      <c r="Y2319" s="34"/>
      <c r="Z2319" s="34"/>
      <c r="AA2319" s="34"/>
    </row>
    <row r="2320" spans="1:27" ht="15">
      <c r="A2320" s="66" t="s">
        <v>261</v>
      </c>
      <c r="B2320" s="66" t="s">
        <v>881</v>
      </c>
      <c r="C2320" s="67" t="s">
        <v>4454</v>
      </c>
      <c r="D2320" s="68">
        <v>5</v>
      </c>
      <c r="E2320" s="69"/>
      <c r="F2320" s="70">
        <v>20</v>
      </c>
      <c r="G2320" s="67"/>
      <c r="H2320" s="71"/>
      <c r="I2320" s="72"/>
      <c r="J2320" s="72"/>
      <c r="K2320" s="34" t="s">
        <v>65</v>
      </c>
      <c r="L2320" s="79">
        <v>2320</v>
      </c>
      <c r="M2320" s="79"/>
      <c r="N2320" s="74"/>
      <c r="O2320" s="81" t="s">
        <v>944</v>
      </c>
      <c r="P2320">
        <v>1</v>
      </c>
      <c r="Q2320" s="80" t="str">
        <f>REPLACE(INDEX(GroupVertices[Group],MATCH(Edges[[#This Row],[Vertex 1]],GroupVertices[Vertex],0)),1,1,"")</f>
        <v>1</v>
      </c>
      <c r="R2320" s="80" t="str">
        <f>REPLACE(INDEX(GroupVertices[Group],MATCH(Edges[[#This Row],[Vertex 2]],GroupVertices[Vertex],0)),1,1,"")</f>
        <v>1</v>
      </c>
      <c r="S2320" s="34"/>
      <c r="T2320" s="34"/>
      <c r="U2320" s="34"/>
      <c r="V2320" s="34"/>
      <c r="W2320" s="34"/>
      <c r="X2320" s="34"/>
      <c r="Y2320" s="34"/>
      <c r="Z2320" s="34"/>
      <c r="AA2320" s="34"/>
    </row>
    <row r="2321" spans="1:27" ht="15">
      <c r="A2321" s="66" t="s">
        <v>254</v>
      </c>
      <c r="B2321" s="66" t="s">
        <v>933</v>
      </c>
      <c r="C2321" s="67" t="s">
        <v>4454</v>
      </c>
      <c r="D2321" s="68">
        <v>5</v>
      </c>
      <c r="E2321" s="69"/>
      <c r="F2321" s="70">
        <v>20</v>
      </c>
      <c r="G2321" s="67"/>
      <c r="H2321" s="71"/>
      <c r="I2321" s="72"/>
      <c r="J2321" s="72"/>
      <c r="K2321" s="34" t="s">
        <v>65</v>
      </c>
      <c r="L2321" s="79">
        <v>2321</v>
      </c>
      <c r="M2321" s="79"/>
      <c r="N2321" s="74"/>
      <c r="O2321" s="81" t="s">
        <v>944</v>
      </c>
      <c r="P2321">
        <v>1</v>
      </c>
      <c r="Q2321" s="80" t="str">
        <f>REPLACE(INDEX(GroupVertices[Group],MATCH(Edges[[#This Row],[Vertex 1]],GroupVertices[Vertex],0)),1,1,"")</f>
        <v>3</v>
      </c>
      <c r="R2321" s="80" t="str">
        <f>REPLACE(INDEX(GroupVertices[Group],MATCH(Edges[[#This Row],[Vertex 2]],GroupVertices[Vertex],0)),1,1,"")</f>
        <v>1</v>
      </c>
      <c r="S2321" s="34"/>
      <c r="T2321" s="34"/>
      <c r="U2321" s="34"/>
      <c r="V2321" s="34"/>
      <c r="W2321" s="34"/>
      <c r="X2321" s="34"/>
      <c r="Y2321" s="34"/>
      <c r="Z2321" s="34"/>
      <c r="AA2321" s="34"/>
    </row>
    <row r="2322" spans="1:27" ht="15">
      <c r="A2322" s="66" t="s">
        <v>258</v>
      </c>
      <c r="B2322" s="66" t="s">
        <v>933</v>
      </c>
      <c r="C2322" s="67" t="s">
        <v>4454</v>
      </c>
      <c r="D2322" s="68">
        <v>5</v>
      </c>
      <c r="E2322" s="69"/>
      <c r="F2322" s="70">
        <v>20</v>
      </c>
      <c r="G2322" s="67"/>
      <c r="H2322" s="71"/>
      <c r="I2322" s="72"/>
      <c r="J2322" s="72"/>
      <c r="K2322" s="34" t="s">
        <v>65</v>
      </c>
      <c r="L2322" s="79">
        <v>2322</v>
      </c>
      <c r="M2322" s="79"/>
      <c r="N2322" s="74"/>
      <c r="O2322" s="81" t="s">
        <v>944</v>
      </c>
      <c r="P2322">
        <v>1</v>
      </c>
      <c r="Q2322" s="80" t="str">
        <f>REPLACE(INDEX(GroupVertices[Group],MATCH(Edges[[#This Row],[Vertex 1]],GroupVertices[Vertex],0)),1,1,"")</f>
        <v>1</v>
      </c>
      <c r="R2322" s="80" t="str">
        <f>REPLACE(INDEX(GroupVertices[Group],MATCH(Edges[[#This Row],[Vertex 2]],GroupVertices[Vertex],0)),1,1,"")</f>
        <v>1</v>
      </c>
      <c r="S2322" s="34"/>
      <c r="T2322" s="34"/>
      <c r="U2322" s="34"/>
      <c r="V2322" s="34"/>
      <c r="W2322" s="34"/>
      <c r="X2322" s="34"/>
      <c r="Y2322" s="34"/>
      <c r="Z2322" s="34"/>
      <c r="AA2322" s="34"/>
    </row>
    <row r="2323" spans="1:27" ht="15">
      <c r="A2323" s="66" t="s">
        <v>261</v>
      </c>
      <c r="B2323" s="66" t="s">
        <v>933</v>
      </c>
      <c r="C2323" s="67" t="s">
        <v>4454</v>
      </c>
      <c r="D2323" s="68">
        <v>5</v>
      </c>
      <c r="E2323" s="69"/>
      <c r="F2323" s="70">
        <v>20</v>
      </c>
      <c r="G2323" s="67"/>
      <c r="H2323" s="71"/>
      <c r="I2323" s="72"/>
      <c r="J2323" s="72"/>
      <c r="K2323" s="34" t="s">
        <v>65</v>
      </c>
      <c r="L2323" s="79">
        <v>2323</v>
      </c>
      <c r="M2323" s="79"/>
      <c r="N2323" s="74"/>
      <c r="O2323" s="81" t="s">
        <v>944</v>
      </c>
      <c r="P2323">
        <v>1</v>
      </c>
      <c r="Q2323" s="80" t="str">
        <f>REPLACE(INDEX(GroupVertices[Group],MATCH(Edges[[#This Row],[Vertex 1]],GroupVertices[Vertex],0)),1,1,"")</f>
        <v>1</v>
      </c>
      <c r="R2323" s="80" t="str">
        <f>REPLACE(INDEX(GroupVertices[Group],MATCH(Edges[[#This Row],[Vertex 2]],GroupVertices[Vertex],0)),1,1,"")</f>
        <v>1</v>
      </c>
      <c r="S2323" s="34"/>
      <c r="T2323" s="34"/>
      <c r="U2323" s="34"/>
      <c r="V2323" s="34"/>
      <c r="W2323" s="34"/>
      <c r="X2323" s="34"/>
      <c r="Y2323" s="34"/>
      <c r="Z2323" s="34"/>
      <c r="AA2323" s="34"/>
    </row>
    <row r="2324" spans="1:27" ht="15">
      <c r="A2324" s="66" t="s">
        <v>226</v>
      </c>
      <c r="B2324" s="66" t="s">
        <v>252</v>
      </c>
      <c r="C2324" s="67" t="s">
        <v>4454</v>
      </c>
      <c r="D2324" s="68">
        <v>5</v>
      </c>
      <c r="E2324" s="69"/>
      <c r="F2324" s="70">
        <v>20</v>
      </c>
      <c r="G2324" s="67"/>
      <c r="H2324" s="71"/>
      <c r="I2324" s="72"/>
      <c r="J2324" s="72"/>
      <c r="K2324" s="34" t="s">
        <v>66</v>
      </c>
      <c r="L2324" s="79">
        <v>2324</v>
      </c>
      <c r="M2324" s="79"/>
      <c r="N2324" s="74"/>
      <c r="O2324" s="81" t="s">
        <v>944</v>
      </c>
      <c r="P2324">
        <v>1</v>
      </c>
      <c r="Q2324" s="80" t="str">
        <f>REPLACE(INDEX(GroupVertices[Group],MATCH(Edges[[#This Row],[Vertex 1]],GroupVertices[Vertex],0)),1,1,"")</f>
        <v>4</v>
      </c>
      <c r="R2324" s="80" t="str">
        <f>REPLACE(INDEX(GroupVertices[Group],MATCH(Edges[[#This Row],[Vertex 2]],GroupVertices[Vertex],0)),1,1,"")</f>
        <v>1</v>
      </c>
      <c r="S2324" s="34"/>
      <c r="T2324" s="34"/>
      <c r="U2324" s="34"/>
      <c r="V2324" s="34"/>
      <c r="W2324" s="34"/>
      <c r="X2324" s="34"/>
      <c r="Y2324" s="34"/>
      <c r="Z2324" s="34"/>
      <c r="AA2324" s="34"/>
    </row>
    <row r="2325" spans="1:27" ht="15">
      <c r="A2325" s="66" t="s">
        <v>226</v>
      </c>
      <c r="B2325" s="66" t="s">
        <v>261</v>
      </c>
      <c r="C2325" s="67" t="s">
        <v>4454</v>
      </c>
      <c r="D2325" s="68">
        <v>5</v>
      </c>
      <c r="E2325" s="69"/>
      <c r="F2325" s="70">
        <v>20</v>
      </c>
      <c r="G2325" s="67"/>
      <c r="H2325" s="71"/>
      <c r="I2325" s="72"/>
      <c r="J2325" s="72"/>
      <c r="K2325" s="34" t="s">
        <v>66</v>
      </c>
      <c r="L2325" s="79">
        <v>2325</v>
      </c>
      <c r="M2325" s="79"/>
      <c r="N2325" s="74"/>
      <c r="O2325" s="81" t="s">
        <v>944</v>
      </c>
      <c r="P2325">
        <v>1</v>
      </c>
      <c r="Q2325" s="80" t="str">
        <f>REPLACE(INDEX(GroupVertices[Group],MATCH(Edges[[#This Row],[Vertex 1]],GroupVertices[Vertex],0)),1,1,"")</f>
        <v>4</v>
      </c>
      <c r="R2325" s="80" t="str">
        <f>REPLACE(INDEX(GroupVertices[Group],MATCH(Edges[[#This Row],[Vertex 2]],GroupVertices[Vertex],0)),1,1,"")</f>
        <v>1</v>
      </c>
      <c r="S2325" s="34"/>
      <c r="T2325" s="34"/>
      <c r="U2325" s="34"/>
      <c r="V2325" s="34"/>
      <c r="W2325" s="34"/>
      <c r="X2325" s="34"/>
      <c r="Y2325" s="34"/>
      <c r="Z2325" s="34"/>
      <c r="AA2325" s="34"/>
    </row>
    <row r="2326" spans="1:27" ht="15">
      <c r="A2326" s="66" t="s">
        <v>226</v>
      </c>
      <c r="B2326" s="66" t="s">
        <v>253</v>
      </c>
      <c r="C2326" s="67" t="s">
        <v>4454</v>
      </c>
      <c r="D2326" s="68">
        <v>5</v>
      </c>
      <c r="E2326" s="69"/>
      <c r="F2326" s="70">
        <v>20</v>
      </c>
      <c r="G2326" s="67"/>
      <c r="H2326" s="71"/>
      <c r="I2326" s="72"/>
      <c r="J2326" s="72"/>
      <c r="K2326" s="34" t="s">
        <v>66</v>
      </c>
      <c r="L2326" s="79">
        <v>2326</v>
      </c>
      <c r="M2326" s="79"/>
      <c r="N2326" s="74"/>
      <c r="O2326" s="81" t="s">
        <v>944</v>
      </c>
      <c r="P2326">
        <v>1</v>
      </c>
      <c r="Q2326" s="80" t="str">
        <f>REPLACE(INDEX(GroupVertices[Group],MATCH(Edges[[#This Row],[Vertex 1]],GroupVertices[Vertex],0)),1,1,"")</f>
        <v>4</v>
      </c>
      <c r="R2326" s="80" t="str">
        <f>REPLACE(INDEX(GroupVertices[Group],MATCH(Edges[[#This Row],[Vertex 2]],GroupVertices[Vertex],0)),1,1,"")</f>
        <v>1</v>
      </c>
      <c r="S2326" s="34"/>
      <c r="T2326" s="34"/>
      <c r="U2326" s="34"/>
      <c r="V2326" s="34"/>
      <c r="W2326" s="34"/>
      <c r="X2326" s="34"/>
      <c r="Y2326" s="34"/>
      <c r="Z2326" s="34"/>
      <c r="AA2326" s="34"/>
    </row>
    <row r="2327" spans="1:27" ht="15">
      <c r="A2327" s="66" t="s">
        <v>249</v>
      </c>
      <c r="B2327" s="66" t="s">
        <v>226</v>
      </c>
      <c r="C2327" s="67" t="s">
        <v>4454</v>
      </c>
      <c r="D2327" s="68">
        <v>5</v>
      </c>
      <c r="E2327" s="69"/>
      <c r="F2327" s="70">
        <v>20</v>
      </c>
      <c r="G2327" s="67"/>
      <c r="H2327" s="71"/>
      <c r="I2327" s="72"/>
      <c r="J2327" s="72"/>
      <c r="K2327" s="34" t="s">
        <v>65</v>
      </c>
      <c r="L2327" s="79">
        <v>2327</v>
      </c>
      <c r="M2327" s="79"/>
      <c r="N2327" s="74"/>
      <c r="O2327" s="81" t="s">
        <v>944</v>
      </c>
      <c r="P2327">
        <v>1</v>
      </c>
      <c r="Q2327" s="80" t="str">
        <f>REPLACE(INDEX(GroupVertices[Group],MATCH(Edges[[#This Row],[Vertex 1]],GroupVertices[Vertex],0)),1,1,"")</f>
        <v>2</v>
      </c>
      <c r="R2327" s="80" t="str">
        <f>REPLACE(INDEX(GroupVertices[Group],MATCH(Edges[[#This Row],[Vertex 2]],GroupVertices[Vertex],0)),1,1,"")</f>
        <v>4</v>
      </c>
      <c r="S2327" s="34"/>
      <c r="T2327" s="34"/>
      <c r="U2327" s="34"/>
      <c r="V2327" s="34"/>
      <c r="W2327" s="34"/>
      <c r="X2327" s="34"/>
      <c r="Y2327" s="34"/>
      <c r="Z2327" s="34"/>
      <c r="AA2327" s="34"/>
    </row>
    <row r="2328" spans="1:27" ht="15">
      <c r="A2328" s="66" t="s">
        <v>252</v>
      </c>
      <c r="B2328" s="66" t="s">
        <v>226</v>
      </c>
      <c r="C2328" s="67" t="s">
        <v>4454</v>
      </c>
      <c r="D2328" s="68">
        <v>5</v>
      </c>
      <c r="E2328" s="69"/>
      <c r="F2328" s="70">
        <v>20</v>
      </c>
      <c r="G2328" s="67"/>
      <c r="H2328" s="71"/>
      <c r="I2328" s="72"/>
      <c r="J2328" s="72"/>
      <c r="K2328" s="34" t="s">
        <v>66</v>
      </c>
      <c r="L2328" s="79">
        <v>2328</v>
      </c>
      <c r="M2328" s="79"/>
      <c r="N2328" s="74"/>
      <c r="O2328" s="81" t="s">
        <v>944</v>
      </c>
      <c r="P2328">
        <v>1</v>
      </c>
      <c r="Q2328" s="80" t="str">
        <f>REPLACE(INDEX(GroupVertices[Group],MATCH(Edges[[#This Row],[Vertex 1]],GroupVertices[Vertex],0)),1,1,"")</f>
        <v>1</v>
      </c>
      <c r="R2328" s="80" t="str">
        <f>REPLACE(INDEX(GroupVertices[Group],MATCH(Edges[[#This Row],[Vertex 2]],GroupVertices[Vertex],0)),1,1,"")</f>
        <v>4</v>
      </c>
      <c r="S2328" s="34"/>
      <c r="T2328" s="34"/>
      <c r="U2328" s="34"/>
      <c r="V2328" s="34"/>
      <c r="W2328" s="34"/>
      <c r="X2328" s="34"/>
      <c r="Y2328" s="34"/>
      <c r="Z2328" s="34"/>
      <c r="AA2328" s="34"/>
    </row>
    <row r="2329" spans="1:27" ht="15">
      <c r="A2329" s="66" t="s">
        <v>253</v>
      </c>
      <c r="B2329" s="66" t="s">
        <v>226</v>
      </c>
      <c r="C2329" s="67" t="s">
        <v>4454</v>
      </c>
      <c r="D2329" s="68">
        <v>5</v>
      </c>
      <c r="E2329" s="69"/>
      <c r="F2329" s="70">
        <v>20</v>
      </c>
      <c r="G2329" s="67"/>
      <c r="H2329" s="71"/>
      <c r="I2329" s="72"/>
      <c r="J2329" s="72"/>
      <c r="K2329" s="34" t="s">
        <v>66</v>
      </c>
      <c r="L2329" s="79">
        <v>2329</v>
      </c>
      <c r="M2329" s="79"/>
      <c r="N2329" s="74"/>
      <c r="O2329" s="81" t="s">
        <v>944</v>
      </c>
      <c r="P2329">
        <v>1</v>
      </c>
      <c r="Q2329" s="80" t="str">
        <f>REPLACE(INDEX(GroupVertices[Group],MATCH(Edges[[#This Row],[Vertex 1]],GroupVertices[Vertex],0)),1,1,"")</f>
        <v>1</v>
      </c>
      <c r="R2329" s="80" t="str">
        <f>REPLACE(INDEX(GroupVertices[Group],MATCH(Edges[[#This Row],[Vertex 2]],GroupVertices[Vertex],0)),1,1,"")</f>
        <v>4</v>
      </c>
      <c r="S2329" s="34"/>
      <c r="T2329" s="34"/>
      <c r="U2329" s="34"/>
      <c r="V2329" s="34"/>
      <c r="W2329" s="34"/>
      <c r="X2329" s="34"/>
      <c r="Y2329" s="34"/>
      <c r="Z2329" s="34"/>
      <c r="AA2329" s="34"/>
    </row>
    <row r="2330" spans="1:27" ht="15">
      <c r="A2330" s="66" t="s">
        <v>254</v>
      </c>
      <c r="B2330" s="66" t="s">
        <v>226</v>
      </c>
      <c r="C2330" s="67" t="s">
        <v>4454</v>
      </c>
      <c r="D2330" s="68">
        <v>5</v>
      </c>
      <c r="E2330" s="69"/>
      <c r="F2330" s="70">
        <v>20</v>
      </c>
      <c r="G2330" s="67"/>
      <c r="H2330" s="71"/>
      <c r="I2330" s="72"/>
      <c r="J2330" s="72"/>
      <c r="K2330" s="34" t="s">
        <v>65</v>
      </c>
      <c r="L2330" s="79">
        <v>2330</v>
      </c>
      <c r="M2330" s="79"/>
      <c r="N2330" s="74"/>
      <c r="O2330" s="81" t="s">
        <v>944</v>
      </c>
      <c r="P2330">
        <v>1</v>
      </c>
      <c r="Q2330" s="80" t="str">
        <f>REPLACE(INDEX(GroupVertices[Group],MATCH(Edges[[#This Row],[Vertex 1]],GroupVertices[Vertex],0)),1,1,"")</f>
        <v>3</v>
      </c>
      <c r="R2330" s="80" t="str">
        <f>REPLACE(INDEX(GroupVertices[Group],MATCH(Edges[[#This Row],[Vertex 2]],GroupVertices[Vertex],0)),1,1,"")</f>
        <v>4</v>
      </c>
      <c r="S2330" s="34"/>
      <c r="T2330" s="34"/>
      <c r="U2330" s="34"/>
      <c r="V2330" s="34"/>
      <c r="W2330" s="34"/>
      <c r="X2330" s="34"/>
      <c r="Y2330" s="34"/>
      <c r="Z2330" s="34"/>
      <c r="AA2330" s="34"/>
    </row>
    <row r="2331" spans="1:27" ht="15">
      <c r="A2331" s="66" t="s">
        <v>258</v>
      </c>
      <c r="B2331" s="66" t="s">
        <v>226</v>
      </c>
      <c r="C2331" s="67" t="s">
        <v>4454</v>
      </c>
      <c r="D2331" s="68">
        <v>5</v>
      </c>
      <c r="E2331" s="69"/>
      <c r="F2331" s="70">
        <v>20</v>
      </c>
      <c r="G2331" s="67"/>
      <c r="H2331" s="71"/>
      <c r="I2331" s="72"/>
      <c r="J2331" s="72"/>
      <c r="K2331" s="34" t="s">
        <v>65</v>
      </c>
      <c r="L2331" s="79">
        <v>2331</v>
      </c>
      <c r="M2331" s="79"/>
      <c r="N2331" s="74"/>
      <c r="O2331" s="81" t="s">
        <v>944</v>
      </c>
      <c r="P2331">
        <v>1</v>
      </c>
      <c r="Q2331" s="80" t="str">
        <f>REPLACE(INDEX(GroupVertices[Group],MATCH(Edges[[#This Row],[Vertex 1]],GroupVertices[Vertex],0)),1,1,"")</f>
        <v>1</v>
      </c>
      <c r="R2331" s="80" t="str">
        <f>REPLACE(INDEX(GroupVertices[Group],MATCH(Edges[[#This Row],[Vertex 2]],GroupVertices[Vertex],0)),1,1,"")</f>
        <v>4</v>
      </c>
      <c r="S2331" s="34"/>
      <c r="T2331" s="34"/>
      <c r="U2331" s="34"/>
      <c r="V2331" s="34"/>
      <c r="W2331" s="34"/>
      <c r="X2331" s="34"/>
      <c r="Y2331" s="34"/>
      <c r="Z2331" s="34"/>
      <c r="AA2331" s="34"/>
    </row>
    <row r="2332" spans="1:27" ht="15">
      <c r="A2332" s="66" t="s">
        <v>261</v>
      </c>
      <c r="B2332" s="66" t="s">
        <v>226</v>
      </c>
      <c r="C2332" s="67" t="s">
        <v>4454</v>
      </c>
      <c r="D2332" s="68">
        <v>5</v>
      </c>
      <c r="E2332" s="69"/>
      <c r="F2332" s="70">
        <v>20</v>
      </c>
      <c r="G2332" s="67"/>
      <c r="H2332" s="71"/>
      <c r="I2332" s="72"/>
      <c r="J2332" s="72"/>
      <c r="K2332" s="34" t="s">
        <v>66</v>
      </c>
      <c r="L2332" s="79">
        <v>2332</v>
      </c>
      <c r="M2332" s="79"/>
      <c r="N2332" s="74"/>
      <c r="O2332" s="81" t="s">
        <v>944</v>
      </c>
      <c r="P2332">
        <v>1</v>
      </c>
      <c r="Q2332" s="80" t="str">
        <f>REPLACE(INDEX(GroupVertices[Group],MATCH(Edges[[#This Row],[Vertex 1]],GroupVertices[Vertex],0)),1,1,"")</f>
        <v>1</v>
      </c>
      <c r="R2332" s="80" t="str">
        <f>REPLACE(INDEX(GroupVertices[Group],MATCH(Edges[[#This Row],[Vertex 2]],GroupVertices[Vertex],0)),1,1,"")</f>
        <v>4</v>
      </c>
      <c r="S2332" s="34"/>
      <c r="T2332" s="34"/>
      <c r="U2332" s="34"/>
      <c r="V2332" s="34"/>
      <c r="W2332" s="34"/>
      <c r="X2332" s="34"/>
      <c r="Y2332" s="34"/>
      <c r="Z2332" s="34"/>
      <c r="AA2332" s="34"/>
    </row>
    <row r="2333" spans="1:27" ht="15">
      <c r="A2333" s="66" t="s">
        <v>249</v>
      </c>
      <c r="B2333" s="66" t="s">
        <v>846</v>
      </c>
      <c r="C2333" s="67" t="s">
        <v>4454</v>
      </c>
      <c r="D2333" s="68">
        <v>5</v>
      </c>
      <c r="E2333" s="69"/>
      <c r="F2333" s="70">
        <v>20</v>
      </c>
      <c r="G2333" s="67"/>
      <c r="H2333" s="71"/>
      <c r="I2333" s="72"/>
      <c r="J2333" s="72"/>
      <c r="K2333" s="34" t="s">
        <v>65</v>
      </c>
      <c r="L2333" s="79">
        <v>2333</v>
      </c>
      <c r="M2333" s="79"/>
      <c r="N2333" s="74"/>
      <c r="O2333" s="81" t="s">
        <v>944</v>
      </c>
      <c r="P2333">
        <v>1</v>
      </c>
      <c r="Q2333" s="80" t="str">
        <f>REPLACE(INDEX(GroupVertices[Group],MATCH(Edges[[#This Row],[Vertex 1]],GroupVertices[Vertex],0)),1,1,"")</f>
        <v>2</v>
      </c>
      <c r="R2333" s="80" t="str">
        <f>REPLACE(INDEX(GroupVertices[Group],MATCH(Edges[[#This Row],[Vertex 2]],GroupVertices[Vertex],0)),1,1,"")</f>
        <v>1</v>
      </c>
      <c r="S2333" s="34"/>
      <c r="T2333" s="34"/>
      <c r="U2333" s="34"/>
      <c r="V2333" s="34"/>
      <c r="W2333" s="34"/>
      <c r="X2333" s="34"/>
      <c r="Y2333" s="34"/>
      <c r="Z2333" s="34"/>
      <c r="AA2333" s="34"/>
    </row>
    <row r="2334" spans="1:27" ht="15">
      <c r="A2334" s="66" t="s">
        <v>252</v>
      </c>
      <c r="B2334" s="66" t="s">
        <v>846</v>
      </c>
      <c r="C2334" s="67" t="s">
        <v>4454</v>
      </c>
      <c r="D2334" s="68">
        <v>5</v>
      </c>
      <c r="E2334" s="69"/>
      <c r="F2334" s="70">
        <v>20</v>
      </c>
      <c r="G2334" s="67"/>
      <c r="H2334" s="71"/>
      <c r="I2334" s="72"/>
      <c r="J2334" s="72"/>
      <c r="K2334" s="34" t="s">
        <v>65</v>
      </c>
      <c r="L2334" s="79">
        <v>2334</v>
      </c>
      <c r="M2334" s="79"/>
      <c r="N2334" s="74"/>
      <c r="O2334" s="81" t="s">
        <v>944</v>
      </c>
      <c r="P2334">
        <v>1</v>
      </c>
      <c r="Q2334" s="80" t="str">
        <f>REPLACE(INDEX(GroupVertices[Group],MATCH(Edges[[#This Row],[Vertex 1]],GroupVertices[Vertex],0)),1,1,"")</f>
        <v>1</v>
      </c>
      <c r="R2334" s="80" t="str">
        <f>REPLACE(INDEX(GroupVertices[Group],MATCH(Edges[[#This Row],[Vertex 2]],GroupVertices[Vertex],0)),1,1,"")</f>
        <v>1</v>
      </c>
      <c r="S2334" s="34"/>
      <c r="T2334" s="34"/>
      <c r="U2334" s="34"/>
      <c r="V2334" s="34"/>
      <c r="W2334" s="34"/>
      <c r="X2334" s="34"/>
      <c r="Y2334" s="34"/>
      <c r="Z2334" s="34"/>
      <c r="AA2334" s="34"/>
    </row>
    <row r="2335" spans="1:27" ht="15">
      <c r="A2335" s="66" t="s">
        <v>253</v>
      </c>
      <c r="B2335" s="66" t="s">
        <v>846</v>
      </c>
      <c r="C2335" s="67" t="s">
        <v>4454</v>
      </c>
      <c r="D2335" s="68">
        <v>5</v>
      </c>
      <c r="E2335" s="69"/>
      <c r="F2335" s="70">
        <v>20</v>
      </c>
      <c r="G2335" s="67"/>
      <c r="H2335" s="71"/>
      <c r="I2335" s="72"/>
      <c r="J2335" s="72"/>
      <c r="K2335" s="34" t="s">
        <v>65</v>
      </c>
      <c r="L2335" s="79">
        <v>2335</v>
      </c>
      <c r="M2335" s="79"/>
      <c r="N2335" s="74"/>
      <c r="O2335" s="81" t="s">
        <v>944</v>
      </c>
      <c r="P2335">
        <v>1</v>
      </c>
      <c r="Q2335" s="80" t="str">
        <f>REPLACE(INDEX(GroupVertices[Group],MATCH(Edges[[#This Row],[Vertex 1]],GroupVertices[Vertex],0)),1,1,"")</f>
        <v>1</v>
      </c>
      <c r="R2335" s="80" t="str">
        <f>REPLACE(INDEX(GroupVertices[Group],MATCH(Edges[[#This Row],[Vertex 2]],GroupVertices[Vertex],0)),1,1,"")</f>
        <v>1</v>
      </c>
      <c r="S2335" s="34"/>
      <c r="T2335" s="34"/>
      <c r="U2335" s="34"/>
      <c r="V2335" s="34"/>
      <c r="W2335" s="34"/>
      <c r="X2335" s="34"/>
      <c r="Y2335" s="34"/>
      <c r="Z2335" s="34"/>
      <c r="AA2335" s="34"/>
    </row>
    <row r="2336" spans="1:27" ht="15">
      <c r="A2336" s="66" t="s">
        <v>254</v>
      </c>
      <c r="B2336" s="66" t="s">
        <v>846</v>
      </c>
      <c r="C2336" s="67" t="s">
        <v>4454</v>
      </c>
      <c r="D2336" s="68">
        <v>5</v>
      </c>
      <c r="E2336" s="69"/>
      <c r="F2336" s="70">
        <v>20</v>
      </c>
      <c r="G2336" s="67"/>
      <c r="H2336" s="71"/>
      <c r="I2336" s="72"/>
      <c r="J2336" s="72"/>
      <c r="K2336" s="34" t="s">
        <v>65</v>
      </c>
      <c r="L2336" s="79">
        <v>2336</v>
      </c>
      <c r="M2336" s="79"/>
      <c r="N2336" s="74"/>
      <c r="O2336" s="81" t="s">
        <v>944</v>
      </c>
      <c r="P2336">
        <v>1</v>
      </c>
      <c r="Q2336" s="80" t="str">
        <f>REPLACE(INDEX(GroupVertices[Group],MATCH(Edges[[#This Row],[Vertex 1]],GroupVertices[Vertex],0)),1,1,"")</f>
        <v>3</v>
      </c>
      <c r="R2336" s="80" t="str">
        <f>REPLACE(INDEX(GroupVertices[Group],MATCH(Edges[[#This Row],[Vertex 2]],GroupVertices[Vertex],0)),1,1,"")</f>
        <v>1</v>
      </c>
      <c r="S2336" s="34"/>
      <c r="T2336" s="34"/>
      <c r="U2336" s="34"/>
      <c r="V2336" s="34"/>
      <c r="W2336" s="34"/>
      <c r="X2336" s="34"/>
      <c r="Y2336" s="34"/>
      <c r="Z2336" s="34"/>
      <c r="AA2336" s="34"/>
    </row>
    <row r="2337" spans="1:27" ht="15">
      <c r="A2337" s="66" t="s">
        <v>258</v>
      </c>
      <c r="B2337" s="66" t="s">
        <v>846</v>
      </c>
      <c r="C2337" s="67" t="s">
        <v>4454</v>
      </c>
      <c r="D2337" s="68">
        <v>5</v>
      </c>
      <c r="E2337" s="69"/>
      <c r="F2337" s="70">
        <v>20</v>
      </c>
      <c r="G2337" s="67"/>
      <c r="H2337" s="71"/>
      <c r="I2337" s="72"/>
      <c r="J2337" s="72"/>
      <c r="K2337" s="34" t="s">
        <v>65</v>
      </c>
      <c r="L2337" s="79">
        <v>2337</v>
      </c>
      <c r="M2337" s="79"/>
      <c r="N2337" s="74"/>
      <c r="O2337" s="81" t="s">
        <v>944</v>
      </c>
      <c r="P2337">
        <v>1</v>
      </c>
      <c r="Q2337" s="80" t="str">
        <f>REPLACE(INDEX(GroupVertices[Group],MATCH(Edges[[#This Row],[Vertex 1]],GroupVertices[Vertex],0)),1,1,"")</f>
        <v>1</v>
      </c>
      <c r="R2337" s="80" t="str">
        <f>REPLACE(INDEX(GroupVertices[Group],MATCH(Edges[[#This Row],[Vertex 2]],GroupVertices[Vertex],0)),1,1,"")</f>
        <v>1</v>
      </c>
      <c r="S2337" s="34"/>
      <c r="T2337" s="34"/>
      <c r="U2337" s="34"/>
      <c r="V2337" s="34"/>
      <c r="W2337" s="34"/>
      <c r="X2337" s="34"/>
      <c r="Y2337" s="34"/>
      <c r="Z2337" s="34"/>
      <c r="AA2337" s="34"/>
    </row>
    <row r="2338" spans="1:27" ht="15">
      <c r="A2338" s="66" t="s">
        <v>261</v>
      </c>
      <c r="B2338" s="66" t="s">
        <v>846</v>
      </c>
      <c r="C2338" s="67" t="s">
        <v>4454</v>
      </c>
      <c r="D2338" s="68">
        <v>5</v>
      </c>
      <c r="E2338" s="69"/>
      <c r="F2338" s="70">
        <v>20</v>
      </c>
      <c r="G2338" s="67"/>
      <c r="H2338" s="71"/>
      <c r="I2338" s="72"/>
      <c r="J2338" s="72"/>
      <c r="K2338" s="34" t="s">
        <v>65</v>
      </c>
      <c r="L2338" s="79">
        <v>2338</v>
      </c>
      <c r="M2338" s="79"/>
      <c r="N2338" s="74"/>
      <c r="O2338" s="81" t="s">
        <v>944</v>
      </c>
      <c r="P2338">
        <v>1</v>
      </c>
      <c r="Q2338" s="80" t="str">
        <f>REPLACE(INDEX(GroupVertices[Group],MATCH(Edges[[#This Row],[Vertex 1]],GroupVertices[Vertex],0)),1,1,"")</f>
        <v>1</v>
      </c>
      <c r="R2338" s="80" t="str">
        <f>REPLACE(INDEX(GroupVertices[Group],MATCH(Edges[[#This Row],[Vertex 2]],GroupVertices[Vertex],0)),1,1,"")</f>
        <v>1</v>
      </c>
      <c r="S2338" s="34"/>
      <c r="T2338" s="34"/>
      <c r="U2338" s="34"/>
      <c r="V2338" s="34"/>
      <c r="W2338" s="34"/>
      <c r="X2338" s="34"/>
      <c r="Y2338" s="34"/>
      <c r="Z2338" s="34"/>
      <c r="AA2338" s="34"/>
    </row>
    <row r="2339" spans="1:27" ht="15">
      <c r="A2339" s="66" t="s">
        <v>232</v>
      </c>
      <c r="B2339" s="66" t="s">
        <v>248</v>
      </c>
      <c r="C2339" s="67" t="s">
        <v>4454</v>
      </c>
      <c r="D2339" s="68">
        <v>5</v>
      </c>
      <c r="E2339" s="69"/>
      <c r="F2339" s="70">
        <v>20</v>
      </c>
      <c r="G2339" s="67"/>
      <c r="H2339" s="71"/>
      <c r="I2339" s="72"/>
      <c r="J2339" s="72"/>
      <c r="K2339" s="34" t="s">
        <v>66</v>
      </c>
      <c r="L2339" s="79">
        <v>2339</v>
      </c>
      <c r="M2339" s="79"/>
      <c r="N2339" s="74"/>
      <c r="O2339" s="81" t="s">
        <v>944</v>
      </c>
      <c r="P2339">
        <v>1</v>
      </c>
      <c r="Q2339" s="80" t="str">
        <f>REPLACE(INDEX(GroupVertices[Group],MATCH(Edges[[#This Row],[Vertex 1]],GroupVertices[Vertex],0)),1,1,"")</f>
        <v>1</v>
      </c>
      <c r="R2339" s="80" t="str">
        <f>REPLACE(INDEX(GroupVertices[Group],MATCH(Edges[[#This Row],[Vertex 2]],GroupVertices[Vertex],0)),1,1,"")</f>
        <v>1</v>
      </c>
      <c r="S2339" s="34"/>
      <c r="T2339" s="34"/>
      <c r="U2339" s="34"/>
      <c r="V2339" s="34"/>
      <c r="W2339" s="34"/>
      <c r="X2339" s="34"/>
      <c r="Y2339" s="34"/>
      <c r="Z2339" s="34"/>
      <c r="AA2339" s="34"/>
    </row>
    <row r="2340" spans="1:27" ht="15">
      <c r="A2340" s="66" t="s">
        <v>248</v>
      </c>
      <c r="B2340" s="66" t="s">
        <v>616</v>
      </c>
      <c r="C2340" s="67" t="s">
        <v>4454</v>
      </c>
      <c r="D2340" s="68">
        <v>5</v>
      </c>
      <c r="E2340" s="69"/>
      <c r="F2340" s="70">
        <v>20</v>
      </c>
      <c r="G2340" s="67"/>
      <c r="H2340" s="71"/>
      <c r="I2340" s="72"/>
      <c r="J2340" s="72"/>
      <c r="K2340" s="34" t="s">
        <v>65</v>
      </c>
      <c r="L2340" s="79">
        <v>2340</v>
      </c>
      <c r="M2340" s="79"/>
      <c r="N2340" s="74"/>
      <c r="O2340" s="81" t="s">
        <v>944</v>
      </c>
      <c r="P2340">
        <v>1</v>
      </c>
      <c r="Q2340" s="80" t="str">
        <f>REPLACE(INDEX(GroupVertices[Group],MATCH(Edges[[#This Row],[Vertex 1]],GroupVertices[Vertex],0)),1,1,"")</f>
        <v>1</v>
      </c>
      <c r="R2340" s="80" t="str">
        <f>REPLACE(INDEX(GroupVertices[Group],MATCH(Edges[[#This Row],[Vertex 2]],GroupVertices[Vertex],0)),1,1,"")</f>
        <v>1</v>
      </c>
      <c r="S2340" s="34"/>
      <c r="T2340" s="34"/>
      <c r="U2340" s="34"/>
      <c r="V2340" s="34"/>
      <c r="W2340" s="34"/>
      <c r="X2340" s="34"/>
      <c r="Y2340" s="34"/>
      <c r="Z2340" s="34"/>
      <c r="AA2340" s="34"/>
    </row>
    <row r="2341" spans="1:27" ht="15">
      <c r="A2341" s="66" t="s">
        <v>248</v>
      </c>
      <c r="B2341" s="66" t="s">
        <v>261</v>
      </c>
      <c r="C2341" s="67" t="s">
        <v>4454</v>
      </c>
      <c r="D2341" s="68">
        <v>5</v>
      </c>
      <c r="E2341" s="69"/>
      <c r="F2341" s="70">
        <v>20</v>
      </c>
      <c r="G2341" s="67"/>
      <c r="H2341" s="71"/>
      <c r="I2341" s="72"/>
      <c r="J2341" s="72"/>
      <c r="K2341" s="34" t="s">
        <v>66</v>
      </c>
      <c r="L2341" s="79">
        <v>2341</v>
      </c>
      <c r="M2341" s="79"/>
      <c r="N2341" s="74"/>
      <c r="O2341" s="81" t="s">
        <v>944</v>
      </c>
      <c r="P2341">
        <v>1</v>
      </c>
      <c r="Q2341" s="80" t="str">
        <f>REPLACE(INDEX(GroupVertices[Group],MATCH(Edges[[#This Row],[Vertex 1]],GroupVertices[Vertex],0)),1,1,"")</f>
        <v>1</v>
      </c>
      <c r="R2341" s="80" t="str">
        <f>REPLACE(INDEX(GroupVertices[Group],MATCH(Edges[[#This Row],[Vertex 2]],GroupVertices[Vertex],0)),1,1,"")</f>
        <v>1</v>
      </c>
      <c r="S2341" s="34"/>
      <c r="T2341" s="34"/>
      <c r="U2341" s="34"/>
      <c r="V2341" s="34"/>
      <c r="W2341" s="34"/>
      <c r="X2341" s="34"/>
      <c r="Y2341" s="34"/>
      <c r="Z2341" s="34"/>
      <c r="AA2341" s="34"/>
    </row>
    <row r="2342" spans="1:27" ht="15">
      <c r="A2342" s="66" t="s">
        <v>248</v>
      </c>
      <c r="B2342" s="66" t="s">
        <v>254</v>
      </c>
      <c r="C2342" s="67" t="s">
        <v>4454</v>
      </c>
      <c r="D2342" s="68">
        <v>5</v>
      </c>
      <c r="E2342" s="69"/>
      <c r="F2342" s="70">
        <v>20</v>
      </c>
      <c r="G2342" s="67"/>
      <c r="H2342" s="71"/>
      <c r="I2342" s="72"/>
      <c r="J2342" s="72"/>
      <c r="K2342" s="34" t="s">
        <v>66</v>
      </c>
      <c r="L2342" s="79">
        <v>2342</v>
      </c>
      <c r="M2342" s="79"/>
      <c r="N2342" s="74"/>
      <c r="O2342" s="81" t="s">
        <v>944</v>
      </c>
      <c r="P2342">
        <v>1</v>
      </c>
      <c r="Q2342" s="80" t="str">
        <f>REPLACE(INDEX(GroupVertices[Group],MATCH(Edges[[#This Row],[Vertex 1]],GroupVertices[Vertex],0)),1,1,"")</f>
        <v>1</v>
      </c>
      <c r="R2342" s="80" t="str">
        <f>REPLACE(INDEX(GroupVertices[Group],MATCH(Edges[[#This Row],[Vertex 2]],GroupVertices[Vertex],0)),1,1,"")</f>
        <v>3</v>
      </c>
      <c r="S2342" s="34"/>
      <c r="T2342" s="34"/>
      <c r="U2342" s="34"/>
      <c r="V2342" s="34"/>
      <c r="W2342" s="34"/>
      <c r="X2342" s="34"/>
      <c r="Y2342" s="34"/>
      <c r="Z2342" s="34"/>
      <c r="AA2342" s="34"/>
    </row>
    <row r="2343" spans="1:27" ht="15">
      <c r="A2343" s="66" t="s">
        <v>248</v>
      </c>
      <c r="B2343" s="66" t="s">
        <v>252</v>
      </c>
      <c r="C2343" s="67" t="s">
        <v>4454</v>
      </c>
      <c r="D2343" s="68">
        <v>5</v>
      </c>
      <c r="E2343" s="69"/>
      <c r="F2343" s="70">
        <v>20</v>
      </c>
      <c r="G2343" s="67"/>
      <c r="H2343" s="71"/>
      <c r="I2343" s="72"/>
      <c r="J2343" s="72"/>
      <c r="K2343" s="34" t="s">
        <v>66</v>
      </c>
      <c r="L2343" s="79">
        <v>2343</v>
      </c>
      <c r="M2343" s="79"/>
      <c r="N2343" s="74"/>
      <c r="O2343" s="81" t="s">
        <v>944</v>
      </c>
      <c r="P2343">
        <v>1</v>
      </c>
      <c r="Q2343" s="80" t="str">
        <f>REPLACE(INDEX(GroupVertices[Group],MATCH(Edges[[#This Row],[Vertex 1]],GroupVertices[Vertex],0)),1,1,"")</f>
        <v>1</v>
      </c>
      <c r="R2343" s="80" t="str">
        <f>REPLACE(INDEX(GroupVertices[Group],MATCH(Edges[[#This Row],[Vertex 2]],GroupVertices[Vertex],0)),1,1,"")</f>
        <v>1</v>
      </c>
      <c r="S2343" s="34"/>
      <c r="T2343" s="34"/>
      <c r="U2343" s="34"/>
      <c r="V2343" s="34"/>
      <c r="W2343" s="34"/>
      <c r="X2343" s="34"/>
      <c r="Y2343" s="34"/>
      <c r="Z2343" s="34"/>
      <c r="AA2343" s="34"/>
    </row>
    <row r="2344" spans="1:27" ht="15">
      <c r="A2344" s="66" t="s">
        <v>248</v>
      </c>
      <c r="B2344" s="66" t="s">
        <v>736</v>
      </c>
      <c r="C2344" s="67" t="s">
        <v>4454</v>
      </c>
      <c r="D2344" s="68">
        <v>5</v>
      </c>
      <c r="E2344" s="69"/>
      <c r="F2344" s="70">
        <v>20</v>
      </c>
      <c r="G2344" s="67"/>
      <c r="H2344" s="71"/>
      <c r="I2344" s="72"/>
      <c r="J2344" s="72"/>
      <c r="K2344" s="34" t="s">
        <v>65</v>
      </c>
      <c r="L2344" s="79">
        <v>2344</v>
      </c>
      <c r="M2344" s="79"/>
      <c r="N2344" s="74"/>
      <c r="O2344" s="81" t="s">
        <v>944</v>
      </c>
      <c r="P2344">
        <v>1</v>
      </c>
      <c r="Q2344" s="80" t="str">
        <f>REPLACE(INDEX(GroupVertices[Group],MATCH(Edges[[#This Row],[Vertex 1]],GroupVertices[Vertex],0)),1,1,"")</f>
        <v>1</v>
      </c>
      <c r="R2344" s="80" t="str">
        <f>REPLACE(INDEX(GroupVertices[Group],MATCH(Edges[[#This Row],[Vertex 2]],GroupVertices[Vertex],0)),1,1,"")</f>
        <v>1</v>
      </c>
      <c r="S2344" s="34"/>
      <c r="T2344" s="34"/>
      <c r="U2344" s="34"/>
      <c r="V2344" s="34"/>
      <c r="W2344" s="34"/>
      <c r="X2344" s="34"/>
      <c r="Y2344" s="34"/>
      <c r="Z2344" s="34"/>
      <c r="AA2344" s="34"/>
    </row>
    <row r="2345" spans="1:27" ht="15">
      <c r="A2345" s="66" t="s">
        <v>248</v>
      </c>
      <c r="B2345" s="66" t="s">
        <v>253</v>
      </c>
      <c r="C2345" s="67" t="s">
        <v>4454</v>
      </c>
      <c r="D2345" s="68">
        <v>5</v>
      </c>
      <c r="E2345" s="69"/>
      <c r="F2345" s="70">
        <v>20</v>
      </c>
      <c r="G2345" s="67"/>
      <c r="H2345" s="71"/>
      <c r="I2345" s="72"/>
      <c r="J2345" s="72"/>
      <c r="K2345" s="34" t="s">
        <v>65</v>
      </c>
      <c r="L2345" s="79">
        <v>2345</v>
      </c>
      <c r="M2345" s="79"/>
      <c r="N2345" s="74"/>
      <c r="O2345" s="81" t="s">
        <v>944</v>
      </c>
      <c r="P2345">
        <v>1</v>
      </c>
      <c r="Q2345" s="80" t="str">
        <f>REPLACE(INDEX(GroupVertices[Group],MATCH(Edges[[#This Row],[Vertex 1]],GroupVertices[Vertex],0)),1,1,"")</f>
        <v>1</v>
      </c>
      <c r="R2345" s="80" t="str">
        <f>REPLACE(INDEX(GroupVertices[Group],MATCH(Edges[[#This Row],[Vertex 2]],GroupVertices[Vertex],0)),1,1,"")</f>
        <v>1</v>
      </c>
      <c r="S2345" s="34"/>
      <c r="T2345" s="34"/>
      <c r="U2345" s="34"/>
      <c r="V2345" s="34"/>
      <c r="W2345" s="34"/>
      <c r="X2345" s="34"/>
      <c r="Y2345" s="34"/>
      <c r="Z2345" s="34"/>
      <c r="AA2345" s="34"/>
    </row>
    <row r="2346" spans="1:27" ht="15">
      <c r="A2346" s="66" t="s">
        <v>248</v>
      </c>
      <c r="B2346" s="66" t="s">
        <v>232</v>
      </c>
      <c r="C2346" s="67" t="s">
        <v>4454</v>
      </c>
      <c r="D2346" s="68">
        <v>5</v>
      </c>
      <c r="E2346" s="69"/>
      <c r="F2346" s="70">
        <v>20</v>
      </c>
      <c r="G2346" s="67"/>
      <c r="H2346" s="71"/>
      <c r="I2346" s="72"/>
      <c r="J2346" s="72"/>
      <c r="K2346" s="34" t="s">
        <v>66</v>
      </c>
      <c r="L2346" s="79">
        <v>2346</v>
      </c>
      <c r="M2346" s="79"/>
      <c r="N2346" s="74"/>
      <c r="O2346" s="81" t="s">
        <v>944</v>
      </c>
      <c r="P2346">
        <v>1</v>
      </c>
      <c r="Q2346" s="80" t="str">
        <f>REPLACE(INDEX(GroupVertices[Group],MATCH(Edges[[#This Row],[Vertex 1]],GroupVertices[Vertex],0)),1,1,"")</f>
        <v>1</v>
      </c>
      <c r="R2346" s="80" t="str">
        <f>REPLACE(INDEX(GroupVertices[Group],MATCH(Edges[[#This Row],[Vertex 2]],GroupVertices[Vertex],0)),1,1,"")</f>
        <v>1</v>
      </c>
      <c r="S2346" s="34"/>
      <c r="T2346" s="34"/>
      <c r="U2346" s="34"/>
      <c r="V2346" s="34"/>
      <c r="W2346" s="34"/>
      <c r="X2346" s="34"/>
      <c r="Y2346" s="34"/>
      <c r="Z2346" s="34"/>
      <c r="AA2346" s="34"/>
    </row>
    <row r="2347" spans="1:27" ht="15">
      <c r="A2347" s="66" t="s">
        <v>252</v>
      </c>
      <c r="B2347" s="66" t="s">
        <v>248</v>
      </c>
      <c r="C2347" s="67" t="s">
        <v>4454</v>
      </c>
      <c r="D2347" s="68">
        <v>5</v>
      </c>
      <c r="E2347" s="69"/>
      <c r="F2347" s="70">
        <v>20</v>
      </c>
      <c r="G2347" s="67"/>
      <c r="H2347" s="71"/>
      <c r="I2347" s="72"/>
      <c r="J2347" s="72"/>
      <c r="K2347" s="34" t="s">
        <v>66</v>
      </c>
      <c r="L2347" s="79">
        <v>2347</v>
      </c>
      <c r="M2347" s="79"/>
      <c r="N2347" s="74"/>
      <c r="O2347" s="81" t="s">
        <v>944</v>
      </c>
      <c r="P2347">
        <v>1</v>
      </c>
      <c r="Q2347" s="80" t="str">
        <f>REPLACE(INDEX(GroupVertices[Group],MATCH(Edges[[#This Row],[Vertex 1]],GroupVertices[Vertex],0)),1,1,"")</f>
        <v>1</v>
      </c>
      <c r="R2347" s="80" t="str">
        <f>REPLACE(INDEX(GroupVertices[Group],MATCH(Edges[[#This Row],[Vertex 2]],GroupVertices[Vertex],0)),1,1,"")</f>
        <v>1</v>
      </c>
      <c r="S2347" s="34"/>
      <c r="T2347" s="34"/>
      <c r="U2347" s="34"/>
      <c r="V2347" s="34"/>
      <c r="W2347" s="34"/>
      <c r="X2347" s="34"/>
      <c r="Y2347" s="34"/>
      <c r="Z2347" s="34"/>
      <c r="AA2347" s="34"/>
    </row>
    <row r="2348" spans="1:27" ht="15">
      <c r="A2348" s="66" t="s">
        <v>254</v>
      </c>
      <c r="B2348" s="66" t="s">
        <v>248</v>
      </c>
      <c r="C2348" s="67" t="s">
        <v>4454</v>
      </c>
      <c r="D2348" s="68">
        <v>5</v>
      </c>
      <c r="E2348" s="69"/>
      <c r="F2348" s="70">
        <v>20</v>
      </c>
      <c r="G2348" s="67"/>
      <c r="H2348" s="71"/>
      <c r="I2348" s="72"/>
      <c r="J2348" s="72"/>
      <c r="K2348" s="34" t="s">
        <v>66</v>
      </c>
      <c r="L2348" s="79">
        <v>2348</v>
      </c>
      <c r="M2348" s="79"/>
      <c r="N2348" s="74"/>
      <c r="O2348" s="81" t="s">
        <v>944</v>
      </c>
      <c r="P2348">
        <v>1</v>
      </c>
      <c r="Q2348" s="80" t="str">
        <f>REPLACE(INDEX(GroupVertices[Group],MATCH(Edges[[#This Row],[Vertex 1]],GroupVertices[Vertex],0)),1,1,"")</f>
        <v>3</v>
      </c>
      <c r="R2348" s="80" t="str">
        <f>REPLACE(INDEX(GroupVertices[Group],MATCH(Edges[[#This Row],[Vertex 2]],GroupVertices[Vertex],0)),1,1,"")</f>
        <v>1</v>
      </c>
      <c r="S2348" s="34"/>
      <c r="T2348" s="34"/>
      <c r="U2348" s="34"/>
      <c r="V2348" s="34"/>
      <c r="W2348" s="34"/>
      <c r="X2348" s="34"/>
      <c r="Y2348" s="34"/>
      <c r="Z2348" s="34"/>
      <c r="AA2348" s="34"/>
    </row>
    <row r="2349" spans="1:27" ht="15">
      <c r="A2349" s="66" t="s">
        <v>258</v>
      </c>
      <c r="B2349" s="66" t="s">
        <v>248</v>
      </c>
      <c r="C2349" s="67" t="s">
        <v>4454</v>
      </c>
      <c r="D2349" s="68">
        <v>5</v>
      </c>
      <c r="E2349" s="69"/>
      <c r="F2349" s="70">
        <v>20</v>
      </c>
      <c r="G2349" s="67"/>
      <c r="H2349" s="71"/>
      <c r="I2349" s="72"/>
      <c r="J2349" s="72"/>
      <c r="K2349" s="34" t="s">
        <v>65</v>
      </c>
      <c r="L2349" s="79">
        <v>2349</v>
      </c>
      <c r="M2349" s="79"/>
      <c r="N2349" s="74"/>
      <c r="O2349" s="81" t="s">
        <v>944</v>
      </c>
      <c r="P2349">
        <v>1</v>
      </c>
      <c r="Q2349" s="80" t="str">
        <f>REPLACE(INDEX(GroupVertices[Group],MATCH(Edges[[#This Row],[Vertex 1]],GroupVertices[Vertex],0)),1,1,"")</f>
        <v>1</v>
      </c>
      <c r="R2349" s="80" t="str">
        <f>REPLACE(INDEX(GroupVertices[Group],MATCH(Edges[[#This Row],[Vertex 2]],GroupVertices[Vertex],0)),1,1,"")</f>
        <v>1</v>
      </c>
      <c r="S2349" s="34"/>
      <c r="T2349" s="34"/>
      <c r="U2349" s="34"/>
      <c r="V2349" s="34"/>
      <c r="W2349" s="34"/>
      <c r="X2349" s="34"/>
      <c r="Y2349" s="34"/>
      <c r="Z2349" s="34"/>
      <c r="AA2349" s="34"/>
    </row>
    <row r="2350" spans="1:27" ht="15">
      <c r="A2350" s="66" t="s">
        <v>261</v>
      </c>
      <c r="B2350" s="66" t="s">
        <v>248</v>
      </c>
      <c r="C2350" s="67" t="s">
        <v>4454</v>
      </c>
      <c r="D2350" s="68">
        <v>5</v>
      </c>
      <c r="E2350" s="69"/>
      <c r="F2350" s="70">
        <v>20</v>
      </c>
      <c r="G2350" s="67"/>
      <c r="H2350" s="71"/>
      <c r="I2350" s="72"/>
      <c r="J2350" s="72"/>
      <c r="K2350" s="34" t="s">
        <v>66</v>
      </c>
      <c r="L2350" s="79">
        <v>2350</v>
      </c>
      <c r="M2350" s="79"/>
      <c r="N2350" s="74"/>
      <c r="O2350" s="81" t="s">
        <v>944</v>
      </c>
      <c r="P2350">
        <v>1</v>
      </c>
      <c r="Q2350" s="80" t="str">
        <f>REPLACE(INDEX(GroupVertices[Group],MATCH(Edges[[#This Row],[Vertex 1]],GroupVertices[Vertex],0)),1,1,"")</f>
        <v>1</v>
      </c>
      <c r="R2350" s="80" t="str">
        <f>REPLACE(INDEX(GroupVertices[Group],MATCH(Edges[[#This Row],[Vertex 2]],GroupVertices[Vertex],0)),1,1,"")</f>
        <v>1</v>
      </c>
      <c r="S2350" s="34"/>
      <c r="T2350" s="34"/>
      <c r="U2350" s="34"/>
      <c r="V2350" s="34"/>
      <c r="W2350" s="34"/>
      <c r="X2350" s="34"/>
      <c r="Y2350" s="34"/>
      <c r="Z2350" s="34"/>
      <c r="AA2350" s="34"/>
    </row>
    <row r="2351" spans="1:27" ht="15">
      <c r="A2351" s="66" t="s">
        <v>254</v>
      </c>
      <c r="B2351" s="66" t="s">
        <v>618</v>
      </c>
      <c r="C2351" s="67" t="s">
        <v>4454</v>
      </c>
      <c r="D2351" s="68">
        <v>5</v>
      </c>
      <c r="E2351" s="69"/>
      <c r="F2351" s="70">
        <v>20</v>
      </c>
      <c r="G2351" s="67"/>
      <c r="H2351" s="71"/>
      <c r="I2351" s="72"/>
      <c r="J2351" s="72"/>
      <c r="K2351" s="34" t="s">
        <v>65</v>
      </c>
      <c r="L2351" s="79">
        <v>2351</v>
      </c>
      <c r="M2351" s="79"/>
      <c r="N2351" s="74"/>
      <c r="O2351" s="81" t="s">
        <v>944</v>
      </c>
      <c r="P2351">
        <v>1</v>
      </c>
      <c r="Q2351" s="80" t="str">
        <f>REPLACE(INDEX(GroupVertices[Group],MATCH(Edges[[#This Row],[Vertex 1]],GroupVertices[Vertex],0)),1,1,"")</f>
        <v>3</v>
      </c>
      <c r="R2351" s="80" t="str">
        <f>REPLACE(INDEX(GroupVertices[Group],MATCH(Edges[[#This Row],[Vertex 2]],GroupVertices[Vertex],0)),1,1,"")</f>
        <v>1</v>
      </c>
      <c r="S2351" s="34"/>
      <c r="T2351" s="34"/>
      <c r="U2351" s="34"/>
      <c r="V2351" s="34"/>
      <c r="W2351" s="34"/>
      <c r="X2351" s="34"/>
      <c r="Y2351" s="34"/>
      <c r="Z2351" s="34"/>
      <c r="AA2351" s="34"/>
    </row>
    <row r="2352" spans="1:27" ht="15">
      <c r="A2352" s="66" t="s">
        <v>261</v>
      </c>
      <c r="B2352" s="66" t="s">
        <v>618</v>
      </c>
      <c r="C2352" s="67" t="s">
        <v>4454</v>
      </c>
      <c r="D2352" s="68">
        <v>5</v>
      </c>
      <c r="E2352" s="69"/>
      <c r="F2352" s="70">
        <v>20</v>
      </c>
      <c r="G2352" s="67"/>
      <c r="H2352" s="71"/>
      <c r="I2352" s="72"/>
      <c r="J2352" s="72"/>
      <c r="K2352" s="34" t="s">
        <v>65</v>
      </c>
      <c r="L2352" s="79">
        <v>2352</v>
      </c>
      <c r="M2352" s="79"/>
      <c r="N2352" s="74"/>
      <c r="O2352" s="81" t="s">
        <v>944</v>
      </c>
      <c r="P2352">
        <v>1</v>
      </c>
      <c r="Q2352" s="80" t="str">
        <f>REPLACE(INDEX(GroupVertices[Group],MATCH(Edges[[#This Row],[Vertex 1]],GroupVertices[Vertex],0)),1,1,"")</f>
        <v>1</v>
      </c>
      <c r="R2352" s="80" t="str">
        <f>REPLACE(INDEX(GroupVertices[Group],MATCH(Edges[[#This Row],[Vertex 2]],GroupVertices[Vertex],0)),1,1,"")</f>
        <v>1</v>
      </c>
      <c r="S2352" s="34"/>
      <c r="T2352" s="34"/>
      <c r="U2352" s="34"/>
      <c r="V2352" s="34"/>
      <c r="W2352" s="34"/>
      <c r="X2352" s="34"/>
      <c r="Y2352" s="34"/>
      <c r="Z2352" s="34"/>
      <c r="AA2352" s="34"/>
    </row>
    <row r="2353" spans="1:27" ht="15">
      <c r="A2353" s="66" t="s">
        <v>253</v>
      </c>
      <c r="B2353" s="66" t="s">
        <v>924</v>
      </c>
      <c r="C2353" s="67" t="s">
        <v>4454</v>
      </c>
      <c r="D2353" s="68">
        <v>5</v>
      </c>
      <c r="E2353" s="69"/>
      <c r="F2353" s="70">
        <v>20</v>
      </c>
      <c r="G2353" s="67"/>
      <c r="H2353" s="71"/>
      <c r="I2353" s="72"/>
      <c r="J2353" s="72"/>
      <c r="K2353" s="34" t="s">
        <v>65</v>
      </c>
      <c r="L2353" s="79">
        <v>2353</v>
      </c>
      <c r="M2353" s="79"/>
      <c r="N2353" s="74"/>
      <c r="O2353" s="81" t="s">
        <v>944</v>
      </c>
      <c r="P2353">
        <v>1</v>
      </c>
      <c r="Q2353" s="80" t="str">
        <f>REPLACE(INDEX(GroupVertices[Group],MATCH(Edges[[#This Row],[Vertex 1]],GroupVertices[Vertex],0)),1,1,"")</f>
        <v>1</v>
      </c>
      <c r="R2353" s="80" t="str">
        <f>REPLACE(INDEX(GroupVertices[Group],MATCH(Edges[[#This Row],[Vertex 2]],GroupVertices[Vertex],0)),1,1,"")</f>
        <v>1</v>
      </c>
      <c r="S2353" s="34"/>
      <c r="T2353" s="34"/>
      <c r="U2353" s="34"/>
      <c r="V2353" s="34"/>
      <c r="W2353" s="34"/>
      <c r="X2353" s="34"/>
      <c r="Y2353" s="34"/>
      <c r="Z2353" s="34"/>
      <c r="AA2353" s="34"/>
    </row>
    <row r="2354" spans="1:27" ht="15">
      <c r="A2354" s="66" t="s">
        <v>261</v>
      </c>
      <c r="B2354" s="66" t="s">
        <v>924</v>
      </c>
      <c r="C2354" s="67" t="s">
        <v>4454</v>
      </c>
      <c r="D2354" s="68">
        <v>5</v>
      </c>
      <c r="E2354" s="69"/>
      <c r="F2354" s="70">
        <v>20</v>
      </c>
      <c r="G2354" s="67"/>
      <c r="H2354" s="71"/>
      <c r="I2354" s="72"/>
      <c r="J2354" s="72"/>
      <c r="K2354" s="34" t="s">
        <v>65</v>
      </c>
      <c r="L2354" s="79">
        <v>2354</v>
      </c>
      <c r="M2354" s="79"/>
      <c r="N2354" s="74"/>
      <c r="O2354" s="81" t="s">
        <v>944</v>
      </c>
      <c r="P2354">
        <v>1</v>
      </c>
      <c r="Q2354" s="80" t="str">
        <f>REPLACE(INDEX(GroupVertices[Group],MATCH(Edges[[#This Row],[Vertex 1]],GroupVertices[Vertex],0)),1,1,"")</f>
        <v>1</v>
      </c>
      <c r="R2354" s="80" t="str">
        <f>REPLACE(INDEX(GroupVertices[Group],MATCH(Edges[[#This Row],[Vertex 2]],GroupVertices[Vertex],0)),1,1,"")</f>
        <v>1</v>
      </c>
      <c r="S2354" s="34"/>
      <c r="T2354" s="34"/>
      <c r="U2354" s="34"/>
      <c r="V2354" s="34"/>
      <c r="W2354" s="34"/>
      <c r="X2354" s="34"/>
      <c r="Y2354" s="34"/>
      <c r="Z2354" s="34"/>
      <c r="AA2354" s="34"/>
    </row>
    <row r="2355" spans="1:27" ht="15">
      <c r="A2355" s="66" t="s">
        <v>249</v>
      </c>
      <c r="B2355" s="66" t="s">
        <v>258</v>
      </c>
      <c r="C2355" s="67" t="s">
        <v>4454</v>
      </c>
      <c r="D2355" s="68">
        <v>5</v>
      </c>
      <c r="E2355" s="69"/>
      <c r="F2355" s="70">
        <v>20</v>
      </c>
      <c r="G2355" s="67"/>
      <c r="H2355" s="71"/>
      <c r="I2355" s="72"/>
      <c r="J2355" s="72"/>
      <c r="K2355" s="34" t="s">
        <v>66</v>
      </c>
      <c r="L2355" s="79">
        <v>2355</v>
      </c>
      <c r="M2355" s="79"/>
      <c r="N2355" s="74"/>
      <c r="O2355" s="81" t="s">
        <v>944</v>
      </c>
      <c r="P2355">
        <v>1</v>
      </c>
      <c r="Q2355" s="80" t="str">
        <f>REPLACE(INDEX(GroupVertices[Group],MATCH(Edges[[#This Row],[Vertex 1]],GroupVertices[Vertex],0)),1,1,"")</f>
        <v>2</v>
      </c>
      <c r="R2355" s="80" t="str">
        <f>REPLACE(INDEX(GroupVertices[Group],MATCH(Edges[[#This Row],[Vertex 2]],GroupVertices[Vertex],0)),1,1,"")</f>
        <v>1</v>
      </c>
      <c r="S2355" s="34"/>
      <c r="T2355" s="34"/>
      <c r="U2355" s="34"/>
      <c r="V2355" s="34"/>
      <c r="W2355" s="34"/>
      <c r="X2355" s="34"/>
      <c r="Y2355" s="34"/>
      <c r="Z2355" s="34"/>
      <c r="AA2355" s="34"/>
    </row>
    <row r="2356" spans="1:27" ht="15">
      <c r="A2356" s="66" t="s">
        <v>249</v>
      </c>
      <c r="B2356" s="66" t="s">
        <v>256</v>
      </c>
      <c r="C2356" s="67" t="s">
        <v>4454</v>
      </c>
      <c r="D2356" s="68">
        <v>5</v>
      </c>
      <c r="E2356" s="69"/>
      <c r="F2356" s="70">
        <v>20</v>
      </c>
      <c r="G2356" s="67"/>
      <c r="H2356" s="71"/>
      <c r="I2356" s="72"/>
      <c r="J2356" s="72"/>
      <c r="K2356" s="34" t="s">
        <v>66</v>
      </c>
      <c r="L2356" s="79">
        <v>2356</v>
      </c>
      <c r="M2356" s="79"/>
      <c r="N2356" s="74"/>
      <c r="O2356" s="81" t="s">
        <v>944</v>
      </c>
      <c r="P2356">
        <v>1</v>
      </c>
      <c r="Q2356" s="80" t="str">
        <f>REPLACE(INDEX(GroupVertices[Group],MATCH(Edges[[#This Row],[Vertex 1]],GroupVertices[Vertex],0)),1,1,"")</f>
        <v>2</v>
      </c>
      <c r="R2356" s="80" t="str">
        <f>REPLACE(INDEX(GroupVertices[Group],MATCH(Edges[[#This Row],[Vertex 2]],GroupVertices[Vertex],0)),1,1,"")</f>
        <v>1</v>
      </c>
      <c r="S2356" s="34"/>
      <c r="T2356" s="34"/>
      <c r="U2356" s="34"/>
      <c r="V2356" s="34"/>
      <c r="W2356" s="34"/>
      <c r="X2356" s="34"/>
      <c r="Y2356" s="34"/>
      <c r="Z2356" s="34"/>
      <c r="AA2356" s="34"/>
    </row>
    <row r="2357" spans="1:27" ht="15">
      <c r="A2357" s="66" t="s">
        <v>249</v>
      </c>
      <c r="B2357" s="66" t="s">
        <v>252</v>
      </c>
      <c r="C2357" s="67" t="s">
        <v>4454</v>
      </c>
      <c r="D2357" s="68">
        <v>5</v>
      </c>
      <c r="E2357" s="69"/>
      <c r="F2357" s="70">
        <v>20</v>
      </c>
      <c r="G2357" s="67"/>
      <c r="H2357" s="71"/>
      <c r="I2357" s="72"/>
      <c r="J2357" s="72"/>
      <c r="K2357" s="34" t="s">
        <v>65</v>
      </c>
      <c r="L2357" s="79">
        <v>2357</v>
      </c>
      <c r="M2357" s="79"/>
      <c r="N2357" s="74"/>
      <c r="O2357" s="81" t="s">
        <v>944</v>
      </c>
      <c r="P2357">
        <v>1</v>
      </c>
      <c r="Q2357" s="80" t="str">
        <f>REPLACE(INDEX(GroupVertices[Group],MATCH(Edges[[#This Row],[Vertex 1]],GroupVertices[Vertex],0)),1,1,"")</f>
        <v>2</v>
      </c>
      <c r="R2357" s="80" t="str">
        <f>REPLACE(INDEX(GroupVertices[Group],MATCH(Edges[[#This Row],[Vertex 2]],GroupVertices[Vertex],0)),1,1,"")</f>
        <v>1</v>
      </c>
      <c r="S2357" s="34"/>
      <c r="T2357" s="34"/>
      <c r="U2357" s="34"/>
      <c r="V2357" s="34"/>
      <c r="W2357" s="34"/>
      <c r="X2357" s="34"/>
      <c r="Y2357" s="34"/>
      <c r="Z2357" s="34"/>
      <c r="AA2357" s="34"/>
    </row>
    <row r="2358" spans="1:27" ht="15">
      <c r="A2358" s="66" t="s">
        <v>249</v>
      </c>
      <c r="B2358" s="66" t="s">
        <v>485</v>
      </c>
      <c r="C2358" s="67" t="s">
        <v>4454</v>
      </c>
      <c r="D2358" s="68">
        <v>5</v>
      </c>
      <c r="E2358" s="69"/>
      <c r="F2358" s="70">
        <v>20</v>
      </c>
      <c r="G2358" s="67"/>
      <c r="H2358" s="71"/>
      <c r="I2358" s="72"/>
      <c r="J2358" s="72"/>
      <c r="K2358" s="34" t="s">
        <v>65</v>
      </c>
      <c r="L2358" s="79">
        <v>2358</v>
      </c>
      <c r="M2358" s="79"/>
      <c r="N2358" s="74"/>
      <c r="O2358" s="81" t="s">
        <v>944</v>
      </c>
      <c r="P2358">
        <v>1</v>
      </c>
      <c r="Q2358" s="80" t="str">
        <f>REPLACE(INDEX(GroupVertices[Group],MATCH(Edges[[#This Row],[Vertex 1]],GroupVertices[Vertex],0)),1,1,"")</f>
        <v>2</v>
      </c>
      <c r="R2358" s="80" t="str">
        <f>REPLACE(INDEX(GroupVertices[Group],MATCH(Edges[[#This Row],[Vertex 2]],GroupVertices[Vertex],0)),1,1,"")</f>
        <v>1</v>
      </c>
      <c r="S2358" s="34"/>
      <c r="T2358" s="34"/>
      <c r="U2358" s="34"/>
      <c r="V2358" s="34"/>
      <c r="W2358" s="34"/>
      <c r="X2358" s="34"/>
      <c r="Y2358" s="34"/>
      <c r="Z2358" s="34"/>
      <c r="AA2358" s="34"/>
    </row>
    <row r="2359" spans="1:27" ht="15">
      <c r="A2359" s="66" t="s">
        <v>249</v>
      </c>
      <c r="B2359" s="66" t="s">
        <v>253</v>
      </c>
      <c r="C2359" s="67" t="s">
        <v>4454</v>
      </c>
      <c r="D2359" s="68">
        <v>5</v>
      </c>
      <c r="E2359" s="69"/>
      <c r="F2359" s="70">
        <v>20</v>
      </c>
      <c r="G2359" s="67"/>
      <c r="H2359" s="71"/>
      <c r="I2359" s="72"/>
      <c r="J2359" s="72"/>
      <c r="K2359" s="34" t="s">
        <v>65</v>
      </c>
      <c r="L2359" s="79">
        <v>2359</v>
      </c>
      <c r="M2359" s="79"/>
      <c r="N2359" s="74"/>
      <c r="O2359" s="81" t="s">
        <v>944</v>
      </c>
      <c r="P2359">
        <v>1</v>
      </c>
      <c r="Q2359" s="80" t="str">
        <f>REPLACE(INDEX(GroupVertices[Group],MATCH(Edges[[#This Row],[Vertex 1]],GroupVertices[Vertex],0)),1,1,"")</f>
        <v>2</v>
      </c>
      <c r="R2359" s="80" t="str">
        <f>REPLACE(INDEX(GroupVertices[Group],MATCH(Edges[[#This Row],[Vertex 2]],GroupVertices[Vertex],0)),1,1,"")</f>
        <v>1</v>
      </c>
      <c r="S2359" s="34"/>
      <c r="T2359" s="34"/>
      <c r="U2359" s="34"/>
      <c r="V2359" s="34"/>
      <c r="W2359" s="34"/>
      <c r="X2359" s="34"/>
      <c r="Y2359" s="34"/>
      <c r="Z2359" s="34"/>
      <c r="AA2359" s="34"/>
    </row>
    <row r="2360" spans="1:27" ht="15">
      <c r="A2360" s="66" t="s">
        <v>249</v>
      </c>
      <c r="B2360" s="66" t="s">
        <v>232</v>
      </c>
      <c r="C2360" s="67" t="s">
        <v>4454</v>
      </c>
      <c r="D2360" s="68">
        <v>5</v>
      </c>
      <c r="E2360" s="69"/>
      <c r="F2360" s="70">
        <v>20</v>
      </c>
      <c r="G2360" s="67"/>
      <c r="H2360" s="71"/>
      <c r="I2360" s="72"/>
      <c r="J2360" s="72"/>
      <c r="K2360" s="34" t="s">
        <v>65</v>
      </c>
      <c r="L2360" s="79">
        <v>2360</v>
      </c>
      <c r="M2360" s="79"/>
      <c r="N2360" s="74"/>
      <c r="O2360" s="81" t="s">
        <v>944</v>
      </c>
      <c r="P2360">
        <v>1</v>
      </c>
      <c r="Q2360" s="80" t="str">
        <f>REPLACE(INDEX(GroupVertices[Group],MATCH(Edges[[#This Row],[Vertex 1]],GroupVertices[Vertex],0)),1,1,"")</f>
        <v>2</v>
      </c>
      <c r="R2360" s="80" t="str">
        <f>REPLACE(INDEX(GroupVertices[Group],MATCH(Edges[[#This Row],[Vertex 2]],GroupVertices[Vertex],0)),1,1,"")</f>
        <v>1</v>
      </c>
      <c r="S2360" s="34"/>
      <c r="T2360" s="34"/>
      <c r="U2360" s="34"/>
      <c r="V2360" s="34"/>
      <c r="W2360" s="34"/>
      <c r="X2360" s="34"/>
      <c r="Y2360" s="34"/>
      <c r="Z2360" s="34"/>
      <c r="AA2360" s="34"/>
    </row>
    <row r="2361" spans="1:27" ht="15">
      <c r="A2361" s="66" t="s">
        <v>249</v>
      </c>
      <c r="B2361" s="66" t="s">
        <v>259</v>
      </c>
      <c r="C2361" s="67" t="s">
        <v>4454</v>
      </c>
      <c r="D2361" s="68">
        <v>5</v>
      </c>
      <c r="E2361" s="69"/>
      <c r="F2361" s="70">
        <v>20</v>
      </c>
      <c r="G2361" s="67"/>
      <c r="H2361" s="71"/>
      <c r="I2361" s="72"/>
      <c r="J2361" s="72"/>
      <c r="K2361" s="34" t="s">
        <v>66</v>
      </c>
      <c r="L2361" s="79">
        <v>2361</v>
      </c>
      <c r="M2361" s="79"/>
      <c r="N2361" s="74"/>
      <c r="O2361" s="81" t="s">
        <v>944</v>
      </c>
      <c r="P2361">
        <v>1</v>
      </c>
      <c r="Q2361" s="80" t="str">
        <f>REPLACE(INDEX(GroupVertices[Group],MATCH(Edges[[#This Row],[Vertex 1]],GroupVertices[Vertex],0)),1,1,"")</f>
        <v>2</v>
      </c>
      <c r="R2361" s="80" t="str">
        <f>REPLACE(INDEX(GroupVertices[Group],MATCH(Edges[[#This Row],[Vertex 2]],GroupVertices[Vertex],0)),1,1,"")</f>
        <v>2</v>
      </c>
      <c r="S2361" s="34"/>
      <c r="T2361" s="34"/>
      <c r="U2361" s="34"/>
      <c r="V2361" s="34"/>
      <c r="W2361" s="34"/>
      <c r="X2361" s="34"/>
      <c r="Y2361" s="34"/>
      <c r="Z2361" s="34"/>
      <c r="AA2361" s="34"/>
    </row>
    <row r="2362" spans="1:27" ht="15">
      <c r="A2362" s="66" t="s">
        <v>249</v>
      </c>
      <c r="B2362" s="66" t="s">
        <v>254</v>
      </c>
      <c r="C2362" s="67" t="s">
        <v>4454</v>
      </c>
      <c r="D2362" s="68">
        <v>5</v>
      </c>
      <c r="E2362" s="69"/>
      <c r="F2362" s="70">
        <v>20</v>
      </c>
      <c r="G2362" s="67"/>
      <c r="H2362" s="71"/>
      <c r="I2362" s="72"/>
      <c r="J2362" s="72"/>
      <c r="K2362" s="34" t="s">
        <v>65</v>
      </c>
      <c r="L2362" s="79">
        <v>2362</v>
      </c>
      <c r="M2362" s="79"/>
      <c r="N2362" s="74"/>
      <c r="O2362" s="81" t="s">
        <v>944</v>
      </c>
      <c r="P2362">
        <v>1</v>
      </c>
      <c r="Q2362" s="80" t="str">
        <f>REPLACE(INDEX(GroupVertices[Group],MATCH(Edges[[#This Row],[Vertex 1]],GroupVertices[Vertex],0)),1,1,"")</f>
        <v>2</v>
      </c>
      <c r="R2362" s="80" t="str">
        <f>REPLACE(INDEX(GroupVertices[Group],MATCH(Edges[[#This Row],[Vertex 2]],GroupVertices[Vertex],0)),1,1,"")</f>
        <v>3</v>
      </c>
      <c r="S2362" s="34"/>
      <c r="T2362" s="34"/>
      <c r="U2362" s="34"/>
      <c r="V2362" s="34"/>
      <c r="W2362" s="34"/>
      <c r="X2362" s="34"/>
      <c r="Y2362" s="34"/>
      <c r="Z2362" s="34"/>
      <c r="AA2362" s="34"/>
    </row>
    <row r="2363" spans="1:27" ht="15">
      <c r="A2363" s="66" t="s">
        <v>249</v>
      </c>
      <c r="B2363" s="66" t="s">
        <v>261</v>
      </c>
      <c r="C2363" s="67" t="s">
        <v>4454</v>
      </c>
      <c r="D2363" s="68">
        <v>5</v>
      </c>
      <c r="E2363" s="69"/>
      <c r="F2363" s="70">
        <v>20</v>
      </c>
      <c r="G2363" s="67"/>
      <c r="H2363" s="71"/>
      <c r="I2363" s="72"/>
      <c r="J2363" s="72"/>
      <c r="K2363" s="34" t="s">
        <v>66</v>
      </c>
      <c r="L2363" s="79">
        <v>2363</v>
      </c>
      <c r="M2363" s="79"/>
      <c r="N2363" s="74"/>
      <c r="O2363" s="81" t="s">
        <v>944</v>
      </c>
      <c r="P2363">
        <v>1</v>
      </c>
      <c r="Q2363" s="80" t="str">
        <f>REPLACE(INDEX(GroupVertices[Group],MATCH(Edges[[#This Row],[Vertex 1]],GroupVertices[Vertex],0)),1,1,"")</f>
        <v>2</v>
      </c>
      <c r="R2363" s="80" t="str">
        <f>REPLACE(INDEX(GroupVertices[Group],MATCH(Edges[[#This Row],[Vertex 2]],GroupVertices[Vertex],0)),1,1,"")</f>
        <v>1</v>
      </c>
      <c r="S2363" s="34"/>
      <c r="T2363" s="34"/>
      <c r="U2363" s="34"/>
      <c r="V2363" s="34"/>
      <c r="W2363" s="34"/>
      <c r="X2363" s="34"/>
      <c r="Y2363" s="34"/>
      <c r="Z2363" s="34"/>
      <c r="AA2363" s="34"/>
    </row>
    <row r="2364" spans="1:27" ht="15">
      <c r="A2364" s="66" t="s">
        <v>256</v>
      </c>
      <c r="B2364" s="66" t="s">
        <v>249</v>
      </c>
      <c r="C2364" s="67" t="s">
        <v>4454</v>
      </c>
      <c r="D2364" s="68">
        <v>5</v>
      </c>
      <c r="E2364" s="69"/>
      <c r="F2364" s="70">
        <v>20</v>
      </c>
      <c r="G2364" s="67"/>
      <c r="H2364" s="71"/>
      <c r="I2364" s="72"/>
      <c r="J2364" s="72"/>
      <c r="K2364" s="34" t="s">
        <v>66</v>
      </c>
      <c r="L2364" s="79">
        <v>2364</v>
      </c>
      <c r="M2364" s="79"/>
      <c r="N2364" s="74"/>
      <c r="O2364" s="81" t="s">
        <v>944</v>
      </c>
      <c r="P2364">
        <v>1</v>
      </c>
      <c r="Q2364" s="80" t="str">
        <f>REPLACE(INDEX(GroupVertices[Group],MATCH(Edges[[#This Row],[Vertex 1]],GroupVertices[Vertex],0)),1,1,"")</f>
        <v>1</v>
      </c>
      <c r="R2364" s="80" t="str">
        <f>REPLACE(INDEX(GroupVertices[Group],MATCH(Edges[[#This Row],[Vertex 2]],GroupVertices[Vertex],0)),1,1,"")</f>
        <v>2</v>
      </c>
      <c r="S2364" s="34"/>
      <c r="T2364" s="34"/>
      <c r="U2364" s="34"/>
      <c r="V2364" s="34"/>
      <c r="W2364" s="34"/>
      <c r="X2364" s="34"/>
      <c r="Y2364" s="34"/>
      <c r="Z2364" s="34"/>
      <c r="AA2364" s="34"/>
    </row>
    <row r="2365" spans="1:27" ht="15">
      <c r="A2365" s="66" t="s">
        <v>258</v>
      </c>
      <c r="B2365" s="66" t="s">
        <v>249</v>
      </c>
      <c r="C2365" s="67" t="s">
        <v>4454</v>
      </c>
      <c r="D2365" s="68">
        <v>5</v>
      </c>
      <c r="E2365" s="69"/>
      <c r="F2365" s="70">
        <v>20</v>
      </c>
      <c r="G2365" s="67"/>
      <c r="H2365" s="71"/>
      <c r="I2365" s="72"/>
      <c r="J2365" s="72"/>
      <c r="K2365" s="34" t="s">
        <v>66</v>
      </c>
      <c r="L2365" s="79">
        <v>2365</v>
      </c>
      <c r="M2365" s="79"/>
      <c r="N2365" s="74"/>
      <c r="O2365" s="81" t="s">
        <v>944</v>
      </c>
      <c r="P2365">
        <v>1</v>
      </c>
      <c r="Q2365" s="80" t="str">
        <f>REPLACE(INDEX(GroupVertices[Group],MATCH(Edges[[#This Row],[Vertex 1]],GroupVertices[Vertex],0)),1,1,"")</f>
        <v>1</v>
      </c>
      <c r="R2365" s="80" t="str">
        <f>REPLACE(INDEX(GroupVertices[Group],MATCH(Edges[[#This Row],[Vertex 2]],GroupVertices[Vertex],0)),1,1,"")</f>
        <v>2</v>
      </c>
      <c r="S2365" s="34"/>
      <c r="T2365" s="34"/>
      <c r="U2365" s="34"/>
      <c r="V2365" s="34"/>
      <c r="W2365" s="34"/>
      <c r="X2365" s="34"/>
      <c r="Y2365" s="34"/>
      <c r="Z2365" s="34"/>
      <c r="AA2365" s="34"/>
    </row>
    <row r="2366" spans="1:27" ht="15">
      <c r="A2366" s="66" t="s">
        <v>259</v>
      </c>
      <c r="B2366" s="66" t="s">
        <v>249</v>
      </c>
      <c r="C2366" s="67" t="s">
        <v>4454</v>
      </c>
      <c r="D2366" s="68">
        <v>5</v>
      </c>
      <c r="E2366" s="69"/>
      <c r="F2366" s="70">
        <v>20</v>
      </c>
      <c r="G2366" s="67"/>
      <c r="H2366" s="71"/>
      <c r="I2366" s="72"/>
      <c r="J2366" s="72"/>
      <c r="K2366" s="34" t="s">
        <v>66</v>
      </c>
      <c r="L2366" s="79">
        <v>2366</v>
      </c>
      <c r="M2366" s="79"/>
      <c r="N2366" s="74"/>
      <c r="O2366" s="81" t="s">
        <v>944</v>
      </c>
      <c r="P2366">
        <v>1</v>
      </c>
      <c r="Q2366" s="80" t="str">
        <f>REPLACE(INDEX(GroupVertices[Group],MATCH(Edges[[#This Row],[Vertex 1]],GroupVertices[Vertex],0)),1,1,"")</f>
        <v>2</v>
      </c>
      <c r="R2366" s="80" t="str">
        <f>REPLACE(INDEX(GroupVertices[Group],MATCH(Edges[[#This Row],[Vertex 2]],GroupVertices[Vertex],0)),1,1,"")</f>
        <v>2</v>
      </c>
      <c r="S2366" s="34"/>
      <c r="T2366" s="34"/>
      <c r="U2366" s="34"/>
      <c r="V2366" s="34"/>
      <c r="W2366" s="34"/>
      <c r="X2366" s="34"/>
      <c r="Y2366" s="34"/>
      <c r="Z2366" s="34"/>
      <c r="AA2366" s="34"/>
    </row>
    <row r="2367" spans="1:27" ht="15">
      <c r="A2367" s="66" t="s">
        <v>261</v>
      </c>
      <c r="B2367" s="66" t="s">
        <v>249</v>
      </c>
      <c r="C2367" s="67" t="s">
        <v>4454</v>
      </c>
      <c r="D2367" s="68">
        <v>5</v>
      </c>
      <c r="E2367" s="69"/>
      <c r="F2367" s="70">
        <v>20</v>
      </c>
      <c r="G2367" s="67"/>
      <c r="H2367" s="71"/>
      <c r="I2367" s="72"/>
      <c r="J2367" s="72"/>
      <c r="K2367" s="34" t="s">
        <v>66</v>
      </c>
      <c r="L2367" s="79">
        <v>2367</v>
      </c>
      <c r="M2367" s="79"/>
      <c r="N2367" s="74"/>
      <c r="O2367" s="81" t="s">
        <v>944</v>
      </c>
      <c r="P2367">
        <v>1</v>
      </c>
      <c r="Q2367" s="80" t="str">
        <f>REPLACE(INDEX(GroupVertices[Group],MATCH(Edges[[#This Row],[Vertex 1]],GroupVertices[Vertex],0)),1,1,"")</f>
        <v>1</v>
      </c>
      <c r="R2367" s="80" t="str">
        <f>REPLACE(INDEX(GroupVertices[Group],MATCH(Edges[[#This Row],[Vertex 2]],GroupVertices[Vertex],0)),1,1,"")</f>
        <v>2</v>
      </c>
      <c r="S2367" s="34"/>
      <c r="T2367" s="34"/>
      <c r="U2367" s="34"/>
      <c r="V2367" s="34"/>
      <c r="W2367" s="34"/>
      <c r="X2367" s="34"/>
      <c r="Y2367" s="34"/>
      <c r="Z2367" s="34"/>
      <c r="AA2367" s="34"/>
    </row>
    <row r="2368" spans="1:27" ht="15">
      <c r="A2368" s="66" t="s">
        <v>261</v>
      </c>
      <c r="B2368" s="66" t="s">
        <v>934</v>
      </c>
      <c r="C2368" s="67" t="s">
        <v>4454</v>
      </c>
      <c r="D2368" s="68">
        <v>5</v>
      </c>
      <c r="E2368" s="69"/>
      <c r="F2368" s="70">
        <v>20</v>
      </c>
      <c r="G2368" s="67"/>
      <c r="H2368" s="71"/>
      <c r="I2368" s="72"/>
      <c r="J2368" s="72"/>
      <c r="K2368" s="34"/>
      <c r="L2368" s="79">
        <v>2368</v>
      </c>
      <c r="M2368" s="79"/>
      <c r="N2368" s="74"/>
      <c r="O2368" s="81" t="s">
        <v>944</v>
      </c>
      <c r="P2368">
        <v>1</v>
      </c>
      <c r="Q2368" s="80" t="str">
        <f>REPLACE(INDEX(GroupVertices[Group],MATCH(Edges[[#This Row],[Vertex 1]],GroupVertices[Vertex],0)),1,1,"")</f>
        <v>1</v>
      </c>
      <c r="R2368" s="80" t="e">
        <f>REPLACE(INDEX(GroupVertices[Group],MATCH(Edges[[#This Row],[Vertex 2]],GroupVertices[Vertex],0)),1,1,"")</f>
        <v>#N/A</v>
      </c>
      <c r="S2368" s="34"/>
      <c r="T2368" s="34"/>
      <c r="U2368" s="34"/>
      <c r="V2368" s="34"/>
      <c r="W2368" s="34"/>
      <c r="X2368" s="34"/>
      <c r="Y2368" s="34"/>
      <c r="Z2368" s="34"/>
      <c r="AA2368" s="34"/>
    </row>
    <row r="2369" spans="1:27" ht="15">
      <c r="A2369" s="66" t="s">
        <v>261</v>
      </c>
      <c r="B2369" s="66" t="s">
        <v>926</v>
      </c>
      <c r="C2369" s="67" t="s">
        <v>4454</v>
      </c>
      <c r="D2369" s="68">
        <v>5</v>
      </c>
      <c r="E2369" s="69"/>
      <c r="F2369" s="70">
        <v>20</v>
      </c>
      <c r="G2369" s="67"/>
      <c r="H2369" s="71"/>
      <c r="I2369" s="72"/>
      <c r="J2369" s="72"/>
      <c r="K2369" s="34" t="s">
        <v>65</v>
      </c>
      <c r="L2369" s="79">
        <v>2369</v>
      </c>
      <c r="M2369" s="79"/>
      <c r="N2369" s="74"/>
      <c r="O2369" s="81" t="s">
        <v>944</v>
      </c>
      <c r="P2369">
        <v>1</v>
      </c>
      <c r="Q2369" s="80" t="str">
        <f>REPLACE(INDEX(GroupVertices[Group],MATCH(Edges[[#This Row],[Vertex 1]],GroupVertices[Vertex],0)),1,1,"")</f>
        <v>1</v>
      </c>
      <c r="R2369" s="80" t="str">
        <f>REPLACE(INDEX(GroupVertices[Group],MATCH(Edges[[#This Row],[Vertex 2]],GroupVertices[Vertex],0)),1,1,"")</f>
        <v>1</v>
      </c>
      <c r="S2369" s="34"/>
      <c r="T2369" s="34"/>
      <c r="U2369" s="34"/>
      <c r="V2369" s="34"/>
      <c r="W2369" s="34"/>
      <c r="X2369" s="34"/>
      <c r="Y2369" s="34"/>
      <c r="Z2369" s="34"/>
      <c r="AA2369" s="34"/>
    </row>
    <row r="2370" spans="1:27" ht="15">
      <c r="A2370" s="66" t="s">
        <v>253</v>
      </c>
      <c r="B2370" s="66" t="s">
        <v>737</v>
      </c>
      <c r="C2370" s="67" t="s">
        <v>4454</v>
      </c>
      <c r="D2370" s="68">
        <v>5</v>
      </c>
      <c r="E2370" s="69"/>
      <c r="F2370" s="70">
        <v>20</v>
      </c>
      <c r="G2370" s="67"/>
      <c r="H2370" s="71"/>
      <c r="I2370" s="72"/>
      <c r="J2370" s="72"/>
      <c r="K2370" s="34" t="s">
        <v>65</v>
      </c>
      <c r="L2370" s="79">
        <v>2370</v>
      </c>
      <c r="M2370" s="79"/>
      <c r="N2370" s="74"/>
      <c r="O2370" s="81" t="s">
        <v>944</v>
      </c>
      <c r="P2370">
        <v>1</v>
      </c>
      <c r="Q2370" s="80" t="str">
        <f>REPLACE(INDEX(GroupVertices[Group],MATCH(Edges[[#This Row],[Vertex 1]],GroupVertices[Vertex],0)),1,1,"")</f>
        <v>1</v>
      </c>
      <c r="R2370" s="80" t="str">
        <f>REPLACE(INDEX(GroupVertices[Group],MATCH(Edges[[#This Row],[Vertex 2]],GroupVertices[Vertex],0)),1,1,"")</f>
        <v>1</v>
      </c>
      <c r="S2370" s="34"/>
      <c r="T2370" s="34"/>
      <c r="U2370" s="34"/>
      <c r="V2370" s="34"/>
      <c r="W2370" s="34"/>
      <c r="X2370" s="34"/>
      <c r="Y2370" s="34"/>
      <c r="Z2370" s="34"/>
      <c r="AA2370" s="34"/>
    </row>
    <row r="2371" spans="1:27" ht="15">
      <c r="A2371" s="66" t="s">
        <v>254</v>
      </c>
      <c r="B2371" s="66" t="s">
        <v>737</v>
      </c>
      <c r="C2371" s="67" t="s">
        <v>4454</v>
      </c>
      <c r="D2371" s="68">
        <v>5</v>
      </c>
      <c r="E2371" s="69"/>
      <c r="F2371" s="70">
        <v>20</v>
      </c>
      <c r="G2371" s="67"/>
      <c r="H2371" s="71"/>
      <c r="I2371" s="72"/>
      <c r="J2371" s="72"/>
      <c r="K2371" s="34" t="s">
        <v>65</v>
      </c>
      <c r="L2371" s="79">
        <v>2371</v>
      </c>
      <c r="M2371" s="79"/>
      <c r="N2371" s="74"/>
      <c r="O2371" s="81" t="s">
        <v>944</v>
      </c>
      <c r="P2371">
        <v>1</v>
      </c>
      <c r="Q2371" s="80" t="str">
        <f>REPLACE(INDEX(GroupVertices[Group],MATCH(Edges[[#This Row],[Vertex 1]],GroupVertices[Vertex],0)),1,1,"")</f>
        <v>3</v>
      </c>
      <c r="R2371" s="80" t="str">
        <f>REPLACE(INDEX(GroupVertices[Group],MATCH(Edges[[#This Row],[Vertex 2]],GroupVertices[Vertex],0)),1,1,"")</f>
        <v>1</v>
      </c>
      <c r="S2371" s="34"/>
      <c r="T2371" s="34"/>
      <c r="U2371" s="34"/>
      <c r="V2371" s="34"/>
      <c r="W2371" s="34"/>
      <c r="X2371" s="34"/>
      <c r="Y2371" s="34"/>
      <c r="Z2371" s="34"/>
      <c r="AA2371" s="34"/>
    </row>
    <row r="2372" spans="1:27" ht="15">
      <c r="A2372" s="66" t="s">
        <v>256</v>
      </c>
      <c r="B2372" s="66" t="s">
        <v>737</v>
      </c>
      <c r="C2372" s="67" t="s">
        <v>4454</v>
      </c>
      <c r="D2372" s="68">
        <v>5</v>
      </c>
      <c r="E2372" s="69"/>
      <c r="F2372" s="70">
        <v>20</v>
      </c>
      <c r="G2372" s="67"/>
      <c r="H2372" s="71"/>
      <c r="I2372" s="72"/>
      <c r="J2372" s="72"/>
      <c r="K2372" s="34" t="s">
        <v>65</v>
      </c>
      <c r="L2372" s="79">
        <v>2372</v>
      </c>
      <c r="M2372" s="79"/>
      <c r="N2372" s="74"/>
      <c r="O2372" s="81" t="s">
        <v>944</v>
      </c>
      <c r="P2372">
        <v>1</v>
      </c>
      <c r="Q2372" s="80" t="str">
        <f>REPLACE(INDEX(GroupVertices[Group],MATCH(Edges[[#This Row],[Vertex 1]],GroupVertices[Vertex],0)),1,1,"")</f>
        <v>1</v>
      </c>
      <c r="R2372" s="80" t="str">
        <f>REPLACE(INDEX(GroupVertices[Group],MATCH(Edges[[#This Row],[Vertex 2]],GroupVertices[Vertex],0)),1,1,"")</f>
        <v>1</v>
      </c>
      <c r="S2372" s="34"/>
      <c r="T2372" s="34"/>
      <c r="U2372" s="34"/>
      <c r="V2372" s="34"/>
      <c r="W2372" s="34"/>
      <c r="X2372" s="34"/>
      <c r="Y2372" s="34"/>
      <c r="Z2372" s="34"/>
      <c r="AA2372" s="34"/>
    </row>
    <row r="2373" spans="1:27" ht="15">
      <c r="A2373" s="66" t="s">
        <v>258</v>
      </c>
      <c r="B2373" s="66" t="s">
        <v>737</v>
      </c>
      <c r="C2373" s="67" t="s">
        <v>4454</v>
      </c>
      <c r="D2373" s="68">
        <v>5</v>
      </c>
      <c r="E2373" s="69"/>
      <c r="F2373" s="70">
        <v>20</v>
      </c>
      <c r="G2373" s="67"/>
      <c r="H2373" s="71"/>
      <c r="I2373" s="72"/>
      <c r="J2373" s="72"/>
      <c r="K2373" s="34" t="s">
        <v>65</v>
      </c>
      <c r="L2373" s="79">
        <v>2373</v>
      </c>
      <c r="M2373" s="79"/>
      <c r="N2373" s="74"/>
      <c r="O2373" s="81" t="s">
        <v>944</v>
      </c>
      <c r="P2373">
        <v>1</v>
      </c>
      <c r="Q2373" s="80" t="str">
        <f>REPLACE(INDEX(GroupVertices[Group],MATCH(Edges[[#This Row],[Vertex 1]],GroupVertices[Vertex],0)),1,1,"")</f>
        <v>1</v>
      </c>
      <c r="R2373" s="80" t="str">
        <f>REPLACE(INDEX(GroupVertices[Group],MATCH(Edges[[#This Row],[Vertex 2]],GroupVertices[Vertex],0)),1,1,"")</f>
        <v>1</v>
      </c>
      <c r="S2373" s="34"/>
      <c r="T2373" s="34"/>
      <c r="U2373" s="34"/>
      <c r="V2373" s="34"/>
      <c r="W2373" s="34"/>
      <c r="X2373" s="34"/>
      <c r="Y2373" s="34"/>
      <c r="Z2373" s="34"/>
      <c r="AA2373" s="34"/>
    </row>
    <row r="2374" spans="1:27" ht="15">
      <c r="A2374" s="66" t="s">
        <v>261</v>
      </c>
      <c r="B2374" s="66" t="s">
        <v>737</v>
      </c>
      <c r="C2374" s="67" t="s">
        <v>4454</v>
      </c>
      <c r="D2374" s="68">
        <v>5</v>
      </c>
      <c r="E2374" s="69"/>
      <c r="F2374" s="70">
        <v>20</v>
      </c>
      <c r="G2374" s="67"/>
      <c r="H2374" s="71"/>
      <c r="I2374" s="72"/>
      <c r="J2374" s="72"/>
      <c r="K2374" s="34" t="s">
        <v>65</v>
      </c>
      <c r="L2374" s="79">
        <v>2374</v>
      </c>
      <c r="M2374" s="79"/>
      <c r="N2374" s="74"/>
      <c r="O2374" s="81" t="s">
        <v>944</v>
      </c>
      <c r="P2374">
        <v>1</v>
      </c>
      <c r="Q2374" s="80" t="str">
        <f>REPLACE(INDEX(GroupVertices[Group],MATCH(Edges[[#This Row],[Vertex 1]],GroupVertices[Vertex],0)),1,1,"")</f>
        <v>1</v>
      </c>
      <c r="R2374" s="80" t="str">
        <f>REPLACE(INDEX(GroupVertices[Group],MATCH(Edges[[#This Row],[Vertex 2]],GroupVertices[Vertex],0)),1,1,"")</f>
        <v>1</v>
      </c>
      <c r="S2374" s="34"/>
      <c r="T2374" s="34"/>
      <c r="U2374" s="34"/>
      <c r="V2374" s="34"/>
      <c r="W2374" s="34"/>
      <c r="X2374" s="34"/>
      <c r="Y2374" s="34"/>
      <c r="Z2374" s="34"/>
      <c r="AA2374" s="34"/>
    </row>
    <row r="2375" spans="1:27" ht="15">
      <c r="A2375" s="66" t="s">
        <v>252</v>
      </c>
      <c r="B2375" s="66" t="s">
        <v>733</v>
      </c>
      <c r="C2375" s="67" t="s">
        <v>4454</v>
      </c>
      <c r="D2375" s="68">
        <v>5</v>
      </c>
      <c r="E2375" s="69"/>
      <c r="F2375" s="70">
        <v>20</v>
      </c>
      <c r="G2375" s="67"/>
      <c r="H2375" s="71"/>
      <c r="I2375" s="72"/>
      <c r="J2375" s="72"/>
      <c r="K2375" s="34" t="s">
        <v>65</v>
      </c>
      <c r="L2375" s="79">
        <v>2375</v>
      </c>
      <c r="M2375" s="79"/>
      <c r="N2375" s="74"/>
      <c r="O2375" s="81" t="s">
        <v>944</v>
      </c>
      <c r="P2375">
        <v>1</v>
      </c>
      <c r="Q2375" s="80" t="str">
        <f>REPLACE(INDEX(GroupVertices[Group],MATCH(Edges[[#This Row],[Vertex 1]],GroupVertices[Vertex],0)),1,1,"")</f>
        <v>1</v>
      </c>
      <c r="R2375" s="80" t="str">
        <f>REPLACE(INDEX(GroupVertices[Group],MATCH(Edges[[#This Row],[Vertex 2]],GroupVertices[Vertex],0)),1,1,"")</f>
        <v>1</v>
      </c>
      <c r="S2375" s="34"/>
      <c r="T2375" s="34"/>
      <c r="U2375" s="34"/>
      <c r="V2375" s="34"/>
      <c r="W2375" s="34"/>
      <c r="X2375" s="34"/>
      <c r="Y2375" s="34"/>
      <c r="Z2375" s="34"/>
      <c r="AA2375" s="34"/>
    </row>
    <row r="2376" spans="1:27" ht="15">
      <c r="A2376" s="66" t="s">
        <v>261</v>
      </c>
      <c r="B2376" s="66" t="s">
        <v>733</v>
      </c>
      <c r="C2376" s="67" t="s">
        <v>4454</v>
      </c>
      <c r="D2376" s="68">
        <v>5</v>
      </c>
      <c r="E2376" s="69"/>
      <c r="F2376" s="70">
        <v>20</v>
      </c>
      <c r="G2376" s="67"/>
      <c r="H2376" s="71"/>
      <c r="I2376" s="72"/>
      <c r="J2376" s="72"/>
      <c r="K2376" s="34" t="s">
        <v>65</v>
      </c>
      <c r="L2376" s="79">
        <v>2376</v>
      </c>
      <c r="M2376" s="79"/>
      <c r="N2376" s="74"/>
      <c r="O2376" s="81" t="s">
        <v>944</v>
      </c>
      <c r="P2376">
        <v>1</v>
      </c>
      <c r="Q2376" s="80" t="str">
        <f>REPLACE(INDEX(GroupVertices[Group],MATCH(Edges[[#This Row],[Vertex 1]],GroupVertices[Vertex],0)),1,1,"")</f>
        <v>1</v>
      </c>
      <c r="R2376" s="80" t="str">
        <f>REPLACE(INDEX(GroupVertices[Group],MATCH(Edges[[#This Row],[Vertex 2]],GroupVertices[Vertex],0)),1,1,"")</f>
        <v>1</v>
      </c>
      <c r="S2376" s="34"/>
      <c r="T2376" s="34"/>
      <c r="U2376" s="34"/>
      <c r="V2376" s="34"/>
      <c r="W2376" s="34"/>
      <c r="X2376" s="34"/>
      <c r="Y2376" s="34"/>
      <c r="Z2376" s="34"/>
      <c r="AA2376" s="34"/>
    </row>
    <row r="2377" spans="1:27" ht="15">
      <c r="A2377" s="66" t="s">
        <v>256</v>
      </c>
      <c r="B2377" s="66" t="s">
        <v>736</v>
      </c>
      <c r="C2377" s="67" t="s">
        <v>4454</v>
      </c>
      <c r="D2377" s="68">
        <v>5</v>
      </c>
      <c r="E2377" s="69"/>
      <c r="F2377" s="70">
        <v>20</v>
      </c>
      <c r="G2377" s="67"/>
      <c r="H2377" s="71"/>
      <c r="I2377" s="72"/>
      <c r="J2377" s="72"/>
      <c r="K2377" s="34" t="s">
        <v>65</v>
      </c>
      <c r="L2377" s="79">
        <v>2377</v>
      </c>
      <c r="M2377" s="79"/>
      <c r="N2377" s="74"/>
      <c r="O2377" s="81" t="s">
        <v>944</v>
      </c>
      <c r="P2377">
        <v>1</v>
      </c>
      <c r="Q2377" s="80" t="str">
        <f>REPLACE(INDEX(GroupVertices[Group],MATCH(Edges[[#This Row],[Vertex 1]],GroupVertices[Vertex],0)),1,1,"")</f>
        <v>1</v>
      </c>
      <c r="R2377" s="80" t="str">
        <f>REPLACE(INDEX(GroupVertices[Group],MATCH(Edges[[#This Row],[Vertex 2]],GroupVertices[Vertex],0)),1,1,"")</f>
        <v>1</v>
      </c>
      <c r="S2377" s="34"/>
      <c r="T2377" s="34"/>
      <c r="U2377" s="34"/>
      <c r="V2377" s="34"/>
      <c r="W2377" s="34"/>
      <c r="X2377" s="34"/>
      <c r="Y2377" s="34"/>
      <c r="Z2377" s="34"/>
      <c r="AA2377" s="34"/>
    </row>
    <row r="2378" spans="1:27" ht="15">
      <c r="A2378" s="66" t="s">
        <v>258</v>
      </c>
      <c r="B2378" s="66" t="s">
        <v>736</v>
      </c>
      <c r="C2378" s="67" t="s">
        <v>4454</v>
      </c>
      <c r="D2378" s="68">
        <v>5</v>
      </c>
      <c r="E2378" s="69"/>
      <c r="F2378" s="70">
        <v>20</v>
      </c>
      <c r="G2378" s="67"/>
      <c r="H2378" s="71"/>
      <c r="I2378" s="72"/>
      <c r="J2378" s="72"/>
      <c r="K2378" s="34" t="s">
        <v>65</v>
      </c>
      <c r="L2378" s="79">
        <v>2378</v>
      </c>
      <c r="M2378" s="79"/>
      <c r="N2378" s="74"/>
      <c r="O2378" s="81" t="s">
        <v>944</v>
      </c>
      <c r="P2378">
        <v>1</v>
      </c>
      <c r="Q2378" s="80" t="str">
        <f>REPLACE(INDEX(GroupVertices[Group],MATCH(Edges[[#This Row],[Vertex 1]],GroupVertices[Vertex],0)),1,1,"")</f>
        <v>1</v>
      </c>
      <c r="R2378" s="80" t="str">
        <f>REPLACE(INDEX(GroupVertices[Group],MATCH(Edges[[#This Row],[Vertex 2]],GroupVertices[Vertex],0)),1,1,"")</f>
        <v>1</v>
      </c>
      <c r="S2378" s="34"/>
      <c r="T2378" s="34"/>
      <c r="U2378" s="34"/>
      <c r="V2378" s="34"/>
      <c r="W2378" s="34"/>
      <c r="X2378" s="34"/>
      <c r="Y2378" s="34"/>
      <c r="Z2378" s="34"/>
      <c r="AA2378" s="34"/>
    </row>
    <row r="2379" spans="1:27" ht="15">
      <c r="A2379" s="66" t="s">
        <v>261</v>
      </c>
      <c r="B2379" s="66" t="s">
        <v>736</v>
      </c>
      <c r="C2379" s="67" t="s">
        <v>4454</v>
      </c>
      <c r="D2379" s="68">
        <v>5</v>
      </c>
      <c r="E2379" s="69"/>
      <c r="F2379" s="70">
        <v>20</v>
      </c>
      <c r="G2379" s="67"/>
      <c r="H2379" s="71"/>
      <c r="I2379" s="72"/>
      <c r="J2379" s="72"/>
      <c r="K2379" s="34" t="s">
        <v>65</v>
      </c>
      <c r="L2379" s="79">
        <v>2379</v>
      </c>
      <c r="M2379" s="79"/>
      <c r="N2379" s="74"/>
      <c r="O2379" s="81" t="s">
        <v>944</v>
      </c>
      <c r="P2379">
        <v>1</v>
      </c>
      <c r="Q2379" s="80" t="str">
        <f>REPLACE(INDEX(GroupVertices[Group],MATCH(Edges[[#This Row],[Vertex 1]],GroupVertices[Vertex],0)),1,1,"")</f>
        <v>1</v>
      </c>
      <c r="R2379" s="80" t="str">
        <f>REPLACE(INDEX(GroupVertices[Group],MATCH(Edges[[#This Row],[Vertex 2]],GroupVertices[Vertex],0)),1,1,"")</f>
        <v>1</v>
      </c>
      <c r="S2379" s="34"/>
      <c r="T2379" s="34"/>
      <c r="U2379" s="34"/>
      <c r="V2379" s="34"/>
      <c r="W2379" s="34"/>
      <c r="X2379" s="34"/>
      <c r="Y2379" s="34"/>
      <c r="Z2379" s="34"/>
      <c r="AA2379" s="34"/>
    </row>
    <row r="2380" spans="1:27" ht="15">
      <c r="A2380" s="66" t="s">
        <v>254</v>
      </c>
      <c r="B2380" s="66" t="s">
        <v>935</v>
      </c>
      <c r="C2380" s="67" t="s">
        <v>4454</v>
      </c>
      <c r="D2380" s="68">
        <v>5</v>
      </c>
      <c r="E2380" s="69"/>
      <c r="F2380" s="70">
        <v>20</v>
      </c>
      <c r="G2380" s="67"/>
      <c r="H2380" s="71"/>
      <c r="I2380" s="72"/>
      <c r="J2380" s="72"/>
      <c r="K2380" s="34" t="s">
        <v>65</v>
      </c>
      <c r="L2380" s="79">
        <v>2380</v>
      </c>
      <c r="M2380" s="79"/>
      <c r="N2380" s="74"/>
      <c r="O2380" s="81" t="s">
        <v>944</v>
      </c>
      <c r="P2380">
        <v>1</v>
      </c>
      <c r="Q2380" s="80" t="str">
        <f>REPLACE(INDEX(GroupVertices[Group],MATCH(Edges[[#This Row],[Vertex 1]],GroupVertices[Vertex],0)),1,1,"")</f>
        <v>3</v>
      </c>
      <c r="R2380" s="80" t="str">
        <f>REPLACE(INDEX(GroupVertices[Group],MATCH(Edges[[#This Row],[Vertex 2]],GroupVertices[Vertex],0)),1,1,"")</f>
        <v>3</v>
      </c>
      <c r="S2380" s="34"/>
      <c r="T2380" s="34"/>
      <c r="U2380" s="34"/>
      <c r="V2380" s="34"/>
      <c r="W2380" s="34"/>
      <c r="X2380" s="34"/>
      <c r="Y2380" s="34"/>
      <c r="Z2380" s="34"/>
      <c r="AA2380" s="34"/>
    </row>
    <row r="2381" spans="1:27" ht="15">
      <c r="A2381" s="66" t="s">
        <v>261</v>
      </c>
      <c r="B2381" s="66" t="s">
        <v>935</v>
      </c>
      <c r="C2381" s="67" t="s">
        <v>4454</v>
      </c>
      <c r="D2381" s="68">
        <v>5</v>
      </c>
      <c r="E2381" s="69"/>
      <c r="F2381" s="70">
        <v>20</v>
      </c>
      <c r="G2381" s="67"/>
      <c r="H2381" s="71"/>
      <c r="I2381" s="72"/>
      <c r="J2381" s="72"/>
      <c r="K2381" s="34" t="s">
        <v>65</v>
      </c>
      <c r="L2381" s="79">
        <v>2381</v>
      </c>
      <c r="M2381" s="79"/>
      <c r="N2381" s="74"/>
      <c r="O2381" s="81" t="s">
        <v>944</v>
      </c>
      <c r="P2381">
        <v>1</v>
      </c>
      <c r="Q2381" s="80" t="str">
        <f>REPLACE(INDEX(GroupVertices[Group],MATCH(Edges[[#This Row],[Vertex 1]],GroupVertices[Vertex],0)),1,1,"")</f>
        <v>1</v>
      </c>
      <c r="R2381" s="80" t="str">
        <f>REPLACE(INDEX(GroupVertices[Group],MATCH(Edges[[#This Row],[Vertex 2]],GroupVertices[Vertex],0)),1,1,"")</f>
        <v>3</v>
      </c>
      <c r="S2381" s="34"/>
      <c r="T2381" s="34"/>
      <c r="U2381" s="34"/>
      <c r="V2381" s="34"/>
      <c r="W2381" s="34"/>
      <c r="X2381" s="34"/>
      <c r="Y2381" s="34"/>
      <c r="Z2381" s="34"/>
      <c r="AA2381" s="34"/>
    </row>
    <row r="2382" spans="1:27" ht="15">
      <c r="A2382" s="66" t="s">
        <v>261</v>
      </c>
      <c r="B2382" s="66" t="s">
        <v>936</v>
      </c>
      <c r="C2382" s="67" t="s">
        <v>4454</v>
      </c>
      <c r="D2382" s="68">
        <v>5</v>
      </c>
      <c r="E2382" s="69"/>
      <c r="F2382" s="70">
        <v>20</v>
      </c>
      <c r="G2382" s="67"/>
      <c r="H2382" s="71"/>
      <c r="I2382" s="72"/>
      <c r="J2382" s="72"/>
      <c r="K2382" s="34"/>
      <c r="L2382" s="79">
        <v>2382</v>
      </c>
      <c r="M2382" s="79"/>
      <c r="N2382" s="74"/>
      <c r="O2382" s="81" t="s">
        <v>944</v>
      </c>
      <c r="P2382">
        <v>1</v>
      </c>
      <c r="Q2382" s="80" t="str">
        <f>REPLACE(INDEX(GroupVertices[Group],MATCH(Edges[[#This Row],[Vertex 1]],GroupVertices[Vertex],0)),1,1,"")</f>
        <v>1</v>
      </c>
      <c r="R2382" s="80" t="e">
        <f>REPLACE(INDEX(GroupVertices[Group],MATCH(Edges[[#This Row],[Vertex 2]],GroupVertices[Vertex],0)),1,1,"")</f>
        <v>#N/A</v>
      </c>
      <c r="S2382" s="34"/>
      <c r="T2382" s="34"/>
      <c r="U2382" s="34"/>
      <c r="V2382" s="34"/>
      <c r="W2382" s="34"/>
      <c r="X2382" s="34"/>
      <c r="Y2382" s="34"/>
      <c r="Z2382" s="34"/>
      <c r="AA2382" s="34"/>
    </row>
    <row r="2383" spans="1:27" ht="15">
      <c r="A2383" s="66" t="s">
        <v>261</v>
      </c>
      <c r="B2383" s="66" t="s">
        <v>937</v>
      </c>
      <c r="C2383" s="67" t="s">
        <v>4454</v>
      </c>
      <c r="D2383" s="68">
        <v>5</v>
      </c>
      <c r="E2383" s="69"/>
      <c r="F2383" s="70">
        <v>20</v>
      </c>
      <c r="G2383" s="67"/>
      <c r="H2383" s="71"/>
      <c r="I2383" s="72"/>
      <c r="J2383" s="72"/>
      <c r="K2383" s="34"/>
      <c r="L2383" s="79">
        <v>2383</v>
      </c>
      <c r="M2383" s="79"/>
      <c r="N2383" s="74"/>
      <c r="O2383" s="81" t="s">
        <v>944</v>
      </c>
      <c r="P2383">
        <v>1</v>
      </c>
      <c r="Q2383" s="80" t="str">
        <f>REPLACE(INDEX(GroupVertices[Group],MATCH(Edges[[#This Row],[Vertex 1]],GroupVertices[Vertex],0)),1,1,"")</f>
        <v>1</v>
      </c>
      <c r="R2383" s="80" t="e">
        <f>REPLACE(INDEX(GroupVertices[Group],MATCH(Edges[[#This Row],[Vertex 2]],GroupVertices[Vertex],0)),1,1,"")</f>
        <v>#N/A</v>
      </c>
      <c r="S2383" s="34"/>
      <c r="T2383" s="34"/>
      <c r="U2383" s="34"/>
      <c r="V2383" s="34"/>
      <c r="W2383" s="34"/>
      <c r="X2383" s="34"/>
      <c r="Y2383" s="34"/>
      <c r="Z2383" s="34"/>
      <c r="AA2383" s="34"/>
    </row>
    <row r="2384" spans="1:27" ht="15">
      <c r="A2384" s="66" t="s">
        <v>253</v>
      </c>
      <c r="B2384" s="66" t="s">
        <v>871</v>
      </c>
      <c r="C2384" s="67" t="s">
        <v>4454</v>
      </c>
      <c r="D2384" s="68">
        <v>5</v>
      </c>
      <c r="E2384" s="69"/>
      <c r="F2384" s="70">
        <v>20</v>
      </c>
      <c r="G2384" s="67"/>
      <c r="H2384" s="71"/>
      <c r="I2384" s="72"/>
      <c r="J2384" s="72"/>
      <c r="K2384" s="34" t="s">
        <v>65</v>
      </c>
      <c r="L2384" s="79">
        <v>2384</v>
      </c>
      <c r="M2384" s="79"/>
      <c r="N2384" s="74"/>
      <c r="O2384" s="81" t="s">
        <v>944</v>
      </c>
      <c r="P2384">
        <v>1</v>
      </c>
      <c r="Q2384" s="80" t="str">
        <f>REPLACE(INDEX(GroupVertices[Group],MATCH(Edges[[#This Row],[Vertex 1]],GroupVertices[Vertex],0)),1,1,"")</f>
        <v>1</v>
      </c>
      <c r="R2384" s="80" t="str">
        <f>REPLACE(INDEX(GroupVertices[Group],MATCH(Edges[[#This Row],[Vertex 2]],GroupVertices[Vertex],0)),1,1,"")</f>
        <v>1</v>
      </c>
      <c r="S2384" s="34"/>
      <c r="T2384" s="34"/>
      <c r="U2384" s="34"/>
      <c r="V2384" s="34"/>
      <c r="W2384" s="34"/>
      <c r="X2384" s="34"/>
      <c r="Y2384" s="34"/>
      <c r="Z2384" s="34"/>
      <c r="AA2384" s="34"/>
    </row>
    <row r="2385" spans="1:27" ht="15">
      <c r="A2385" s="66" t="s">
        <v>261</v>
      </c>
      <c r="B2385" s="66" t="s">
        <v>871</v>
      </c>
      <c r="C2385" s="67" t="s">
        <v>4454</v>
      </c>
      <c r="D2385" s="68">
        <v>5</v>
      </c>
      <c r="E2385" s="69"/>
      <c r="F2385" s="70">
        <v>20</v>
      </c>
      <c r="G2385" s="67"/>
      <c r="H2385" s="71"/>
      <c r="I2385" s="72"/>
      <c r="J2385" s="72"/>
      <c r="K2385" s="34" t="s">
        <v>65</v>
      </c>
      <c r="L2385" s="79">
        <v>2385</v>
      </c>
      <c r="M2385" s="79"/>
      <c r="N2385" s="74"/>
      <c r="O2385" s="81" t="s">
        <v>944</v>
      </c>
      <c r="P2385">
        <v>1</v>
      </c>
      <c r="Q2385" s="80" t="str">
        <f>REPLACE(INDEX(GroupVertices[Group],MATCH(Edges[[#This Row],[Vertex 1]],GroupVertices[Vertex],0)),1,1,"")</f>
        <v>1</v>
      </c>
      <c r="R2385" s="80" t="str">
        <f>REPLACE(INDEX(GroupVertices[Group],MATCH(Edges[[#This Row],[Vertex 2]],GroupVertices[Vertex],0)),1,1,"")</f>
        <v>1</v>
      </c>
      <c r="S2385" s="34"/>
      <c r="T2385" s="34"/>
      <c r="U2385" s="34"/>
      <c r="V2385" s="34"/>
      <c r="W2385" s="34"/>
      <c r="X2385" s="34"/>
      <c r="Y2385" s="34"/>
      <c r="Z2385" s="34"/>
      <c r="AA2385" s="34"/>
    </row>
    <row r="2386" spans="1:27" ht="15">
      <c r="A2386" s="66" t="s">
        <v>253</v>
      </c>
      <c r="B2386" s="66" t="s">
        <v>938</v>
      </c>
      <c r="C2386" s="67" t="s">
        <v>4454</v>
      </c>
      <c r="D2386" s="68">
        <v>5</v>
      </c>
      <c r="E2386" s="69"/>
      <c r="F2386" s="70">
        <v>20</v>
      </c>
      <c r="G2386" s="67"/>
      <c r="H2386" s="71"/>
      <c r="I2386" s="72"/>
      <c r="J2386" s="72"/>
      <c r="K2386" s="34" t="s">
        <v>65</v>
      </c>
      <c r="L2386" s="79">
        <v>2386</v>
      </c>
      <c r="M2386" s="79"/>
      <c r="N2386" s="74"/>
      <c r="O2386" s="81" t="s">
        <v>944</v>
      </c>
      <c r="P2386">
        <v>1</v>
      </c>
      <c r="Q2386" s="80" t="str">
        <f>REPLACE(INDEX(GroupVertices[Group],MATCH(Edges[[#This Row],[Vertex 1]],GroupVertices[Vertex],0)),1,1,"")</f>
        <v>1</v>
      </c>
      <c r="R2386" s="80" t="str">
        <f>REPLACE(INDEX(GroupVertices[Group],MATCH(Edges[[#This Row],[Vertex 2]],GroupVertices[Vertex],0)),1,1,"")</f>
        <v>1</v>
      </c>
      <c r="S2386" s="34"/>
      <c r="T2386" s="34"/>
      <c r="U2386" s="34"/>
      <c r="V2386" s="34"/>
      <c r="W2386" s="34"/>
      <c r="X2386" s="34"/>
      <c r="Y2386" s="34"/>
      <c r="Z2386" s="34"/>
      <c r="AA2386" s="34"/>
    </row>
    <row r="2387" spans="1:27" ht="15">
      <c r="A2387" s="66" t="s">
        <v>261</v>
      </c>
      <c r="B2387" s="66" t="s">
        <v>938</v>
      </c>
      <c r="C2387" s="67" t="s">
        <v>4454</v>
      </c>
      <c r="D2387" s="68">
        <v>5</v>
      </c>
      <c r="E2387" s="69"/>
      <c r="F2387" s="70">
        <v>20</v>
      </c>
      <c r="G2387" s="67"/>
      <c r="H2387" s="71"/>
      <c r="I2387" s="72"/>
      <c r="J2387" s="72"/>
      <c r="K2387" s="34" t="s">
        <v>65</v>
      </c>
      <c r="L2387" s="79">
        <v>2387</v>
      </c>
      <c r="M2387" s="79"/>
      <c r="N2387" s="74"/>
      <c r="O2387" s="81" t="s">
        <v>944</v>
      </c>
      <c r="P2387">
        <v>1</v>
      </c>
      <c r="Q2387" s="80" t="str">
        <f>REPLACE(INDEX(GroupVertices[Group],MATCH(Edges[[#This Row],[Vertex 1]],GroupVertices[Vertex],0)),1,1,"")</f>
        <v>1</v>
      </c>
      <c r="R2387" s="80" t="str">
        <f>REPLACE(INDEX(GroupVertices[Group],MATCH(Edges[[#This Row],[Vertex 2]],GroupVertices[Vertex],0)),1,1,"")</f>
        <v>1</v>
      </c>
      <c r="S2387" s="34"/>
      <c r="T2387" s="34"/>
      <c r="U2387" s="34"/>
      <c r="V2387" s="34"/>
      <c r="W2387" s="34"/>
      <c r="X2387" s="34"/>
      <c r="Y2387" s="34"/>
      <c r="Z2387" s="34"/>
      <c r="AA2387" s="34"/>
    </row>
    <row r="2388" spans="1:27" ht="15">
      <c r="A2388" s="66" t="s">
        <v>254</v>
      </c>
      <c r="B2388" s="66" t="s">
        <v>888</v>
      </c>
      <c r="C2388" s="67" t="s">
        <v>4454</v>
      </c>
      <c r="D2388" s="68">
        <v>5</v>
      </c>
      <c r="E2388" s="69"/>
      <c r="F2388" s="70">
        <v>20</v>
      </c>
      <c r="G2388" s="67"/>
      <c r="H2388" s="71"/>
      <c r="I2388" s="72"/>
      <c r="J2388" s="72"/>
      <c r="K2388" s="34" t="s">
        <v>65</v>
      </c>
      <c r="L2388" s="79">
        <v>2388</v>
      </c>
      <c r="M2388" s="79"/>
      <c r="N2388" s="74"/>
      <c r="O2388" s="81" t="s">
        <v>944</v>
      </c>
      <c r="P2388">
        <v>1</v>
      </c>
      <c r="Q2388" s="80" t="str">
        <f>REPLACE(INDEX(GroupVertices[Group],MATCH(Edges[[#This Row],[Vertex 1]],GroupVertices[Vertex],0)),1,1,"")</f>
        <v>3</v>
      </c>
      <c r="R2388" s="80" t="str">
        <f>REPLACE(INDEX(GroupVertices[Group],MATCH(Edges[[#This Row],[Vertex 2]],GroupVertices[Vertex],0)),1,1,"")</f>
        <v>4</v>
      </c>
      <c r="S2388" s="34"/>
      <c r="T2388" s="34"/>
      <c r="U2388" s="34"/>
      <c r="V2388" s="34"/>
      <c r="W2388" s="34"/>
      <c r="X2388" s="34"/>
      <c r="Y2388" s="34"/>
      <c r="Z2388" s="34"/>
      <c r="AA2388" s="34"/>
    </row>
    <row r="2389" spans="1:27" ht="15">
      <c r="A2389" s="66" t="s">
        <v>261</v>
      </c>
      <c r="B2389" s="66" t="s">
        <v>888</v>
      </c>
      <c r="C2389" s="67" t="s">
        <v>4454</v>
      </c>
      <c r="D2389" s="68">
        <v>5</v>
      </c>
      <c r="E2389" s="69"/>
      <c r="F2389" s="70">
        <v>20</v>
      </c>
      <c r="G2389" s="67"/>
      <c r="H2389" s="71"/>
      <c r="I2389" s="72"/>
      <c r="J2389" s="72"/>
      <c r="K2389" s="34" t="s">
        <v>65</v>
      </c>
      <c r="L2389" s="79">
        <v>2389</v>
      </c>
      <c r="M2389" s="79"/>
      <c r="N2389" s="74"/>
      <c r="O2389" s="81" t="s">
        <v>944</v>
      </c>
      <c r="P2389">
        <v>1</v>
      </c>
      <c r="Q2389" s="80" t="str">
        <f>REPLACE(INDEX(GroupVertices[Group],MATCH(Edges[[#This Row],[Vertex 1]],GroupVertices[Vertex],0)),1,1,"")</f>
        <v>1</v>
      </c>
      <c r="R2389" s="80" t="str">
        <f>REPLACE(INDEX(GroupVertices[Group],MATCH(Edges[[#This Row],[Vertex 2]],GroupVertices[Vertex],0)),1,1,"")</f>
        <v>4</v>
      </c>
      <c r="S2389" s="34"/>
      <c r="T2389" s="34"/>
      <c r="U2389" s="34"/>
      <c r="V2389" s="34"/>
      <c r="W2389" s="34"/>
      <c r="X2389" s="34"/>
      <c r="Y2389" s="34"/>
      <c r="Z2389" s="34"/>
      <c r="AA2389" s="34"/>
    </row>
    <row r="2390" spans="1:27" ht="15">
      <c r="A2390" s="66" t="s">
        <v>261</v>
      </c>
      <c r="B2390" s="66" t="s">
        <v>939</v>
      </c>
      <c r="C2390" s="67" t="s">
        <v>4454</v>
      </c>
      <c r="D2390" s="68">
        <v>5</v>
      </c>
      <c r="E2390" s="69"/>
      <c r="F2390" s="70">
        <v>20</v>
      </c>
      <c r="G2390" s="67"/>
      <c r="H2390" s="71"/>
      <c r="I2390" s="72"/>
      <c r="J2390" s="72"/>
      <c r="K2390" s="34"/>
      <c r="L2390" s="79">
        <v>2390</v>
      </c>
      <c r="M2390" s="79"/>
      <c r="N2390" s="74"/>
      <c r="O2390" s="81" t="s">
        <v>944</v>
      </c>
      <c r="P2390">
        <v>1</v>
      </c>
      <c r="Q2390" s="80" t="str">
        <f>REPLACE(INDEX(GroupVertices[Group],MATCH(Edges[[#This Row],[Vertex 1]],GroupVertices[Vertex],0)),1,1,"")</f>
        <v>1</v>
      </c>
      <c r="R2390" s="80" t="e">
        <f>REPLACE(INDEX(GroupVertices[Group],MATCH(Edges[[#This Row],[Vertex 2]],GroupVertices[Vertex],0)),1,1,"")</f>
        <v>#N/A</v>
      </c>
      <c r="S2390" s="34"/>
      <c r="T2390" s="34"/>
      <c r="U2390" s="34"/>
      <c r="V2390" s="34"/>
      <c r="W2390" s="34"/>
      <c r="X2390" s="34"/>
      <c r="Y2390" s="34"/>
      <c r="Z2390" s="34"/>
      <c r="AA2390" s="34"/>
    </row>
    <row r="2391" spans="1:27" ht="15">
      <c r="A2391" s="66" t="s">
        <v>232</v>
      </c>
      <c r="B2391" s="66" t="s">
        <v>252</v>
      </c>
      <c r="C2391" s="67" t="s">
        <v>4454</v>
      </c>
      <c r="D2391" s="68">
        <v>5</v>
      </c>
      <c r="E2391" s="69"/>
      <c r="F2391" s="70">
        <v>20</v>
      </c>
      <c r="G2391" s="67"/>
      <c r="H2391" s="71"/>
      <c r="I2391" s="72"/>
      <c r="J2391" s="72"/>
      <c r="K2391" s="34" t="s">
        <v>66</v>
      </c>
      <c r="L2391" s="79">
        <v>2391</v>
      </c>
      <c r="M2391" s="79"/>
      <c r="N2391" s="74"/>
      <c r="O2391" s="81" t="s">
        <v>944</v>
      </c>
      <c r="P2391">
        <v>1</v>
      </c>
      <c r="Q2391" s="80" t="str">
        <f>REPLACE(INDEX(GroupVertices[Group],MATCH(Edges[[#This Row],[Vertex 1]],GroupVertices[Vertex],0)),1,1,"")</f>
        <v>1</v>
      </c>
      <c r="R2391" s="80" t="str">
        <f>REPLACE(INDEX(GroupVertices[Group],MATCH(Edges[[#This Row],[Vertex 2]],GroupVertices[Vertex],0)),1,1,"")</f>
        <v>1</v>
      </c>
      <c r="S2391" s="34"/>
      <c r="T2391" s="34"/>
      <c r="U2391" s="34"/>
      <c r="V2391" s="34"/>
      <c r="W2391" s="34"/>
      <c r="X2391" s="34"/>
      <c r="Y2391" s="34"/>
      <c r="Z2391" s="34"/>
      <c r="AA2391" s="34"/>
    </row>
    <row r="2392" spans="1:27" ht="15">
      <c r="A2392" s="66" t="s">
        <v>252</v>
      </c>
      <c r="B2392" s="66" t="s">
        <v>616</v>
      </c>
      <c r="C2392" s="67" t="s">
        <v>4454</v>
      </c>
      <c r="D2392" s="68">
        <v>5</v>
      </c>
      <c r="E2392" s="69"/>
      <c r="F2392" s="70">
        <v>20</v>
      </c>
      <c r="G2392" s="67"/>
      <c r="H2392" s="71"/>
      <c r="I2392" s="72"/>
      <c r="J2392" s="72"/>
      <c r="K2392" s="34" t="s">
        <v>65</v>
      </c>
      <c r="L2392" s="79">
        <v>2392</v>
      </c>
      <c r="M2392" s="79"/>
      <c r="N2392" s="74"/>
      <c r="O2392" s="81" t="s">
        <v>944</v>
      </c>
      <c r="P2392">
        <v>1</v>
      </c>
      <c r="Q2392" s="80" t="str">
        <f>REPLACE(INDEX(GroupVertices[Group],MATCH(Edges[[#This Row],[Vertex 1]],GroupVertices[Vertex],0)),1,1,"")</f>
        <v>1</v>
      </c>
      <c r="R2392" s="80" t="str">
        <f>REPLACE(INDEX(GroupVertices[Group],MATCH(Edges[[#This Row],[Vertex 2]],GroupVertices[Vertex],0)),1,1,"")</f>
        <v>1</v>
      </c>
      <c r="S2392" s="34"/>
      <c r="T2392" s="34"/>
      <c r="U2392" s="34"/>
      <c r="V2392" s="34"/>
      <c r="W2392" s="34"/>
      <c r="X2392" s="34"/>
      <c r="Y2392" s="34"/>
      <c r="Z2392" s="34"/>
      <c r="AA2392" s="34"/>
    </row>
    <row r="2393" spans="1:27" ht="15">
      <c r="A2393" s="66" t="s">
        <v>252</v>
      </c>
      <c r="B2393" s="66" t="s">
        <v>261</v>
      </c>
      <c r="C2393" s="67" t="s">
        <v>4454</v>
      </c>
      <c r="D2393" s="68">
        <v>5</v>
      </c>
      <c r="E2393" s="69"/>
      <c r="F2393" s="70">
        <v>20</v>
      </c>
      <c r="G2393" s="67"/>
      <c r="H2393" s="71"/>
      <c r="I2393" s="72"/>
      <c r="J2393" s="72"/>
      <c r="K2393" s="34" t="s">
        <v>66</v>
      </c>
      <c r="L2393" s="79">
        <v>2393</v>
      </c>
      <c r="M2393" s="79"/>
      <c r="N2393" s="74"/>
      <c r="O2393" s="81" t="s">
        <v>944</v>
      </c>
      <c r="P2393">
        <v>1</v>
      </c>
      <c r="Q2393" s="80" t="str">
        <f>REPLACE(INDEX(GroupVertices[Group],MATCH(Edges[[#This Row],[Vertex 1]],GroupVertices[Vertex],0)),1,1,"")</f>
        <v>1</v>
      </c>
      <c r="R2393" s="80" t="str">
        <f>REPLACE(INDEX(GroupVertices[Group],MATCH(Edges[[#This Row],[Vertex 2]],GroupVertices[Vertex],0)),1,1,"")</f>
        <v>1</v>
      </c>
      <c r="S2393" s="34"/>
      <c r="T2393" s="34"/>
      <c r="U2393" s="34"/>
      <c r="V2393" s="34"/>
      <c r="W2393" s="34"/>
      <c r="X2393" s="34"/>
      <c r="Y2393" s="34"/>
      <c r="Z2393" s="34"/>
      <c r="AA2393" s="34"/>
    </row>
    <row r="2394" spans="1:27" ht="15">
      <c r="A2394" s="66" t="s">
        <v>252</v>
      </c>
      <c r="B2394" s="66" t="s">
        <v>485</v>
      </c>
      <c r="C2394" s="67" t="s">
        <v>4454</v>
      </c>
      <c r="D2394" s="68">
        <v>5</v>
      </c>
      <c r="E2394" s="69"/>
      <c r="F2394" s="70">
        <v>20</v>
      </c>
      <c r="G2394" s="67"/>
      <c r="H2394" s="71"/>
      <c r="I2394" s="72"/>
      <c r="J2394" s="72"/>
      <c r="K2394" s="34" t="s">
        <v>65</v>
      </c>
      <c r="L2394" s="79">
        <v>2394</v>
      </c>
      <c r="M2394" s="79"/>
      <c r="N2394" s="74"/>
      <c r="O2394" s="81" t="s">
        <v>944</v>
      </c>
      <c r="P2394">
        <v>1</v>
      </c>
      <c r="Q2394" s="80" t="str">
        <f>REPLACE(INDEX(GroupVertices[Group],MATCH(Edges[[#This Row],[Vertex 1]],GroupVertices[Vertex],0)),1,1,"")</f>
        <v>1</v>
      </c>
      <c r="R2394" s="80" t="str">
        <f>REPLACE(INDEX(GroupVertices[Group],MATCH(Edges[[#This Row],[Vertex 2]],GroupVertices[Vertex],0)),1,1,"")</f>
        <v>1</v>
      </c>
      <c r="S2394" s="34"/>
      <c r="T2394" s="34"/>
      <c r="U2394" s="34"/>
      <c r="V2394" s="34"/>
      <c r="W2394" s="34"/>
      <c r="X2394" s="34"/>
      <c r="Y2394" s="34"/>
      <c r="Z2394" s="34"/>
      <c r="AA2394" s="34"/>
    </row>
    <row r="2395" spans="1:27" ht="15">
      <c r="A2395" s="66" t="s">
        <v>252</v>
      </c>
      <c r="B2395" s="66" t="s">
        <v>254</v>
      </c>
      <c r="C2395" s="67" t="s">
        <v>4454</v>
      </c>
      <c r="D2395" s="68">
        <v>5</v>
      </c>
      <c r="E2395" s="69"/>
      <c r="F2395" s="70">
        <v>20</v>
      </c>
      <c r="G2395" s="67"/>
      <c r="H2395" s="71"/>
      <c r="I2395" s="72"/>
      <c r="J2395" s="72"/>
      <c r="K2395" s="34" t="s">
        <v>66</v>
      </c>
      <c r="L2395" s="79">
        <v>2395</v>
      </c>
      <c r="M2395" s="79"/>
      <c r="N2395" s="74"/>
      <c r="O2395" s="81" t="s">
        <v>944</v>
      </c>
      <c r="P2395">
        <v>1</v>
      </c>
      <c r="Q2395" s="80" t="str">
        <f>REPLACE(INDEX(GroupVertices[Group],MATCH(Edges[[#This Row],[Vertex 1]],GroupVertices[Vertex],0)),1,1,"")</f>
        <v>1</v>
      </c>
      <c r="R2395" s="80" t="str">
        <f>REPLACE(INDEX(GroupVertices[Group],MATCH(Edges[[#This Row],[Vertex 2]],GroupVertices[Vertex],0)),1,1,"")</f>
        <v>3</v>
      </c>
      <c r="S2395" s="34"/>
      <c r="T2395" s="34"/>
      <c r="U2395" s="34"/>
      <c r="V2395" s="34"/>
      <c r="W2395" s="34"/>
      <c r="X2395" s="34"/>
      <c r="Y2395" s="34"/>
      <c r="Z2395" s="34"/>
      <c r="AA2395" s="34"/>
    </row>
    <row r="2396" spans="1:27" ht="15">
      <c r="A2396" s="66" t="s">
        <v>252</v>
      </c>
      <c r="B2396" s="66" t="s">
        <v>232</v>
      </c>
      <c r="C2396" s="67" t="s">
        <v>4454</v>
      </c>
      <c r="D2396" s="68">
        <v>5</v>
      </c>
      <c r="E2396" s="69"/>
      <c r="F2396" s="70">
        <v>20</v>
      </c>
      <c r="G2396" s="67"/>
      <c r="H2396" s="71"/>
      <c r="I2396" s="72"/>
      <c r="J2396" s="72"/>
      <c r="K2396" s="34" t="s">
        <v>66</v>
      </c>
      <c r="L2396" s="79">
        <v>2396</v>
      </c>
      <c r="M2396" s="79"/>
      <c r="N2396" s="74"/>
      <c r="O2396" s="81" t="s">
        <v>944</v>
      </c>
      <c r="P2396">
        <v>1</v>
      </c>
      <c r="Q2396" s="80" t="str">
        <f>REPLACE(INDEX(GroupVertices[Group],MATCH(Edges[[#This Row],[Vertex 1]],GroupVertices[Vertex],0)),1,1,"")</f>
        <v>1</v>
      </c>
      <c r="R2396" s="80" t="str">
        <f>REPLACE(INDEX(GroupVertices[Group],MATCH(Edges[[#This Row],[Vertex 2]],GroupVertices[Vertex],0)),1,1,"")</f>
        <v>1</v>
      </c>
      <c r="S2396" s="34"/>
      <c r="T2396" s="34"/>
      <c r="U2396" s="34"/>
      <c r="V2396" s="34"/>
      <c r="W2396" s="34"/>
      <c r="X2396" s="34"/>
      <c r="Y2396" s="34"/>
      <c r="Z2396" s="34"/>
      <c r="AA2396" s="34"/>
    </row>
    <row r="2397" spans="1:27" ht="15">
      <c r="A2397" s="66" t="s">
        <v>252</v>
      </c>
      <c r="B2397" s="66" t="s">
        <v>253</v>
      </c>
      <c r="C2397" s="67" t="s">
        <v>4454</v>
      </c>
      <c r="D2397" s="68">
        <v>5</v>
      </c>
      <c r="E2397" s="69"/>
      <c r="F2397" s="70">
        <v>20</v>
      </c>
      <c r="G2397" s="67"/>
      <c r="H2397" s="71"/>
      <c r="I2397" s="72"/>
      <c r="J2397" s="72"/>
      <c r="K2397" s="34" t="s">
        <v>66</v>
      </c>
      <c r="L2397" s="79">
        <v>2397</v>
      </c>
      <c r="M2397" s="79"/>
      <c r="N2397" s="74"/>
      <c r="O2397" s="81" t="s">
        <v>944</v>
      </c>
      <c r="P2397">
        <v>1</v>
      </c>
      <c r="Q2397" s="80" t="str">
        <f>REPLACE(INDEX(GroupVertices[Group],MATCH(Edges[[#This Row],[Vertex 1]],GroupVertices[Vertex],0)),1,1,"")</f>
        <v>1</v>
      </c>
      <c r="R2397" s="80" t="str">
        <f>REPLACE(INDEX(GroupVertices[Group],MATCH(Edges[[#This Row],[Vertex 2]],GroupVertices[Vertex],0)),1,1,"")</f>
        <v>1</v>
      </c>
      <c r="S2397" s="34"/>
      <c r="T2397" s="34"/>
      <c r="U2397" s="34"/>
      <c r="V2397" s="34"/>
      <c r="W2397" s="34"/>
      <c r="X2397" s="34"/>
      <c r="Y2397" s="34"/>
      <c r="Z2397" s="34"/>
      <c r="AA2397" s="34"/>
    </row>
    <row r="2398" spans="1:27" ht="15">
      <c r="A2398" s="66" t="s">
        <v>252</v>
      </c>
      <c r="B2398" s="66" t="s">
        <v>920</v>
      </c>
      <c r="C2398" s="67" t="s">
        <v>4454</v>
      </c>
      <c r="D2398" s="68">
        <v>5</v>
      </c>
      <c r="E2398" s="69"/>
      <c r="F2398" s="70">
        <v>20</v>
      </c>
      <c r="G2398" s="67"/>
      <c r="H2398" s="71"/>
      <c r="I2398" s="72"/>
      <c r="J2398" s="72"/>
      <c r="K2398" s="34" t="s">
        <v>65</v>
      </c>
      <c r="L2398" s="79">
        <v>2398</v>
      </c>
      <c r="M2398" s="79"/>
      <c r="N2398" s="74"/>
      <c r="O2398" s="81" t="s">
        <v>944</v>
      </c>
      <c r="P2398">
        <v>1</v>
      </c>
      <c r="Q2398" s="80" t="str">
        <f>REPLACE(INDEX(GroupVertices[Group],MATCH(Edges[[#This Row],[Vertex 1]],GroupVertices[Vertex],0)),1,1,"")</f>
        <v>1</v>
      </c>
      <c r="R2398" s="80" t="str">
        <f>REPLACE(INDEX(GroupVertices[Group],MATCH(Edges[[#This Row],[Vertex 2]],GroupVertices[Vertex],0)),1,1,"")</f>
        <v>1</v>
      </c>
      <c r="S2398" s="34"/>
      <c r="T2398" s="34"/>
      <c r="U2398" s="34"/>
      <c r="V2398" s="34"/>
      <c r="W2398" s="34"/>
      <c r="X2398" s="34"/>
      <c r="Y2398" s="34"/>
      <c r="Z2398" s="34"/>
      <c r="AA2398" s="34"/>
    </row>
    <row r="2399" spans="1:27" ht="15">
      <c r="A2399" s="66" t="s">
        <v>253</v>
      </c>
      <c r="B2399" s="66" t="s">
        <v>252</v>
      </c>
      <c r="C2399" s="67" t="s">
        <v>4454</v>
      </c>
      <c r="D2399" s="68">
        <v>5</v>
      </c>
      <c r="E2399" s="69"/>
      <c r="F2399" s="70">
        <v>20</v>
      </c>
      <c r="G2399" s="67"/>
      <c r="H2399" s="71"/>
      <c r="I2399" s="72"/>
      <c r="J2399" s="72"/>
      <c r="K2399" s="34" t="s">
        <v>66</v>
      </c>
      <c r="L2399" s="79">
        <v>2399</v>
      </c>
      <c r="M2399" s="79"/>
      <c r="N2399" s="74"/>
      <c r="O2399" s="81" t="s">
        <v>944</v>
      </c>
      <c r="P2399">
        <v>1</v>
      </c>
      <c r="Q2399" s="80" t="str">
        <f>REPLACE(INDEX(GroupVertices[Group],MATCH(Edges[[#This Row],[Vertex 1]],GroupVertices[Vertex],0)),1,1,"")</f>
        <v>1</v>
      </c>
      <c r="R2399" s="80" t="str">
        <f>REPLACE(INDEX(GroupVertices[Group],MATCH(Edges[[#This Row],[Vertex 2]],GroupVertices[Vertex],0)),1,1,"")</f>
        <v>1</v>
      </c>
      <c r="S2399" s="34"/>
      <c r="T2399" s="34"/>
      <c r="U2399" s="34"/>
      <c r="V2399" s="34"/>
      <c r="W2399" s="34"/>
      <c r="X2399" s="34"/>
      <c r="Y2399" s="34"/>
      <c r="Z2399" s="34"/>
      <c r="AA2399" s="34"/>
    </row>
    <row r="2400" spans="1:27" ht="15">
      <c r="A2400" s="66" t="s">
        <v>254</v>
      </c>
      <c r="B2400" s="66" t="s">
        <v>252</v>
      </c>
      <c r="C2400" s="67" t="s">
        <v>4454</v>
      </c>
      <c r="D2400" s="68">
        <v>5</v>
      </c>
      <c r="E2400" s="69"/>
      <c r="F2400" s="70">
        <v>20</v>
      </c>
      <c r="G2400" s="67"/>
      <c r="H2400" s="71"/>
      <c r="I2400" s="72"/>
      <c r="J2400" s="72"/>
      <c r="K2400" s="34" t="s">
        <v>66</v>
      </c>
      <c r="L2400" s="79">
        <v>2400</v>
      </c>
      <c r="M2400" s="79"/>
      <c r="N2400" s="74"/>
      <c r="O2400" s="81" t="s">
        <v>944</v>
      </c>
      <c r="P2400">
        <v>1</v>
      </c>
      <c r="Q2400" s="80" t="str">
        <f>REPLACE(INDEX(GroupVertices[Group],MATCH(Edges[[#This Row],[Vertex 1]],GroupVertices[Vertex],0)),1,1,"")</f>
        <v>3</v>
      </c>
      <c r="R2400" s="80" t="str">
        <f>REPLACE(INDEX(GroupVertices[Group],MATCH(Edges[[#This Row],[Vertex 2]],GroupVertices[Vertex],0)),1,1,"")</f>
        <v>1</v>
      </c>
      <c r="S2400" s="34"/>
      <c r="T2400" s="34"/>
      <c r="U2400" s="34"/>
      <c r="V2400" s="34"/>
      <c r="W2400" s="34"/>
      <c r="X2400" s="34"/>
      <c r="Y2400" s="34"/>
      <c r="Z2400" s="34"/>
      <c r="AA2400" s="34"/>
    </row>
    <row r="2401" spans="1:27" ht="15">
      <c r="A2401" s="66" t="s">
        <v>256</v>
      </c>
      <c r="B2401" s="66" t="s">
        <v>252</v>
      </c>
      <c r="C2401" s="67" t="s">
        <v>4454</v>
      </c>
      <c r="D2401" s="68">
        <v>5</v>
      </c>
      <c r="E2401" s="69"/>
      <c r="F2401" s="70">
        <v>20</v>
      </c>
      <c r="G2401" s="67"/>
      <c r="H2401" s="71"/>
      <c r="I2401" s="72"/>
      <c r="J2401" s="72"/>
      <c r="K2401" s="34" t="s">
        <v>65</v>
      </c>
      <c r="L2401" s="79">
        <v>2401</v>
      </c>
      <c r="M2401" s="79"/>
      <c r="N2401" s="74"/>
      <c r="O2401" s="81" t="s">
        <v>944</v>
      </c>
      <c r="P2401">
        <v>1</v>
      </c>
      <c r="Q2401" s="80" t="str">
        <f>REPLACE(INDEX(GroupVertices[Group],MATCH(Edges[[#This Row],[Vertex 1]],GroupVertices[Vertex],0)),1,1,"")</f>
        <v>1</v>
      </c>
      <c r="R2401" s="80" t="str">
        <f>REPLACE(INDEX(GroupVertices[Group],MATCH(Edges[[#This Row],[Vertex 2]],GroupVertices[Vertex],0)),1,1,"")</f>
        <v>1</v>
      </c>
      <c r="S2401" s="34"/>
      <c r="T2401" s="34"/>
      <c r="U2401" s="34"/>
      <c r="V2401" s="34"/>
      <c r="W2401" s="34"/>
      <c r="X2401" s="34"/>
      <c r="Y2401" s="34"/>
      <c r="Z2401" s="34"/>
      <c r="AA2401" s="34"/>
    </row>
    <row r="2402" spans="1:27" ht="15">
      <c r="A2402" s="66" t="s">
        <v>258</v>
      </c>
      <c r="B2402" s="66" t="s">
        <v>252</v>
      </c>
      <c r="C2402" s="67" t="s">
        <v>4454</v>
      </c>
      <c r="D2402" s="68">
        <v>5</v>
      </c>
      <c r="E2402" s="69"/>
      <c r="F2402" s="70">
        <v>20</v>
      </c>
      <c r="G2402" s="67"/>
      <c r="H2402" s="71"/>
      <c r="I2402" s="72"/>
      <c r="J2402" s="72"/>
      <c r="K2402" s="34" t="s">
        <v>65</v>
      </c>
      <c r="L2402" s="79">
        <v>2402</v>
      </c>
      <c r="M2402" s="79"/>
      <c r="N2402" s="74"/>
      <c r="O2402" s="81" t="s">
        <v>944</v>
      </c>
      <c r="P2402">
        <v>1</v>
      </c>
      <c r="Q2402" s="80" t="str">
        <f>REPLACE(INDEX(GroupVertices[Group],MATCH(Edges[[#This Row],[Vertex 1]],GroupVertices[Vertex],0)),1,1,"")</f>
        <v>1</v>
      </c>
      <c r="R2402" s="80" t="str">
        <f>REPLACE(INDEX(GroupVertices[Group],MATCH(Edges[[#This Row],[Vertex 2]],GroupVertices[Vertex],0)),1,1,"")</f>
        <v>1</v>
      </c>
      <c r="S2402" s="34"/>
      <c r="T2402" s="34"/>
      <c r="U2402" s="34"/>
      <c r="V2402" s="34"/>
      <c r="W2402" s="34"/>
      <c r="X2402" s="34"/>
      <c r="Y2402" s="34"/>
      <c r="Z2402" s="34"/>
      <c r="AA2402" s="34"/>
    </row>
    <row r="2403" spans="1:27" ht="15">
      <c r="A2403" s="66" t="s">
        <v>261</v>
      </c>
      <c r="B2403" s="66" t="s">
        <v>252</v>
      </c>
      <c r="C2403" s="67" t="s">
        <v>4454</v>
      </c>
      <c r="D2403" s="68">
        <v>5</v>
      </c>
      <c r="E2403" s="69"/>
      <c r="F2403" s="70">
        <v>20</v>
      </c>
      <c r="G2403" s="67"/>
      <c r="H2403" s="71"/>
      <c r="I2403" s="72"/>
      <c r="J2403" s="72"/>
      <c r="K2403" s="34" t="s">
        <v>66</v>
      </c>
      <c r="L2403" s="79">
        <v>2403</v>
      </c>
      <c r="M2403" s="79"/>
      <c r="N2403" s="74"/>
      <c r="O2403" s="81" t="s">
        <v>944</v>
      </c>
      <c r="P2403">
        <v>1</v>
      </c>
      <c r="Q2403" s="80" t="str">
        <f>REPLACE(INDEX(GroupVertices[Group],MATCH(Edges[[#This Row],[Vertex 1]],GroupVertices[Vertex],0)),1,1,"")</f>
        <v>1</v>
      </c>
      <c r="R2403" s="80" t="str">
        <f>REPLACE(INDEX(GroupVertices[Group],MATCH(Edges[[#This Row],[Vertex 2]],GroupVertices[Vertex],0)),1,1,"")</f>
        <v>1</v>
      </c>
      <c r="S2403" s="34"/>
      <c r="T2403" s="34"/>
      <c r="U2403" s="34"/>
      <c r="V2403" s="34"/>
      <c r="W2403" s="34"/>
      <c r="X2403" s="34"/>
      <c r="Y2403" s="34"/>
      <c r="Z2403" s="34"/>
      <c r="AA2403" s="34"/>
    </row>
    <row r="2404" spans="1:27" ht="15">
      <c r="A2404" s="66" t="s">
        <v>253</v>
      </c>
      <c r="B2404" s="66" t="s">
        <v>485</v>
      </c>
      <c r="C2404" s="67" t="s">
        <v>4454</v>
      </c>
      <c r="D2404" s="68">
        <v>5</v>
      </c>
      <c r="E2404" s="69"/>
      <c r="F2404" s="70">
        <v>20</v>
      </c>
      <c r="G2404" s="67"/>
      <c r="H2404" s="71"/>
      <c r="I2404" s="72"/>
      <c r="J2404" s="72"/>
      <c r="K2404" s="34" t="s">
        <v>65</v>
      </c>
      <c r="L2404" s="79">
        <v>2404</v>
      </c>
      <c r="M2404" s="79"/>
      <c r="N2404" s="74"/>
      <c r="O2404" s="81" t="s">
        <v>944</v>
      </c>
      <c r="P2404">
        <v>1</v>
      </c>
      <c r="Q2404" s="80" t="str">
        <f>REPLACE(INDEX(GroupVertices[Group],MATCH(Edges[[#This Row],[Vertex 1]],GroupVertices[Vertex],0)),1,1,"")</f>
        <v>1</v>
      </c>
      <c r="R2404" s="80" t="str">
        <f>REPLACE(INDEX(GroupVertices[Group],MATCH(Edges[[#This Row],[Vertex 2]],GroupVertices[Vertex],0)),1,1,"")</f>
        <v>1</v>
      </c>
      <c r="S2404" s="34"/>
      <c r="T2404" s="34"/>
      <c r="U2404" s="34"/>
      <c r="V2404" s="34"/>
      <c r="W2404" s="34"/>
      <c r="X2404" s="34"/>
      <c r="Y2404" s="34"/>
      <c r="Z2404" s="34"/>
      <c r="AA2404" s="34"/>
    </row>
    <row r="2405" spans="1:27" ht="15">
      <c r="A2405" s="66" t="s">
        <v>254</v>
      </c>
      <c r="B2405" s="66" t="s">
        <v>485</v>
      </c>
      <c r="C2405" s="67" t="s">
        <v>4454</v>
      </c>
      <c r="D2405" s="68">
        <v>5</v>
      </c>
      <c r="E2405" s="69"/>
      <c r="F2405" s="70">
        <v>20</v>
      </c>
      <c r="G2405" s="67"/>
      <c r="H2405" s="71"/>
      <c r="I2405" s="72"/>
      <c r="J2405" s="72"/>
      <c r="K2405" s="34" t="s">
        <v>65</v>
      </c>
      <c r="L2405" s="79">
        <v>2405</v>
      </c>
      <c r="M2405" s="79"/>
      <c r="N2405" s="74"/>
      <c r="O2405" s="81" t="s">
        <v>944</v>
      </c>
      <c r="P2405">
        <v>1</v>
      </c>
      <c r="Q2405" s="80" t="str">
        <f>REPLACE(INDEX(GroupVertices[Group],MATCH(Edges[[#This Row],[Vertex 1]],GroupVertices[Vertex],0)),1,1,"")</f>
        <v>3</v>
      </c>
      <c r="R2405" s="80" t="str">
        <f>REPLACE(INDEX(GroupVertices[Group],MATCH(Edges[[#This Row],[Vertex 2]],GroupVertices[Vertex],0)),1,1,"")</f>
        <v>1</v>
      </c>
      <c r="S2405" s="34"/>
      <c r="T2405" s="34"/>
      <c r="U2405" s="34"/>
      <c r="V2405" s="34"/>
      <c r="W2405" s="34"/>
      <c r="X2405" s="34"/>
      <c r="Y2405" s="34"/>
      <c r="Z2405" s="34"/>
      <c r="AA2405" s="34"/>
    </row>
    <row r="2406" spans="1:27" ht="15">
      <c r="A2406" s="66" t="s">
        <v>256</v>
      </c>
      <c r="B2406" s="66" t="s">
        <v>485</v>
      </c>
      <c r="C2406" s="67" t="s">
        <v>4454</v>
      </c>
      <c r="D2406" s="68">
        <v>5</v>
      </c>
      <c r="E2406" s="69"/>
      <c r="F2406" s="70">
        <v>20</v>
      </c>
      <c r="G2406" s="67"/>
      <c r="H2406" s="71"/>
      <c r="I2406" s="72"/>
      <c r="J2406" s="72"/>
      <c r="K2406" s="34" t="s">
        <v>65</v>
      </c>
      <c r="L2406" s="79">
        <v>2406</v>
      </c>
      <c r="M2406" s="79"/>
      <c r="N2406" s="74"/>
      <c r="O2406" s="81" t="s">
        <v>944</v>
      </c>
      <c r="P2406">
        <v>1</v>
      </c>
      <c r="Q2406" s="80" t="str">
        <f>REPLACE(INDEX(GroupVertices[Group],MATCH(Edges[[#This Row],[Vertex 1]],GroupVertices[Vertex],0)),1,1,"")</f>
        <v>1</v>
      </c>
      <c r="R2406" s="80" t="str">
        <f>REPLACE(INDEX(GroupVertices[Group],MATCH(Edges[[#This Row],[Vertex 2]],GroupVertices[Vertex],0)),1,1,"")</f>
        <v>1</v>
      </c>
      <c r="S2406" s="34"/>
      <c r="T2406" s="34"/>
      <c r="U2406" s="34"/>
      <c r="V2406" s="34"/>
      <c r="W2406" s="34"/>
      <c r="X2406" s="34"/>
      <c r="Y2406" s="34"/>
      <c r="Z2406" s="34"/>
      <c r="AA2406" s="34"/>
    </row>
    <row r="2407" spans="1:27" ht="15">
      <c r="A2407" s="66" t="s">
        <v>261</v>
      </c>
      <c r="B2407" s="66" t="s">
        <v>485</v>
      </c>
      <c r="C2407" s="67" t="s">
        <v>4454</v>
      </c>
      <c r="D2407" s="68">
        <v>5</v>
      </c>
      <c r="E2407" s="69"/>
      <c r="F2407" s="70">
        <v>20</v>
      </c>
      <c r="G2407" s="67"/>
      <c r="H2407" s="71"/>
      <c r="I2407" s="72"/>
      <c r="J2407" s="72"/>
      <c r="K2407" s="34" t="s">
        <v>65</v>
      </c>
      <c r="L2407" s="79">
        <v>2407</v>
      </c>
      <c r="M2407" s="79"/>
      <c r="N2407" s="74"/>
      <c r="O2407" s="81" t="s">
        <v>944</v>
      </c>
      <c r="P2407">
        <v>1</v>
      </c>
      <c r="Q2407" s="80" t="str">
        <f>REPLACE(INDEX(GroupVertices[Group],MATCH(Edges[[#This Row],[Vertex 1]],GroupVertices[Vertex],0)),1,1,"")</f>
        <v>1</v>
      </c>
      <c r="R2407" s="80" t="str">
        <f>REPLACE(INDEX(GroupVertices[Group],MATCH(Edges[[#This Row],[Vertex 2]],GroupVertices[Vertex],0)),1,1,"")</f>
        <v>1</v>
      </c>
      <c r="S2407" s="34"/>
      <c r="T2407" s="34"/>
      <c r="U2407" s="34"/>
      <c r="V2407" s="34"/>
      <c r="W2407" s="34"/>
      <c r="X2407" s="34"/>
      <c r="Y2407" s="34"/>
      <c r="Z2407" s="34"/>
      <c r="AA2407" s="34"/>
    </row>
    <row r="2408" spans="1:27" ht="15">
      <c r="A2408" s="66" t="s">
        <v>253</v>
      </c>
      <c r="B2408" s="66" t="s">
        <v>254</v>
      </c>
      <c r="C2408" s="67" t="s">
        <v>4454</v>
      </c>
      <c r="D2408" s="68">
        <v>5</v>
      </c>
      <c r="E2408" s="69"/>
      <c r="F2408" s="70">
        <v>20</v>
      </c>
      <c r="G2408" s="67"/>
      <c r="H2408" s="71"/>
      <c r="I2408" s="72"/>
      <c r="J2408" s="72"/>
      <c r="K2408" s="34" t="s">
        <v>66</v>
      </c>
      <c r="L2408" s="79">
        <v>2408</v>
      </c>
      <c r="M2408" s="79"/>
      <c r="N2408" s="74"/>
      <c r="O2408" s="81" t="s">
        <v>944</v>
      </c>
      <c r="P2408">
        <v>1</v>
      </c>
      <c r="Q2408" s="80" t="str">
        <f>REPLACE(INDEX(GroupVertices[Group],MATCH(Edges[[#This Row],[Vertex 1]],GroupVertices[Vertex],0)),1,1,"")</f>
        <v>1</v>
      </c>
      <c r="R2408" s="80" t="str">
        <f>REPLACE(INDEX(GroupVertices[Group],MATCH(Edges[[#This Row],[Vertex 2]],GroupVertices[Vertex],0)),1,1,"")</f>
        <v>3</v>
      </c>
      <c r="S2408" s="34"/>
      <c r="T2408" s="34"/>
      <c r="U2408" s="34"/>
      <c r="V2408" s="34"/>
      <c r="W2408" s="34"/>
      <c r="X2408" s="34"/>
      <c r="Y2408" s="34"/>
      <c r="Z2408" s="34"/>
      <c r="AA2408" s="34"/>
    </row>
    <row r="2409" spans="1:27" ht="15">
      <c r="A2409" s="66" t="s">
        <v>254</v>
      </c>
      <c r="B2409" s="66" t="s">
        <v>886</v>
      </c>
      <c r="C2409" s="67" t="s">
        <v>4454</v>
      </c>
      <c r="D2409" s="68">
        <v>5</v>
      </c>
      <c r="E2409" s="69"/>
      <c r="F2409" s="70">
        <v>20</v>
      </c>
      <c r="G2409" s="67"/>
      <c r="H2409" s="71"/>
      <c r="I2409" s="72"/>
      <c r="J2409" s="72"/>
      <c r="K2409" s="34" t="s">
        <v>65</v>
      </c>
      <c r="L2409" s="79">
        <v>2409</v>
      </c>
      <c r="M2409" s="79"/>
      <c r="N2409" s="74"/>
      <c r="O2409" s="81" t="s">
        <v>944</v>
      </c>
      <c r="P2409">
        <v>1</v>
      </c>
      <c r="Q2409" s="80" t="str">
        <f>REPLACE(INDEX(GroupVertices[Group],MATCH(Edges[[#This Row],[Vertex 1]],GroupVertices[Vertex],0)),1,1,"")</f>
        <v>3</v>
      </c>
      <c r="R2409" s="80" t="str">
        <f>REPLACE(INDEX(GroupVertices[Group],MATCH(Edges[[#This Row],[Vertex 2]],GroupVertices[Vertex],0)),1,1,"")</f>
        <v>4</v>
      </c>
      <c r="S2409" s="34"/>
      <c r="T2409" s="34"/>
      <c r="U2409" s="34"/>
      <c r="V2409" s="34"/>
      <c r="W2409" s="34"/>
      <c r="X2409" s="34"/>
      <c r="Y2409" s="34"/>
      <c r="Z2409" s="34"/>
      <c r="AA2409" s="34"/>
    </row>
    <row r="2410" spans="1:27" ht="15">
      <c r="A2410" s="66" t="s">
        <v>254</v>
      </c>
      <c r="B2410" s="66" t="s">
        <v>261</v>
      </c>
      <c r="C2410" s="67" t="s">
        <v>4454</v>
      </c>
      <c r="D2410" s="68">
        <v>5</v>
      </c>
      <c r="E2410" s="69"/>
      <c r="F2410" s="70">
        <v>20</v>
      </c>
      <c r="G2410" s="67"/>
      <c r="H2410" s="71"/>
      <c r="I2410" s="72"/>
      <c r="J2410" s="72"/>
      <c r="K2410" s="34" t="s">
        <v>66</v>
      </c>
      <c r="L2410" s="79">
        <v>2410</v>
      </c>
      <c r="M2410" s="79"/>
      <c r="N2410" s="74"/>
      <c r="O2410" s="81" t="s">
        <v>944</v>
      </c>
      <c r="P2410">
        <v>1</v>
      </c>
      <c r="Q2410" s="80" t="str">
        <f>REPLACE(INDEX(GroupVertices[Group],MATCH(Edges[[#This Row],[Vertex 1]],GroupVertices[Vertex],0)),1,1,"")</f>
        <v>3</v>
      </c>
      <c r="R2410" s="80" t="str">
        <f>REPLACE(INDEX(GroupVertices[Group],MATCH(Edges[[#This Row],[Vertex 2]],GroupVertices[Vertex],0)),1,1,"")</f>
        <v>1</v>
      </c>
      <c r="S2410" s="34"/>
      <c r="T2410" s="34"/>
      <c r="U2410" s="34"/>
      <c r="V2410" s="34"/>
      <c r="W2410" s="34"/>
      <c r="X2410" s="34"/>
      <c r="Y2410" s="34"/>
      <c r="Z2410" s="34"/>
      <c r="AA2410" s="34"/>
    </row>
    <row r="2411" spans="1:27" ht="15">
      <c r="A2411" s="66" t="s">
        <v>254</v>
      </c>
      <c r="B2411" s="66" t="s">
        <v>253</v>
      </c>
      <c r="C2411" s="67" t="s">
        <v>4454</v>
      </c>
      <c r="D2411" s="68">
        <v>5</v>
      </c>
      <c r="E2411" s="69"/>
      <c r="F2411" s="70">
        <v>20</v>
      </c>
      <c r="G2411" s="67"/>
      <c r="H2411" s="71"/>
      <c r="I2411" s="72"/>
      <c r="J2411" s="72"/>
      <c r="K2411" s="34" t="s">
        <v>66</v>
      </c>
      <c r="L2411" s="79">
        <v>2411</v>
      </c>
      <c r="M2411" s="79"/>
      <c r="N2411" s="74"/>
      <c r="O2411" s="81" t="s">
        <v>944</v>
      </c>
      <c r="P2411">
        <v>1</v>
      </c>
      <c r="Q2411" s="80" t="str">
        <f>REPLACE(INDEX(GroupVertices[Group],MATCH(Edges[[#This Row],[Vertex 1]],GroupVertices[Vertex],0)),1,1,"")</f>
        <v>3</v>
      </c>
      <c r="R2411" s="80" t="str">
        <f>REPLACE(INDEX(GroupVertices[Group],MATCH(Edges[[#This Row],[Vertex 2]],GroupVertices[Vertex],0)),1,1,"")</f>
        <v>1</v>
      </c>
      <c r="S2411" s="34"/>
      <c r="T2411" s="34"/>
      <c r="U2411" s="34"/>
      <c r="V2411" s="34"/>
      <c r="W2411" s="34"/>
      <c r="X2411" s="34"/>
      <c r="Y2411" s="34"/>
      <c r="Z2411" s="34"/>
      <c r="AA2411" s="34"/>
    </row>
    <row r="2412" spans="1:27" ht="15">
      <c r="A2412" s="66" t="s">
        <v>256</v>
      </c>
      <c r="B2412" s="66" t="s">
        <v>254</v>
      </c>
      <c r="C2412" s="67" t="s">
        <v>4454</v>
      </c>
      <c r="D2412" s="68">
        <v>5</v>
      </c>
      <c r="E2412" s="69"/>
      <c r="F2412" s="70">
        <v>20</v>
      </c>
      <c r="G2412" s="67"/>
      <c r="H2412" s="71"/>
      <c r="I2412" s="72"/>
      <c r="J2412" s="72"/>
      <c r="K2412" s="34" t="s">
        <v>65</v>
      </c>
      <c r="L2412" s="79">
        <v>2412</v>
      </c>
      <c r="M2412" s="79"/>
      <c r="N2412" s="74"/>
      <c r="O2412" s="81" t="s">
        <v>944</v>
      </c>
      <c r="P2412">
        <v>1</v>
      </c>
      <c r="Q2412" s="80" t="str">
        <f>REPLACE(INDEX(GroupVertices[Group],MATCH(Edges[[#This Row],[Vertex 1]],GroupVertices[Vertex],0)),1,1,"")</f>
        <v>1</v>
      </c>
      <c r="R2412" s="80" t="str">
        <f>REPLACE(INDEX(GroupVertices[Group],MATCH(Edges[[#This Row],[Vertex 2]],GroupVertices[Vertex],0)),1,1,"")</f>
        <v>3</v>
      </c>
      <c r="S2412" s="34"/>
      <c r="T2412" s="34"/>
      <c r="U2412" s="34"/>
      <c r="V2412" s="34"/>
      <c r="W2412" s="34"/>
      <c r="X2412" s="34"/>
      <c r="Y2412" s="34"/>
      <c r="Z2412" s="34"/>
      <c r="AA2412" s="34"/>
    </row>
    <row r="2413" spans="1:27" ht="15">
      <c r="A2413" s="66" t="s">
        <v>258</v>
      </c>
      <c r="B2413" s="66" t="s">
        <v>254</v>
      </c>
      <c r="C2413" s="67" t="s">
        <v>4454</v>
      </c>
      <c r="D2413" s="68">
        <v>5</v>
      </c>
      <c r="E2413" s="69"/>
      <c r="F2413" s="70">
        <v>20</v>
      </c>
      <c r="G2413" s="67"/>
      <c r="H2413" s="71"/>
      <c r="I2413" s="72"/>
      <c r="J2413" s="72"/>
      <c r="K2413" s="34" t="s">
        <v>65</v>
      </c>
      <c r="L2413" s="79">
        <v>2413</v>
      </c>
      <c r="M2413" s="79"/>
      <c r="N2413" s="74"/>
      <c r="O2413" s="81" t="s">
        <v>944</v>
      </c>
      <c r="P2413">
        <v>1</v>
      </c>
      <c r="Q2413" s="80" t="str">
        <f>REPLACE(INDEX(GroupVertices[Group],MATCH(Edges[[#This Row],[Vertex 1]],GroupVertices[Vertex],0)),1,1,"")</f>
        <v>1</v>
      </c>
      <c r="R2413" s="80" t="str">
        <f>REPLACE(INDEX(GroupVertices[Group],MATCH(Edges[[#This Row],[Vertex 2]],GroupVertices[Vertex],0)),1,1,"")</f>
        <v>3</v>
      </c>
      <c r="S2413" s="34"/>
      <c r="T2413" s="34"/>
      <c r="U2413" s="34"/>
      <c r="V2413" s="34"/>
      <c r="W2413" s="34"/>
      <c r="X2413" s="34"/>
      <c r="Y2413" s="34"/>
      <c r="Z2413" s="34"/>
      <c r="AA2413" s="34"/>
    </row>
    <row r="2414" spans="1:27" ht="15">
      <c r="A2414" s="66" t="s">
        <v>261</v>
      </c>
      <c r="B2414" s="66" t="s">
        <v>254</v>
      </c>
      <c r="C2414" s="67" t="s">
        <v>4454</v>
      </c>
      <c r="D2414" s="68">
        <v>5</v>
      </c>
      <c r="E2414" s="69"/>
      <c r="F2414" s="70">
        <v>20</v>
      </c>
      <c r="G2414" s="67"/>
      <c r="H2414" s="71"/>
      <c r="I2414" s="72"/>
      <c r="J2414" s="72"/>
      <c r="K2414" s="34" t="s">
        <v>66</v>
      </c>
      <c r="L2414" s="79">
        <v>2414</v>
      </c>
      <c r="M2414" s="79"/>
      <c r="N2414" s="74"/>
      <c r="O2414" s="81" t="s">
        <v>944</v>
      </c>
      <c r="P2414">
        <v>1</v>
      </c>
      <c r="Q2414" s="80" t="str">
        <f>REPLACE(INDEX(GroupVertices[Group],MATCH(Edges[[#This Row],[Vertex 1]],GroupVertices[Vertex],0)),1,1,"")</f>
        <v>1</v>
      </c>
      <c r="R2414" s="80" t="str">
        <f>REPLACE(INDEX(GroupVertices[Group],MATCH(Edges[[#This Row],[Vertex 2]],GroupVertices[Vertex],0)),1,1,"")</f>
        <v>3</v>
      </c>
      <c r="S2414" s="34"/>
      <c r="T2414" s="34"/>
      <c r="U2414" s="34"/>
      <c r="V2414" s="34"/>
      <c r="W2414" s="34"/>
      <c r="X2414" s="34"/>
      <c r="Y2414" s="34"/>
      <c r="Z2414" s="34"/>
      <c r="AA2414" s="34"/>
    </row>
    <row r="2415" spans="1:27" ht="15">
      <c r="A2415" s="66" t="s">
        <v>261</v>
      </c>
      <c r="B2415" s="66" t="s">
        <v>616</v>
      </c>
      <c r="C2415" s="67" t="s">
        <v>4454</v>
      </c>
      <c r="D2415" s="68">
        <v>5</v>
      </c>
      <c r="E2415" s="69"/>
      <c r="F2415" s="70">
        <v>20</v>
      </c>
      <c r="G2415" s="67"/>
      <c r="H2415" s="71"/>
      <c r="I2415" s="72"/>
      <c r="J2415" s="72"/>
      <c r="K2415" s="34" t="s">
        <v>65</v>
      </c>
      <c r="L2415" s="79">
        <v>2415</v>
      </c>
      <c r="M2415" s="79"/>
      <c r="N2415" s="74"/>
      <c r="O2415" s="81" t="s">
        <v>944</v>
      </c>
      <c r="P2415">
        <v>1</v>
      </c>
      <c r="Q2415" s="80" t="str">
        <f>REPLACE(INDEX(GroupVertices[Group],MATCH(Edges[[#This Row],[Vertex 1]],GroupVertices[Vertex],0)),1,1,"")</f>
        <v>1</v>
      </c>
      <c r="R2415" s="80" t="str">
        <f>REPLACE(INDEX(GroupVertices[Group],MATCH(Edges[[#This Row],[Vertex 2]],GroupVertices[Vertex],0)),1,1,"")</f>
        <v>1</v>
      </c>
      <c r="S2415" s="34"/>
      <c r="T2415" s="34"/>
      <c r="U2415" s="34"/>
      <c r="V2415" s="34"/>
      <c r="W2415" s="34"/>
      <c r="X2415" s="34"/>
      <c r="Y2415" s="34"/>
      <c r="Z2415" s="34"/>
      <c r="AA2415" s="34"/>
    </row>
    <row r="2416" spans="1:27" ht="15">
      <c r="A2416" s="66" t="s">
        <v>261</v>
      </c>
      <c r="B2416" s="66" t="s">
        <v>940</v>
      </c>
      <c r="C2416" s="67" t="s">
        <v>4454</v>
      </c>
      <c r="D2416" s="68">
        <v>5</v>
      </c>
      <c r="E2416" s="69"/>
      <c r="F2416" s="70">
        <v>20</v>
      </c>
      <c r="G2416" s="67"/>
      <c r="H2416" s="71"/>
      <c r="I2416" s="72"/>
      <c r="J2416" s="72"/>
      <c r="K2416" s="34"/>
      <c r="L2416" s="79">
        <v>2416</v>
      </c>
      <c r="M2416" s="79"/>
      <c r="N2416" s="74"/>
      <c r="O2416" s="81" t="s">
        <v>944</v>
      </c>
      <c r="P2416">
        <v>1</v>
      </c>
      <c r="Q2416" s="80" t="str">
        <f>REPLACE(INDEX(GroupVertices[Group],MATCH(Edges[[#This Row],[Vertex 1]],GroupVertices[Vertex],0)),1,1,"")</f>
        <v>1</v>
      </c>
      <c r="R2416" s="80" t="e">
        <f>REPLACE(INDEX(GroupVertices[Group],MATCH(Edges[[#This Row],[Vertex 2]],GroupVertices[Vertex],0)),1,1,"")</f>
        <v>#N/A</v>
      </c>
      <c r="S2416" s="34"/>
      <c r="T2416" s="34"/>
      <c r="U2416" s="34"/>
      <c r="V2416" s="34"/>
      <c r="W2416" s="34"/>
      <c r="X2416" s="34"/>
      <c r="Y2416" s="34"/>
      <c r="Z2416" s="34"/>
      <c r="AA2416" s="34"/>
    </row>
    <row r="2417" spans="1:27" ht="15">
      <c r="A2417" s="66" t="s">
        <v>232</v>
      </c>
      <c r="B2417" s="66" t="s">
        <v>253</v>
      </c>
      <c r="C2417" s="67" t="s">
        <v>4454</v>
      </c>
      <c r="D2417" s="68">
        <v>5</v>
      </c>
      <c r="E2417" s="69"/>
      <c r="F2417" s="70">
        <v>20</v>
      </c>
      <c r="G2417" s="67"/>
      <c r="H2417" s="71"/>
      <c r="I2417" s="72"/>
      <c r="J2417" s="72"/>
      <c r="K2417" s="34" t="s">
        <v>66</v>
      </c>
      <c r="L2417" s="79">
        <v>2417</v>
      </c>
      <c r="M2417" s="79"/>
      <c r="N2417" s="74"/>
      <c r="O2417" s="81" t="s">
        <v>944</v>
      </c>
      <c r="P2417">
        <v>1</v>
      </c>
      <c r="Q2417" s="80" t="str">
        <f>REPLACE(INDEX(GroupVertices[Group],MATCH(Edges[[#This Row],[Vertex 1]],GroupVertices[Vertex],0)),1,1,"")</f>
        <v>1</v>
      </c>
      <c r="R2417" s="80" t="str">
        <f>REPLACE(INDEX(GroupVertices[Group],MATCH(Edges[[#This Row],[Vertex 2]],GroupVertices[Vertex],0)),1,1,"")</f>
        <v>1</v>
      </c>
      <c r="S2417" s="34"/>
      <c r="T2417" s="34"/>
      <c r="U2417" s="34"/>
      <c r="V2417" s="34"/>
      <c r="W2417" s="34"/>
      <c r="X2417" s="34"/>
      <c r="Y2417" s="34"/>
      <c r="Z2417" s="34"/>
      <c r="AA2417" s="34"/>
    </row>
    <row r="2418" spans="1:27" ht="15">
      <c r="A2418" s="66" t="s">
        <v>232</v>
      </c>
      <c r="B2418" s="66" t="s">
        <v>261</v>
      </c>
      <c r="C2418" s="67" t="s">
        <v>4454</v>
      </c>
      <c r="D2418" s="68">
        <v>5</v>
      </c>
      <c r="E2418" s="69"/>
      <c r="F2418" s="70">
        <v>20</v>
      </c>
      <c r="G2418" s="67"/>
      <c r="H2418" s="71"/>
      <c r="I2418" s="72"/>
      <c r="J2418" s="72"/>
      <c r="K2418" s="34" t="s">
        <v>66</v>
      </c>
      <c r="L2418" s="79">
        <v>2418</v>
      </c>
      <c r="M2418" s="79"/>
      <c r="N2418" s="74"/>
      <c r="O2418" s="81" t="s">
        <v>944</v>
      </c>
      <c r="P2418">
        <v>1</v>
      </c>
      <c r="Q2418" s="80" t="str">
        <f>REPLACE(INDEX(GroupVertices[Group],MATCH(Edges[[#This Row],[Vertex 1]],GroupVertices[Vertex],0)),1,1,"")</f>
        <v>1</v>
      </c>
      <c r="R2418" s="80" t="str">
        <f>REPLACE(INDEX(GroupVertices[Group],MATCH(Edges[[#This Row],[Vertex 2]],GroupVertices[Vertex],0)),1,1,"")</f>
        <v>1</v>
      </c>
      <c r="S2418" s="34"/>
      <c r="T2418" s="34"/>
      <c r="U2418" s="34"/>
      <c r="V2418" s="34"/>
      <c r="W2418" s="34"/>
      <c r="X2418" s="34"/>
      <c r="Y2418" s="34"/>
      <c r="Z2418" s="34"/>
      <c r="AA2418" s="34"/>
    </row>
    <row r="2419" spans="1:27" ht="15">
      <c r="A2419" s="66" t="s">
        <v>253</v>
      </c>
      <c r="B2419" s="66" t="s">
        <v>232</v>
      </c>
      <c r="C2419" s="67" t="s">
        <v>4454</v>
      </c>
      <c r="D2419" s="68">
        <v>5</v>
      </c>
      <c r="E2419" s="69"/>
      <c r="F2419" s="70">
        <v>20</v>
      </c>
      <c r="G2419" s="67"/>
      <c r="H2419" s="71"/>
      <c r="I2419" s="72"/>
      <c r="J2419" s="72"/>
      <c r="K2419" s="34" t="s">
        <v>66</v>
      </c>
      <c r="L2419" s="79">
        <v>2419</v>
      </c>
      <c r="M2419" s="79"/>
      <c r="N2419" s="74"/>
      <c r="O2419" s="81" t="s">
        <v>944</v>
      </c>
      <c r="P2419">
        <v>1</v>
      </c>
      <c r="Q2419" s="80" t="str">
        <f>REPLACE(INDEX(GroupVertices[Group],MATCH(Edges[[#This Row],[Vertex 1]],GroupVertices[Vertex],0)),1,1,"")</f>
        <v>1</v>
      </c>
      <c r="R2419" s="80" t="str">
        <f>REPLACE(INDEX(GroupVertices[Group],MATCH(Edges[[#This Row],[Vertex 2]],GroupVertices[Vertex],0)),1,1,"")</f>
        <v>1</v>
      </c>
      <c r="S2419" s="34"/>
      <c r="T2419" s="34"/>
      <c r="U2419" s="34"/>
      <c r="V2419" s="34"/>
      <c r="W2419" s="34"/>
      <c r="X2419" s="34"/>
      <c r="Y2419" s="34"/>
      <c r="Z2419" s="34"/>
      <c r="AA2419" s="34"/>
    </row>
    <row r="2420" spans="1:27" ht="15">
      <c r="A2420" s="66" t="s">
        <v>261</v>
      </c>
      <c r="B2420" s="66" t="s">
        <v>232</v>
      </c>
      <c r="C2420" s="67" t="s">
        <v>4454</v>
      </c>
      <c r="D2420" s="68">
        <v>5</v>
      </c>
      <c r="E2420" s="69"/>
      <c r="F2420" s="70">
        <v>20</v>
      </c>
      <c r="G2420" s="67"/>
      <c r="H2420" s="71"/>
      <c r="I2420" s="72"/>
      <c r="J2420" s="72"/>
      <c r="K2420" s="34" t="s">
        <v>66</v>
      </c>
      <c r="L2420" s="79">
        <v>2420</v>
      </c>
      <c r="M2420" s="79"/>
      <c r="N2420" s="74"/>
      <c r="O2420" s="81" t="s">
        <v>944</v>
      </c>
      <c r="P2420">
        <v>1</v>
      </c>
      <c r="Q2420" s="80" t="str">
        <f>REPLACE(INDEX(GroupVertices[Group],MATCH(Edges[[#This Row],[Vertex 1]],GroupVertices[Vertex],0)),1,1,"")</f>
        <v>1</v>
      </c>
      <c r="R2420" s="80" t="str">
        <f>REPLACE(INDEX(GroupVertices[Group],MATCH(Edges[[#This Row],[Vertex 2]],GroupVertices[Vertex],0)),1,1,"")</f>
        <v>1</v>
      </c>
      <c r="S2420" s="34"/>
      <c r="T2420" s="34"/>
      <c r="U2420" s="34"/>
      <c r="V2420" s="34"/>
      <c r="W2420" s="34"/>
      <c r="X2420" s="34"/>
      <c r="Y2420" s="34"/>
      <c r="Z2420" s="34"/>
      <c r="AA2420" s="34"/>
    </row>
    <row r="2421" spans="1:27" ht="15">
      <c r="A2421" s="66" t="s">
        <v>253</v>
      </c>
      <c r="B2421" s="66" t="s">
        <v>261</v>
      </c>
      <c r="C2421" s="67" t="s">
        <v>4454</v>
      </c>
      <c r="D2421" s="68">
        <v>5</v>
      </c>
      <c r="E2421" s="69"/>
      <c r="F2421" s="70">
        <v>20</v>
      </c>
      <c r="G2421" s="67"/>
      <c r="H2421" s="71"/>
      <c r="I2421" s="72"/>
      <c r="J2421" s="72"/>
      <c r="K2421" s="34" t="s">
        <v>66</v>
      </c>
      <c r="L2421" s="79">
        <v>2421</v>
      </c>
      <c r="M2421" s="79"/>
      <c r="N2421" s="74"/>
      <c r="O2421" s="81" t="s">
        <v>944</v>
      </c>
      <c r="P2421">
        <v>1</v>
      </c>
      <c r="Q2421" s="80" t="str">
        <f>REPLACE(INDEX(GroupVertices[Group],MATCH(Edges[[#This Row],[Vertex 1]],GroupVertices[Vertex],0)),1,1,"")</f>
        <v>1</v>
      </c>
      <c r="R2421" s="80" t="str">
        <f>REPLACE(INDEX(GroupVertices[Group],MATCH(Edges[[#This Row],[Vertex 2]],GroupVertices[Vertex],0)),1,1,"")</f>
        <v>1</v>
      </c>
      <c r="S2421" s="34"/>
      <c r="T2421" s="34"/>
      <c r="U2421" s="34"/>
      <c r="V2421" s="34"/>
      <c r="W2421" s="34"/>
      <c r="X2421" s="34"/>
      <c r="Y2421" s="34"/>
      <c r="Z2421" s="34"/>
      <c r="AA2421" s="34"/>
    </row>
    <row r="2422" spans="1:27" ht="15">
      <c r="A2422" s="66" t="s">
        <v>256</v>
      </c>
      <c r="B2422" s="66" t="s">
        <v>253</v>
      </c>
      <c r="C2422" s="67" t="s">
        <v>4454</v>
      </c>
      <c r="D2422" s="68">
        <v>5</v>
      </c>
      <c r="E2422" s="69"/>
      <c r="F2422" s="70">
        <v>20</v>
      </c>
      <c r="G2422" s="67"/>
      <c r="H2422" s="71"/>
      <c r="I2422" s="72"/>
      <c r="J2422" s="72"/>
      <c r="K2422" s="34" t="s">
        <v>65</v>
      </c>
      <c r="L2422" s="79">
        <v>2422</v>
      </c>
      <c r="M2422" s="79"/>
      <c r="N2422" s="74"/>
      <c r="O2422" s="81" t="s">
        <v>944</v>
      </c>
      <c r="P2422">
        <v>1</v>
      </c>
      <c r="Q2422" s="80" t="str">
        <f>REPLACE(INDEX(GroupVertices[Group],MATCH(Edges[[#This Row],[Vertex 1]],GroupVertices[Vertex],0)),1,1,"")</f>
        <v>1</v>
      </c>
      <c r="R2422" s="80" t="str">
        <f>REPLACE(INDEX(GroupVertices[Group],MATCH(Edges[[#This Row],[Vertex 2]],GroupVertices[Vertex],0)),1,1,"")</f>
        <v>1</v>
      </c>
      <c r="S2422" s="34"/>
      <c r="T2422" s="34"/>
      <c r="U2422" s="34"/>
      <c r="V2422" s="34"/>
      <c r="W2422" s="34"/>
      <c r="X2422" s="34"/>
      <c r="Y2422" s="34"/>
      <c r="Z2422" s="34"/>
      <c r="AA2422" s="34"/>
    </row>
    <row r="2423" spans="1:27" ht="15">
      <c r="A2423" s="66" t="s">
        <v>258</v>
      </c>
      <c r="B2423" s="66" t="s">
        <v>253</v>
      </c>
      <c r="C2423" s="67" t="s">
        <v>4454</v>
      </c>
      <c r="D2423" s="68">
        <v>5</v>
      </c>
      <c r="E2423" s="69"/>
      <c r="F2423" s="70">
        <v>20</v>
      </c>
      <c r="G2423" s="67"/>
      <c r="H2423" s="71"/>
      <c r="I2423" s="72"/>
      <c r="J2423" s="72"/>
      <c r="K2423" s="34" t="s">
        <v>65</v>
      </c>
      <c r="L2423" s="79">
        <v>2423</v>
      </c>
      <c r="M2423" s="79"/>
      <c r="N2423" s="74"/>
      <c r="O2423" s="81" t="s">
        <v>944</v>
      </c>
      <c r="P2423">
        <v>1</v>
      </c>
      <c r="Q2423" s="80" t="str">
        <f>REPLACE(INDEX(GroupVertices[Group],MATCH(Edges[[#This Row],[Vertex 1]],GroupVertices[Vertex],0)),1,1,"")</f>
        <v>1</v>
      </c>
      <c r="R2423" s="80" t="str">
        <f>REPLACE(INDEX(GroupVertices[Group],MATCH(Edges[[#This Row],[Vertex 2]],GroupVertices[Vertex],0)),1,1,"")</f>
        <v>1</v>
      </c>
      <c r="S2423" s="34"/>
      <c r="T2423" s="34"/>
      <c r="U2423" s="34"/>
      <c r="V2423" s="34"/>
      <c r="W2423" s="34"/>
      <c r="X2423" s="34"/>
      <c r="Y2423" s="34"/>
      <c r="Z2423" s="34"/>
      <c r="AA2423" s="34"/>
    </row>
    <row r="2424" spans="1:27" ht="15">
      <c r="A2424" s="66" t="s">
        <v>259</v>
      </c>
      <c r="B2424" s="66" t="s">
        <v>253</v>
      </c>
      <c r="C2424" s="67" t="s">
        <v>4454</v>
      </c>
      <c r="D2424" s="68">
        <v>5</v>
      </c>
      <c r="E2424" s="69"/>
      <c r="F2424" s="70">
        <v>20</v>
      </c>
      <c r="G2424" s="67"/>
      <c r="H2424" s="71"/>
      <c r="I2424" s="72"/>
      <c r="J2424" s="72"/>
      <c r="K2424" s="34" t="s">
        <v>65</v>
      </c>
      <c r="L2424" s="79">
        <v>2424</v>
      </c>
      <c r="M2424" s="79"/>
      <c r="N2424" s="74"/>
      <c r="O2424" s="81" t="s">
        <v>944</v>
      </c>
      <c r="P2424">
        <v>1</v>
      </c>
      <c r="Q2424" s="80" t="str">
        <f>REPLACE(INDEX(GroupVertices[Group],MATCH(Edges[[#This Row],[Vertex 1]],GroupVertices[Vertex],0)),1,1,"")</f>
        <v>2</v>
      </c>
      <c r="R2424" s="80" t="str">
        <f>REPLACE(INDEX(GroupVertices[Group],MATCH(Edges[[#This Row],[Vertex 2]],GroupVertices[Vertex],0)),1,1,"")</f>
        <v>1</v>
      </c>
      <c r="S2424" s="34"/>
      <c r="T2424" s="34"/>
      <c r="U2424" s="34"/>
      <c r="V2424" s="34"/>
      <c r="W2424" s="34"/>
      <c r="X2424" s="34"/>
      <c r="Y2424" s="34"/>
      <c r="Z2424" s="34"/>
      <c r="AA2424" s="34"/>
    </row>
    <row r="2425" spans="1:27" ht="15">
      <c r="A2425" s="66" t="s">
        <v>261</v>
      </c>
      <c r="B2425" s="66" t="s">
        <v>253</v>
      </c>
      <c r="C2425" s="67" t="s">
        <v>4454</v>
      </c>
      <c r="D2425" s="68">
        <v>5</v>
      </c>
      <c r="E2425" s="69"/>
      <c r="F2425" s="70">
        <v>20</v>
      </c>
      <c r="G2425" s="67"/>
      <c r="H2425" s="71"/>
      <c r="I2425" s="72"/>
      <c r="J2425" s="72"/>
      <c r="K2425" s="34" t="s">
        <v>66</v>
      </c>
      <c r="L2425" s="79">
        <v>2425</v>
      </c>
      <c r="M2425" s="79"/>
      <c r="N2425" s="74"/>
      <c r="O2425" s="81" t="s">
        <v>944</v>
      </c>
      <c r="P2425">
        <v>1</v>
      </c>
      <c r="Q2425" s="80" t="str">
        <f>REPLACE(INDEX(GroupVertices[Group],MATCH(Edges[[#This Row],[Vertex 1]],GroupVertices[Vertex],0)),1,1,"")</f>
        <v>1</v>
      </c>
      <c r="R2425" s="80" t="str">
        <f>REPLACE(INDEX(GroupVertices[Group],MATCH(Edges[[#This Row],[Vertex 2]],GroupVertices[Vertex],0)),1,1,"")</f>
        <v>1</v>
      </c>
      <c r="S2425" s="34"/>
      <c r="T2425" s="34"/>
      <c r="U2425" s="34"/>
      <c r="V2425" s="34"/>
      <c r="W2425" s="34"/>
      <c r="X2425" s="34"/>
      <c r="Y2425" s="34"/>
      <c r="Z2425" s="34"/>
      <c r="AA2425" s="34"/>
    </row>
    <row r="2426" spans="1:27" ht="15">
      <c r="A2426" s="66" t="s">
        <v>256</v>
      </c>
      <c r="B2426" s="66" t="s">
        <v>941</v>
      </c>
      <c r="C2426" s="67" t="s">
        <v>4454</v>
      </c>
      <c r="D2426" s="68">
        <v>5</v>
      </c>
      <c r="E2426" s="69"/>
      <c r="F2426" s="70">
        <v>20</v>
      </c>
      <c r="G2426" s="67"/>
      <c r="H2426" s="71"/>
      <c r="I2426" s="72"/>
      <c r="J2426" s="72"/>
      <c r="K2426" s="34" t="s">
        <v>65</v>
      </c>
      <c r="L2426" s="79">
        <v>2426</v>
      </c>
      <c r="M2426" s="79"/>
      <c r="N2426" s="74"/>
      <c r="O2426" s="81" t="s">
        <v>944</v>
      </c>
      <c r="P2426">
        <v>1</v>
      </c>
      <c r="Q2426" s="80" t="str">
        <f>REPLACE(INDEX(GroupVertices[Group],MATCH(Edges[[#This Row],[Vertex 1]],GroupVertices[Vertex],0)),1,1,"")</f>
        <v>1</v>
      </c>
      <c r="R2426" s="80" t="str">
        <f>REPLACE(INDEX(GroupVertices[Group],MATCH(Edges[[#This Row],[Vertex 2]],GroupVertices[Vertex],0)),1,1,"")</f>
        <v>1</v>
      </c>
      <c r="S2426" s="34"/>
      <c r="T2426" s="34"/>
      <c r="U2426" s="34"/>
      <c r="V2426" s="34"/>
      <c r="W2426" s="34"/>
      <c r="X2426" s="34"/>
      <c r="Y2426" s="34"/>
      <c r="Z2426" s="34"/>
      <c r="AA2426" s="34"/>
    </row>
    <row r="2427" spans="1:27" ht="15">
      <c r="A2427" s="66" t="s">
        <v>261</v>
      </c>
      <c r="B2427" s="66" t="s">
        <v>941</v>
      </c>
      <c r="C2427" s="67" t="s">
        <v>4454</v>
      </c>
      <c r="D2427" s="68">
        <v>5</v>
      </c>
      <c r="E2427" s="69"/>
      <c r="F2427" s="70">
        <v>20</v>
      </c>
      <c r="G2427" s="67"/>
      <c r="H2427" s="71"/>
      <c r="I2427" s="72"/>
      <c r="J2427" s="72"/>
      <c r="K2427" s="34" t="s">
        <v>65</v>
      </c>
      <c r="L2427" s="79">
        <v>2427</v>
      </c>
      <c r="M2427" s="79"/>
      <c r="N2427" s="74"/>
      <c r="O2427" s="81" t="s">
        <v>944</v>
      </c>
      <c r="P2427">
        <v>1</v>
      </c>
      <c r="Q2427" s="80" t="str">
        <f>REPLACE(INDEX(GroupVertices[Group],MATCH(Edges[[#This Row],[Vertex 1]],GroupVertices[Vertex],0)),1,1,"")</f>
        <v>1</v>
      </c>
      <c r="R2427" s="80" t="str">
        <f>REPLACE(INDEX(GroupVertices[Group],MATCH(Edges[[#This Row],[Vertex 2]],GroupVertices[Vertex],0)),1,1,"")</f>
        <v>1</v>
      </c>
      <c r="S2427" s="34"/>
      <c r="T2427" s="34"/>
      <c r="U2427" s="34"/>
      <c r="V2427" s="34"/>
      <c r="W2427" s="34"/>
      <c r="X2427" s="34"/>
      <c r="Y2427" s="34"/>
      <c r="Z2427" s="34"/>
      <c r="AA2427" s="34"/>
    </row>
    <row r="2428" spans="1:27" ht="15">
      <c r="A2428" s="66" t="s">
        <v>256</v>
      </c>
      <c r="B2428" s="66" t="s">
        <v>920</v>
      </c>
      <c r="C2428" s="67" t="s">
        <v>4454</v>
      </c>
      <c r="D2428" s="68">
        <v>5</v>
      </c>
      <c r="E2428" s="69"/>
      <c r="F2428" s="70">
        <v>20</v>
      </c>
      <c r="G2428" s="67"/>
      <c r="H2428" s="71"/>
      <c r="I2428" s="72"/>
      <c r="J2428" s="72"/>
      <c r="K2428" s="34" t="s">
        <v>65</v>
      </c>
      <c r="L2428" s="79">
        <v>2428</v>
      </c>
      <c r="M2428" s="79"/>
      <c r="N2428" s="74"/>
      <c r="O2428" s="81" t="s">
        <v>944</v>
      </c>
      <c r="P2428">
        <v>1</v>
      </c>
      <c r="Q2428" s="80" t="str">
        <f>REPLACE(INDEX(GroupVertices[Group],MATCH(Edges[[#This Row],[Vertex 1]],GroupVertices[Vertex],0)),1,1,"")</f>
        <v>1</v>
      </c>
      <c r="R2428" s="80" t="str">
        <f>REPLACE(INDEX(GroupVertices[Group],MATCH(Edges[[#This Row],[Vertex 2]],GroupVertices[Vertex],0)),1,1,"")</f>
        <v>1</v>
      </c>
      <c r="S2428" s="34"/>
      <c r="T2428" s="34"/>
      <c r="U2428" s="34"/>
      <c r="V2428" s="34"/>
      <c r="W2428" s="34"/>
      <c r="X2428" s="34"/>
      <c r="Y2428" s="34"/>
      <c r="Z2428" s="34"/>
      <c r="AA2428" s="34"/>
    </row>
    <row r="2429" spans="1:27" ht="15">
      <c r="A2429" s="66" t="s">
        <v>261</v>
      </c>
      <c r="B2429" s="66" t="s">
        <v>920</v>
      </c>
      <c r="C2429" s="67" t="s">
        <v>4454</v>
      </c>
      <c r="D2429" s="68">
        <v>5</v>
      </c>
      <c r="E2429" s="69"/>
      <c r="F2429" s="70">
        <v>20</v>
      </c>
      <c r="G2429" s="67"/>
      <c r="H2429" s="71"/>
      <c r="I2429" s="72"/>
      <c r="J2429" s="72"/>
      <c r="K2429" s="34" t="s">
        <v>65</v>
      </c>
      <c r="L2429" s="79">
        <v>2429</v>
      </c>
      <c r="M2429" s="79"/>
      <c r="N2429" s="74"/>
      <c r="O2429" s="81" t="s">
        <v>944</v>
      </c>
      <c r="P2429">
        <v>1</v>
      </c>
      <c r="Q2429" s="80" t="str">
        <f>REPLACE(INDEX(GroupVertices[Group],MATCH(Edges[[#This Row],[Vertex 1]],GroupVertices[Vertex],0)),1,1,"")</f>
        <v>1</v>
      </c>
      <c r="R2429" s="80" t="str">
        <f>REPLACE(INDEX(GroupVertices[Group],MATCH(Edges[[#This Row],[Vertex 2]],GroupVertices[Vertex],0)),1,1,"")</f>
        <v>1</v>
      </c>
      <c r="S2429" s="34"/>
      <c r="T2429" s="34"/>
      <c r="U2429" s="34"/>
      <c r="V2429" s="34"/>
      <c r="W2429" s="34"/>
      <c r="X2429" s="34"/>
      <c r="Y2429" s="34"/>
      <c r="Z2429" s="34"/>
      <c r="AA2429" s="34"/>
    </row>
    <row r="2430" spans="1:27" ht="15">
      <c r="A2430" s="66" t="s">
        <v>256</v>
      </c>
      <c r="B2430" s="66" t="s">
        <v>886</v>
      </c>
      <c r="C2430" s="67" t="s">
        <v>4454</v>
      </c>
      <c r="D2430" s="68">
        <v>5</v>
      </c>
      <c r="E2430" s="69"/>
      <c r="F2430" s="70">
        <v>20</v>
      </c>
      <c r="G2430" s="67"/>
      <c r="H2430" s="71"/>
      <c r="I2430" s="72"/>
      <c r="J2430" s="72"/>
      <c r="K2430" s="34" t="s">
        <v>65</v>
      </c>
      <c r="L2430" s="79">
        <v>2430</v>
      </c>
      <c r="M2430" s="79"/>
      <c r="N2430" s="74"/>
      <c r="O2430" s="81" t="s">
        <v>944</v>
      </c>
      <c r="P2430">
        <v>1</v>
      </c>
      <c r="Q2430" s="80" t="str">
        <f>REPLACE(INDEX(GroupVertices[Group],MATCH(Edges[[#This Row],[Vertex 1]],GroupVertices[Vertex],0)),1,1,"")</f>
        <v>1</v>
      </c>
      <c r="R2430" s="80" t="str">
        <f>REPLACE(INDEX(GroupVertices[Group],MATCH(Edges[[#This Row],[Vertex 2]],GroupVertices[Vertex],0)),1,1,"")</f>
        <v>4</v>
      </c>
      <c r="S2430" s="34"/>
      <c r="T2430" s="34"/>
      <c r="U2430" s="34"/>
      <c r="V2430" s="34"/>
      <c r="W2430" s="34"/>
      <c r="X2430" s="34"/>
      <c r="Y2430" s="34"/>
      <c r="Z2430" s="34"/>
      <c r="AA2430" s="34"/>
    </row>
    <row r="2431" spans="1:27" ht="15">
      <c r="A2431" s="66" t="s">
        <v>259</v>
      </c>
      <c r="B2431" s="66" t="s">
        <v>886</v>
      </c>
      <c r="C2431" s="67" t="s">
        <v>4454</v>
      </c>
      <c r="D2431" s="68">
        <v>5</v>
      </c>
      <c r="E2431" s="69"/>
      <c r="F2431" s="70">
        <v>20</v>
      </c>
      <c r="G2431" s="67"/>
      <c r="H2431" s="71"/>
      <c r="I2431" s="72"/>
      <c r="J2431" s="72"/>
      <c r="K2431" s="34" t="s">
        <v>65</v>
      </c>
      <c r="L2431" s="79">
        <v>2431</v>
      </c>
      <c r="M2431" s="79"/>
      <c r="N2431" s="74"/>
      <c r="O2431" s="81" t="s">
        <v>944</v>
      </c>
      <c r="P2431">
        <v>1</v>
      </c>
      <c r="Q2431" s="80" t="str">
        <f>REPLACE(INDEX(GroupVertices[Group],MATCH(Edges[[#This Row],[Vertex 1]],GroupVertices[Vertex],0)),1,1,"")</f>
        <v>2</v>
      </c>
      <c r="R2431" s="80" t="str">
        <f>REPLACE(INDEX(GroupVertices[Group],MATCH(Edges[[#This Row],[Vertex 2]],GroupVertices[Vertex],0)),1,1,"")</f>
        <v>4</v>
      </c>
      <c r="S2431" s="34"/>
      <c r="T2431" s="34"/>
      <c r="U2431" s="34"/>
      <c r="V2431" s="34"/>
      <c r="W2431" s="34"/>
      <c r="X2431" s="34"/>
      <c r="Y2431" s="34"/>
      <c r="Z2431" s="34"/>
      <c r="AA2431" s="34"/>
    </row>
    <row r="2432" spans="1:27" ht="15">
      <c r="A2432" s="66" t="s">
        <v>261</v>
      </c>
      <c r="B2432" s="66" t="s">
        <v>886</v>
      </c>
      <c r="C2432" s="67" t="s">
        <v>4454</v>
      </c>
      <c r="D2432" s="68">
        <v>5</v>
      </c>
      <c r="E2432" s="69"/>
      <c r="F2432" s="70">
        <v>20</v>
      </c>
      <c r="G2432" s="67"/>
      <c r="H2432" s="71"/>
      <c r="I2432" s="72"/>
      <c r="J2432" s="72"/>
      <c r="K2432" s="34" t="s">
        <v>65</v>
      </c>
      <c r="L2432" s="79">
        <v>2432</v>
      </c>
      <c r="M2432" s="79"/>
      <c r="N2432" s="74"/>
      <c r="O2432" s="81" t="s">
        <v>944</v>
      </c>
      <c r="P2432">
        <v>1</v>
      </c>
      <c r="Q2432" s="80" t="str">
        <f>REPLACE(INDEX(GroupVertices[Group],MATCH(Edges[[#This Row],[Vertex 1]],GroupVertices[Vertex],0)),1,1,"")</f>
        <v>1</v>
      </c>
      <c r="R2432" s="80" t="str">
        <f>REPLACE(INDEX(GroupVertices[Group],MATCH(Edges[[#This Row],[Vertex 2]],GroupVertices[Vertex],0)),1,1,"")</f>
        <v>4</v>
      </c>
      <c r="S2432" s="34"/>
      <c r="T2432" s="34"/>
      <c r="U2432" s="34"/>
      <c r="V2432" s="34"/>
      <c r="W2432" s="34"/>
      <c r="X2432" s="34"/>
      <c r="Y2432" s="34"/>
      <c r="Z2432" s="34"/>
      <c r="AA2432" s="34"/>
    </row>
    <row r="2433" spans="1:27" ht="15">
      <c r="A2433" s="66" t="s">
        <v>261</v>
      </c>
      <c r="B2433" s="66" t="s">
        <v>942</v>
      </c>
      <c r="C2433" s="67" t="s">
        <v>4454</v>
      </c>
      <c r="D2433" s="68">
        <v>5</v>
      </c>
      <c r="E2433" s="69"/>
      <c r="F2433" s="70">
        <v>20</v>
      </c>
      <c r="G2433" s="67"/>
      <c r="H2433" s="71"/>
      <c r="I2433" s="72"/>
      <c r="J2433" s="72"/>
      <c r="K2433" s="34"/>
      <c r="L2433" s="79">
        <v>2433</v>
      </c>
      <c r="M2433" s="79"/>
      <c r="N2433" s="74"/>
      <c r="O2433" s="81" t="s">
        <v>944</v>
      </c>
      <c r="P2433">
        <v>1</v>
      </c>
      <c r="Q2433" s="80" t="str">
        <f>REPLACE(INDEX(GroupVertices[Group],MATCH(Edges[[#This Row],[Vertex 1]],GroupVertices[Vertex],0)),1,1,"")</f>
        <v>1</v>
      </c>
      <c r="R2433" s="80" t="e">
        <f>REPLACE(INDEX(GroupVertices[Group],MATCH(Edges[[#This Row],[Vertex 2]],GroupVertices[Vertex],0)),1,1,"")</f>
        <v>#N/A</v>
      </c>
      <c r="S2433" s="34"/>
      <c r="T2433" s="34"/>
      <c r="U2433" s="34"/>
      <c r="V2433" s="34"/>
      <c r="W2433" s="34"/>
      <c r="X2433" s="34"/>
      <c r="Y2433" s="34"/>
      <c r="Z2433" s="34"/>
      <c r="AA2433" s="34"/>
    </row>
    <row r="2434" spans="1:27" ht="15">
      <c r="A2434" s="66" t="s">
        <v>256</v>
      </c>
      <c r="B2434" s="66" t="s">
        <v>259</v>
      </c>
      <c r="C2434" s="67" t="s">
        <v>4454</v>
      </c>
      <c r="D2434" s="68">
        <v>5</v>
      </c>
      <c r="E2434" s="69"/>
      <c r="F2434" s="70">
        <v>20</v>
      </c>
      <c r="G2434" s="67"/>
      <c r="H2434" s="71"/>
      <c r="I2434" s="72"/>
      <c r="J2434" s="72"/>
      <c r="K2434" s="34" t="s">
        <v>65</v>
      </c>
      <c r="L2434" s="79">
        <v>2434</v>
      </c>
      <c r="M2434" s="79"/>
      <c r="N2434" s="74"/>
      <c r="O2434" s="81" t="s">
        <v>944</v>
      </c>
      <c r="P2434">
        <v>1</v>
      </c>
      <c r="Q2434" s="80" t="str">
        <f>REPLACE(INDEX(GroupVertices[Group],MATCH(Edges[[#This Row],[Vertex 1]],GroupVertices[Vertex],0)),1,1,"")</f>
        <v>1</v>
      </c>
      <c r="R2434" s="80" t="str">
        <f>REPLACE(INDEX(GroupVertices[Group],MATCH(Edges[[#This Row],[Vertex 2]],GroupVertices[Vertex],0)),1,1,"")</f>
        <v>2</v>
      </c>
      <c r="S2434" s="34"/>
      <c r="T2434" s="34"/>
      <c r="U2434" s="34"/>
      <c r="V2434" s="34"/>
      <c r="W2434" s="34"/>
      <c r="X2434" s="34"/>
      <c r="Y2434" s="34"/>
      <c r="Z2434" s="34"/>
      <c r="AA2434" s="34"/>
    </row>
    <row r="2435" spans="1:27" ht="15">
      <c r="A2435" s="66" t="s">
        <v>258</v>
      </c>
      <c r="B2435" s="66" t="s">
        <v>259</v>
      </c>
      <c r="C2435" s="67" t="s">
        <v>4454</v>
      </c>
      <c r="D2435" s="68">
        <v>5</v>
      </c>
      <c r="E2435" s="69"/>
      <c r="F2435" s="70">
        <v>20</v>
      </c>
      <c r="G2435" s="67"/>
      <c r="H2435" s="71"/>
      <c r="I2435" s="72"/>
      <c r="J2435" s="72"/>
      <c r="K2435" s="34" t="s">
        <v>66</v>
      </c>
      <c r="L2435" s="79">
        <v>2435</v>
      </c>
      <c r="M2435" s="79"/>
      <c r="N2435" s="74"/>
      <c r="O2435" s="81" t="s">
        <v>944</v>
      </c>
      <c r="P2435">
        <v>1</v>
      </c>
      <c r="Q2435" s="80" t="str">
        <f>REPLACE(INDEX(GroupVertices[Group],MATCH(Edges[[#This Row],[Vertex 1]],GroupVertices[Vertex],0)),1,1,"")</f>
        <v>1</v>
      </c>
      <c r="R2435" s="80" t="str">
        <f>REPLACE(INDEX(GroupVertices[Group],MATCH(Edges[[#This Row],[Vertex 2]],GroupVertices[Vertex],0)),1,1,"")</f>
        <v>2</v>
      </c>
      <c r="S2435" s="34"/>
      <c r="T2435" s="34"/>
      <c r="U2435" s="34"/>
      <c r="V2435" s="34"/>
      <c r="W2435" s="34"/>
      <c r="X2435" s="34"/>
      <c r="Y2435" s="34"/>
      <c r="Z2435" s="34"/>
      <c r="AA2435" s="34"/>
    </row>
    <row r="2436" spans="1:27" ht="15">
      <c r="A2436" s="66" t="s">
        <v>259</v>
      </c>
      <c r="B2436" s="66" t="s">
        <v>258</v>
      </c>
      <c r="C2436" s="67" t="s">
        <v>4454</v>
      </c>
      <c r="D2436" s="68">
        <v>5</v>
      </c>
      <c r="E2436" s="69"/>
      <c r="F2436" s="70">
        <v>20</v>
      </c>
      <c r="G2436" s="67"/>
      <c r="H2436" s="71"/>
      <c r="I2436" s="72"/>
      <c r="J2436" s="72"/>
      <c r="K2436" s="34" t="s">
        <v>66</v>
      </c>
      <c r="L2436" s="79">
        <v>2436</v>
      </c>
      <c r="M2436" s="79"/>
      <c r="N2436" s="74"/>
      <c r="O2436" s="81" t="s">
        <v>944</v>
      </c>
      <c r="P2436">
        <v>1</v>
      </c>
      <c r="Q2436" s="80" t="str">
        <f>REPLACE(INDEX(GroupVertices[Group],MATCH(Edges[[#This Row],[Vertex 1]],GroupVertices[Vertex],0)),1,1,"")</f>
        <v>2</v>
      </c>
      <c r="R2436" s="80" t="str">
        <f>REPLACE(INDEX(GroupVertices[Group],MATCH(Edges[[#This Row],[Vertex 2]],GroupVertices[Vertex],0)),1,1,"")</f>
        <v>1</v>
      </c>
      <c r="S2436" s="34"/>
      <c r="T2436" s="34"/>
      <c r="U2436" s="34"/>
      <c r="V2436" s="34"/>
      <c r="W2436" s="34"/>
      <c r="X2436" s="34"/>
      <c r="Y2436" s="34"/>
      <c r="Z2436" s="34"/>
      <c r="AA2436" s="34"/>
    </row>
    <row r="2437" spans="1:27" ht="15">
      <c r="A2437" s="66" t="s">
        <v>259</v>
      </c>
      <c r="B2437" s="66" t="s">
        <v>261</v>
      </c>
      <c r="C2437" s="67" t="s">
        <v>4454</v>
      </c>
      <c r="D2437" s="68">
        <v>5</v>
      </c>
      <c r="E2437" s="69"/>
      <c r="F2437" s="70">
        <v>20</v>
      </c>
      <c r="G2437" s="67"/>
      <c r="H2437" s="71"/>
      <c r="I2437" s="72"/>
      <c r="J2437" s="72"/>
      <c r="K2437" s="34" t="s">
        <v>66</v>
      </c>
      <c r="L2437" s="79">
        <v>2437</v>
      </c>
      <c r="M2437" s="79"/>
      <c r="N2437" s="74"/>
      <c r="O2437" s="81" t="s">
        <v>944</v>
      </c>
      <c r="P2437">
        <v>1</v>
      </c>
      <c r="Q2437" s="80" t="str">
        <f>REPLACE(INDEX(GroupVertices[Group],MATCH(Edges[[#This Row],[Vertex 1]],GroupVertices[Vertex],0)),1,1,"")</f>
        <v>2</v>
      </c>
      <c r="R2437" s="80" t="str">
        <f>REPLACE(INDEX(GroupVertices[Group],MATCH(Edges[[#This Row],[Vertex 2]],GroupVertices[Vertex],0)),1,1,"")</f>
        <v>1</v>
      </c>
      <c r="S2437" s="34"/>
      <c r="T2437" s="34"/>
      <c r="U2437" s="34"/>
      <c r="V2437" s="34"/>
      <c r="W2437" s="34"/>
      <c r="X2437" s="34"/>
      <c r="Y2437" s="34"/>
      <c r="Z2437" s="34"/>
      <c r="AA2437" s="34"/>
    </row>
    <row r="2438" spans="1:27" ht="15">
      <c r="A2438" s="66" t="s">
        <v>261</v>
      </c>
      <c r="B2438" s="66" t="s">
        <v>259</v>
      </c>
      <c r="C2438" s="67" t="s">
        <v>4454</v>
      </c>
      <c r="D2438" s="68">
        <v>5</v>
      </c>
      <c r="E2438" s="69"/>
      <c r="F2438" s="70">
        <v>20</v>
      </c>
      <c r="G2438" s="67"/>
      <c r="H2438" s="71"/>
      <c r="I2438" s="72"/>
      <c r="J2438" s="72"/>
      <c r="K2438" s="34" t="s">
        <v>66</v>
      </c>
      <c r="L2438" s="79">
        <v>2438</v>
      </c>
      <c r="M2438" s="79"/>
      <c r="N2438" s="74"/>
      <c r="O2438" s="81" t="s">
        <v>944</v>
      </c>
      <c r="P2438">
        <v>1</v>
      </c>
      <c r="Q2438" s="80" t="str">
        <f>REPLACE(INDEX(GroupVertices[Group],MATCH(Edges[[#This Row],[Vertex 1]],GroupVertices[Vertex],0)),1,1,"")</f>
        <v>1</v>
      </c>
      <c r="R2438" s="80" t="str">
        <f>REPLACE(INDEX(GroupVertices[Group],MATCH(Edges[[#This Row],[Vertex 2]],GroupVertices[Vertex],0)),1,1,"")</f>
        <v>2</v>
      </c>
      <c r="S2438" s="34"/>
      <c r="T2438" s="34"/>
      <c r="U2438" s="34"/>
      <c r="V2438" s="34"/>
      <c r="W2438" s="34"/>
      <c r="X2438" s="34"/>
      <c r="Y2438" s="34"/>
      <c r="Z2438" s="34"/>
      <c r="AA2438" s="34"/>
    </row>
    <row r="2439" spans="1:27" ht="15">
      <c r="A2439" s="66" t="s">
        <v>256</v>
      </c>
      <c r="B2439" s="66" t="s">
        <v>261</v>
      </c>
      <c r="C2439" s="67" t="s">
        <v>4454</v>
      </c>
      <c r="D2439" s="68">
        <v>5</v>
      </c>
      <c r="E2439" s="69"/>
      <c r="F2439" s="70">
        <v>20</v>
      </c>
      <c r="G2439" s="67"/>
      <c r="H2439" s="71"/>
      <c r="I2439" s="72"/>
      <c r="J2439" s="72"/>
      <c r="K2439" s="34" t="s">
        <v>66</v>
      </c>
      <c r="L2439" s="79">
        <v>2439</v>
      </c>
      <c r="M2439" s="79"/>
      <c r="N2439" s="74"/>
      <c r="O2439" s="81" t="s">
        <v>944</v>
      </c>
      <c r="P2439">
        <v>1</v>
      </c>
      <c r="Q2439" s="80" t="str">
        <f>REPLACE(INDEX(GroupVertices[Group],MATCH(Edges[[#This Row],[Vertex 1]],GroupVertices[Vertex],0)),1,1,"")</f>
        <v>1</v>
      </c>
      <c r="R2439" s="80" t="str">
        <f>REPLACE(INDEX(GroupVertices[Group],MATCH(Edges[[#This Row],[Vertex 2]],GroupVertices[Vertex],0)),1,1,"")</f>
        <v>1</v>
      </c>
      <c r="S2439" s="34"/>
      <c r="T2439" s="34"/>
      <c r="U2439" s="34"/>
      <c r="V2439" s="34"/>
      <c r="W2439" s="34"/>
      <c r="X2439" s="34"/>
      <c r="Y2439" s="34"/>
      <c r="Z2439" s="34"/>
      <c r="AA2439" s="34"/>
    </row>
    <row r="2440" spans="1:27" ht="15">
      <c r="A2440" s="66" t="s">
        <v>256</v>
      </c>
      <c r="B2440" s="66" t="s">
        <v>258</v>
      </c>
      <c r="C2440" s="67" t="s">
        <v>4454</v>
      </c>
      <c r="D2440" s="68">
        <v>5</v>
      </c>
      <c r="E2440" s="69"/>
      <c r="F2440" s="70">
        <v>20</v>
      </c>
      <c r="G2440" s="67"/>
      <c r="H2440" s="71"/>
      <c r="I2440" s="72"/>
      <c r="J2440" s="72"/>
      <c r="K2440" s="34" t="s">
        <v>66</v>
      </c>
      <c r="L2440" s="79">
        <v>2440</v>
      </c>
      <c r="M2440" s="79"/>
      <c r="N2440" s="74"/>
      <c r="O2440" s="81" t="s">
        <v>944</v>
      </c>
      <c r="P2440">
        <v>1</v>
      </c>
      <c r="Q2440" s="80" t="str">
        <f>REPLACE(INDEX(GroupVertices[Group],MATCH(Edges[[#This Row],[Vertex 1]],GroupVertices[Vertex],0)),1,1,"")</f>
        <v>1</v>
      </c>
      <c r="R2440" s="80" t="str">
        <f>REPLACE(INDEX(GroupVertices[Group],MATCH(Edges[[#This Row],[Vertex 2]],GroupVertices[Vertex],0)),1,1,"")</f>
        <v>1</v>
      </c>
      <c r="S2440" s="34"/>
      <c r="T2440" s="34"/>
      <c r="U2440" s="34"/>
      <c r="V2440" s="34"/>
      <c r="W2440" s="34"/>
      <c r="X2440" s="34"/>
      <c r="Y2440" s="34"/>
      <c r="Z2440" s="34"/>
      <c r="AA2440" s="34"/>
    </row>
    <row r="2441" spans="1:27" ht="15">
      <c r="A2441" s="66" t="s">
        <v>258</v>
      </c>
      <c r="B2441" s="66" t="s">
        <v>256</v>
      </c>
      <c r="C2441" s="67" t="s">
        <v>4454</v>
      </c>
      <c r="D2441" s="68">
        <v>5</v>
      </c>
      <c r="E2441" s="69"/>
      <c r="F2441" s="70">
        <v>20</v>
      </c>
      <c r="G2441" s="67"/>
      <c r="H2441" s="71"/>
      <c r="I2441" s="72"/>
      <c r="J2441" s="72"/>
      <c r="K2441" s="34" t="s">
        <v>66</v>
      </c>
      <c r="L2441" s="79">
        <v>2441</v>
      </c>
      <c r="M2441" s="79"/>
      <c r="N2441" s="74"/>
      <c r="O2441" s="81" t="s">
        <v>944</v>
      </c>
      <c r="P2441">
        <v>1</v>
      </c>
      <c r="Q2441" s="80" t="str">
        <f>REPLACE(INDEX(GroupVertices[Group],MATCH(Edges[[#This Row],[Vertex 1]],GroupVertices[Vertex],0)),1,1,"")</f>
        <v>1</v>
      </c>
      <c r="R2441" s="80" t="str">
        <f>REPLACE(INDEX(GroupVertices[Group],MATCH(Edges[[#This Row],[Vertex 2]],GroupVertices[Vertex],0)),1,1,"")</f>
        <v>1</v>
      </c>
      <c r="S2441" s="34"/>
      <c r="T2441" s="34"/>
      <c r="U2441" s="34"/>
      <c r="V2441" s="34"/>
      <c r="W2441" s="34"/>
      <c r="X2441" s="34"/>
      <c r="Y2441" s="34"/>
      <c r="Z2441" s="34"/>
      <c r="AA2441" s="34"/>
    </row>
    <row r="2442" spans="1:27" ht="15">
      <c r="A2442" s="66" t="s">
        <v>261</v>
      </c>
      <c r="B2442" s="66" t="s">
        <v>256</v>
      </c>
      <c r="C2442" s="67" t="s">
        <v>4454</v>
      </c>
      <c r="D2442" s="68">
        <v>5</v>
      </c>
      <c r="E2442" s="69"/>
      <c r="F2442" s="70">
        <v>20</v>
      </c>
      <c r="G2442" s="67"/>
      <c r="H2442" s="71"/>
      <c r="I2442" s="72"/>
      <c r="J2442" s="72"/>
      <c r="K2442" s="34" t="s">
        <v>66</v>
      </c>
      <c r="L2442" s="79">
        <v>2442</v>
      </c>
      <c r="M2442" s="79"/>
      <c r="N2442" s="74"/>
      <c r="O2442" s="81" t="s">
        <v>944</v>
      </c>
      <c r="P2442">
        <v>1</v>
      </c>
      <c r="Q2442" s="80" t="str">
        <f>REPLACE(INDEX(GroupVertices[Group],MATCH(Edges[[#This Row],[Vertex 1]],GroupVertices[Vertex],0)),1,1,"")</f>
        <v>1</v>
      </c>
      <c r="R2442" s="80" t="str">
        <f>REPLACE(INDEX(GroupVertices[Group],MATCH(Edges[[#This Row],[Vertex 2]],GroupVertices[Vertex],0)),1,1,"")</f>
        <v>1</v>
      </c>
      <c r="S2442" s="34"/>
      <c r="T2442" s="34"/>
      <c r="U2442" s="34"/>
      <c r="V2442" s="34"/>
      <c r="W2442" s="34"/>
      <c r="X2442" s="34"/>
      <c r="Y2442" s="34"/>
      <c r="Z2442" s="34"/>
      <c r="AA2442" s="34"/>
    </row>
    <row r="2443" spans="1:27" ht="15">
      <c r="A2443" s="66" t="s">
        <v>258</v>
      </c>
      <c r="B2443" s="66" t="s">
        <v>261</v>
      </c>
      <c r="C2443" s="67" t="s">
        <v>4454</v>
      </c>
      <c r="D2443" s="68">
        <v>5</v>
      </c>
      <c r="E2443" s="69"/>
      <c r="F2443" s="70">
        <v>20</v>
      </c>
      <c r="G2443" s="67"/>
      <c r="H2443" s="71"/>
      <c r="I2443" s="72"/>
      <c r="J2443" s="72"/>
      <c r="K2443" s="34" t="s">
        <v>66</v>
      </c>
      <c r="L2443" s="79">
        <v>2443</v>
      </c>
      <c r="M2443" s="79"/>
      <c r="N2443" s="74"/>
      <c r="O2443" s="81" t="s">
        <v>944</v>
      </c>
      <c r="P2443">
        <v>1</v>
      </c>
      <c r="Q2443" s="80" t="str">
        <f>REPLACE(INDEX(GroupVertices[Group],MATCH(Edges[[#This Row],[Vertex 1]],GroupVertices[Vertex],0)),1,1,"")</f>
        <v>1</v>
      </c>
      <c r="R2443" s="80" t="str">
        <f>REPLACE(INDEX(GroupVertices[Group],MATCH(Edges[[#This Row],[Vertex 2]],GroupVertices[Vertex],0)),1,1,"")</f>
        <v>1</v>
      </c>
      <c r="S2443" s="34"/>
      <c r="T2443" s="34"/>
      <c r="U2443" s="34"/>
      <c r="V2443" s="34"/>
      <c r="W2443" s="34"/>
      <c r="X2443" s="34"/>
      <c r="Y2443" s="34"/>
      <c r="Z2443" s="34"/>
      <c r="AA2443" s="34"/>
    </row>
    <row r="2444" spans="1:27" ht="15">
      <c r="A2444" s="66" t="s">
        <v>261</v>
      </c>
      <c r="B2444" s="66" t="s">
        <v>258</v>
      </c>
      <c r="C2444" s="67" t="s">
        <v>4454</v>
      </c>
      <c r="D2444" s="68">
        <v>5</v>
      </c>
      <c r="E2444" s="69"/>
      <c r="F2444" s="70">
        <v>20</v>
      </c>
      <c r="G2444" s="67"/>
      <c r="H2444" s="71"/>
      <c r="I2444" s="72"/>
      <c r="J2444" s="72"/>
      <c r="K2444" s="34" t="s">
        <v>66</v>
      </c>
      <c r="L2444" s="79">
        <v>2444</v>
      </c>
      <c r="M2444" s="79"/>
      <c r="N2444" s="74"/>
      <c r="O2444" s="81" t="s">
        <v>944</v>
      </c>
      <c r="P2444">
        <v>1</v>
      </c>
      <c r="Q2444" s="80" t="str">
        <f>REPLACE(INDEX(GroupVertices[Group],MATCH(Edges[[#This Row],[Vertex 1]],GroupVertices[Vertex],0)),1,1,"")</f>
        <v>1</v>
      </c>
      <c r="R2444" s="80" t="str">
        <f>REPLACE(INDEX(GroupVertices[Group],MATCH(Edges[[#This Row],[Vertex 2]],GroupVertices[Vertex],0)),1,1,"")</f>
        <v>1</v>
      </c>
      <c r="S2444" s="34"/>
      <c r="T2444" s="34"/>
      <c r="U2444" s="34"/>
      <c r="V2444" s="34"/>
      <c r="W2444" s="34"/>
      <c r="X2444" s="34"/>
      <c r="Y2444" s="34"/>
      <c r="Z2444" s="34"/>
      <c r="AA2444" s="34"/>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44"/>
    <dataValidation allowBlank="1" showErrorMessage="1" sqref="N2:N24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44"/>
    <dataValidation allowBlank="1" showInputMessage="1" promptTitle="Edge Color" prompt="To select an optional edge color, right-click and select Select Color on the right-click menu." sqref="C3:C2444"/>
    <dataValidation allowBlank="1" showInputMessage="1" promptTitle="Edge Width" prompt="Enter an optional edge width between 1 and 10." errorTitle="Invalid Edge Width" error="The optional edge width must be a whole number between 1 and 10." sqref="D3:D2444"/>
    <dataValidation allowBlank="1" showInputMessage="1" promptTitle="Edge Opacity" prompt="Enter an optional edge opacity between 0 (transparent) and 100 (opaque)." errorTitle="Invalid Edge Opacity" error="The optional edge opacity must be a whole number between 0 and 10." sqref="F3:F24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44">
      <formula1>ValidEdgeVisibilities</formula1>
    </dataValidation>
    <dataValidation allowBlank="1" showInputMessage="1" showErrorMessage="1" promptTitle="Vertex 1 Name" prompt="Enter the name of the edge's first vertex." sqref="A3:A2444"/>
    <dataValidation allowBlank="1" showInputMessage="1" showErrorMessage="1" promptTitle="Vertex 2 Name" prompt="Enter the name of the edge's second vertex." sqref="B3:B2444"/>
    <dataValidation allowBlank="1" showInputMessage="1" showErrorMessage="1" promptTitle="Edge Label" prompt="Enter an optional edge label." errorTitle="Invalid Edge Visibility" error="You have entered an unrecognized edge visibility.  Try selecting from the drop-down list instead." sqref="H3:H24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4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E8BB3-EB8C-462A-A995-9356CF795975}">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4380</v>
      </c>
      <c r="B2" s="117" t="s">
        <v>4381</v>
      </c>
      <c r="C2" s="52" t="s">
        <v>4382</v>
      </c>
    </row>
    <row r="3" spans="1:3" ht="15">
      <c r="A3" s="116" t="s">
        <v>4101</v>
      </c>
      <c r="B3" s="116" t="s">
        <v>4101</v>
      </c>
      <c r="C3" s="34">
        <v>298</v>
      </c>
    </row>
    <row r="4" spans="1:3" ht="15">
      <c r="A4" s="133" t="s">
        <v>4101</v>
      </c>
      <c r="B4" s="132" t="s">
        <v>4102</v>
      </c>
      <c r="C4" s="34">
        <v>78</v>
      </c>
    </row>
    <row r="5" spans="1:3" ht="15">
      <c r="A5" s="133" t="s">
        <v>4101</v>
      </c>
      <c r="B5" s="132" t="s">
        <v>4103</v>
      </c>
      <c r="C5" s="34">
        <v>41</v>
      </c>
    </row>
    <row r="6" spans="1:3" ht="15">
      <c r="A6" s="133" t="s">
        <v>4101</v>
      </c>
      <c r="B6" s="132" t="s">
        <v>4104</v>
      </c>
      <c r="C6" s="34">
        <v>41</v>
      </c>
    </row>
    <row r="7" spans="1:3" ht="15">
      <c r="A7" s="133" t="s">
        <v>4102</v>
      </c>
      <c r="B7" s="132" t="s">
        <v>4101</v>
      </c>
      <c r="C7" s="34">
        <v>188</v>
      </c>
    </row>
    <row r="8" spans="1:3" ht="15">
      <c r="A8" s="133" t="s">
        <v>4102</v>
      </c>
      <c r="B8" s="132" t="s">
        <v>4102</v>
      </c>
      <c r="C8" s="34">
        <v>508</v>
      </c>
    </row>
    <row r="9" spans="1:3" ht="15">
      <c r="A9" s="133" t="s">
        <v>4102</v>
      </c>
      <c r="B9" s="132" t="s">
        <v>4103</v>
      </c>
      <c r="C9" s="34">
        <v>118</v>
      </c>
    </row>
    <row r="10" spans="1:3" ht="15">
      <c r="A10" s="133" t="s">
        <v>4102</v>
      </c>
      <c r="B10" s="132" t="s">
        <v>4104</v>
      </c>
      <c r="C10" s="34">
        <v>93</v>
      </c>
    </row>
    <row r="11" spans="1:3" ht="15">
      <c r="A11" s="133" t="s">
        <v>4103</v>
      </c>
      <c r="B11" s="132" t="s">
        <v>4101</v>
      </c>
      <c r="C11" s="34">
        <v>82</v>
      </c>
    </row>
    <row r="12" spans="1:3" ht="15">
      <c r="A12" s="133" t="s">
        <v>4103</v>
      </c>
      <c r="B12" s="132" t="s">
        <v>4102</v>
      </c>
      <c r="C12" s="34">
        <v>99</v>
      </c>
    </row>
    <row r="13" spans="1:3" ht="15">
      <c r="A13" s="133" t="s">
        <v>4103</v>
      </c>
      <c r="B13" s="132" t="s">
        <v>4103</v>
      </c>
      <c r="C13" s="34">
        <v>170</v>
      </c>
    </row>
    <row r="14" spans="1:3" ht="15">
      <c r="A14" s="133" t="s">
        <v>4103</v>
      </c>
      <c r="B14" s="132" t="s">
        <v>4104</v>
      </c>
      <c r="C14" s="34">
        <v>30</v>
      </c>
    </row>
    <row r="15" spans="1:3" ht="15">
      <c r="A15" s="133" t="s">
        <v>4104</v>
      </c>
      <c r="B15" s="132" t="s">
        <v>4101</v>
      </c>
      <c r="C15" s="34">
        <v>41</v>
      </c>
    </row>
    <row r="16" spans="1:3" ht="15">
      <c r="A16" s="133" t="s">
        <v>4104</v>
      </c>
      <c r="B16" s="132" t="s">
        <v>4102</v>
      </c>
      <c r="C16" s="34">
        <v>34</v>
      </c>
    </row>
    <row r="17" spans="1:3" ht="15">
      <c r="A17" s="133" t="s">
        <v>4104</v>
      </c>
      <c r="B17" s="132" t="s">
        <v>4103</v>
      </c>
      <c r="C17" s="34">
        <v>10</v>
      </c>
    </row>
    <row r="18" spans="1:3" ht="15">
      <c r="A18" s="133" t="s">
        <v>4104</v>
      </c>
      <c r="B18" s="132" t="s">
        <v>4104</v>
      </c>
      <c r="C18" s="34">
        <v>61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723DE-948C-4819-B917-5F8DF7A5D45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4400</v>
      </c>
      <c r="B1" s="13" t="s">
        <v>17</v>
      </c>
    </row>
    <row r="2" spans="1:2" ht="15">
      <c r="A2" s="80" t="s">
        <v>4401</v>
      </c>
      <c r="B2" s="80" t="s">
        <v>4407</v>
      </c>
    </row>
    <row r="3" spans="1:2" ht="15">
      <c r="A3" s="80" t="s">
        <v>4402</v>
      </c>
      <c r="B3" s="80" t="s">
        <v>4408</v>
      </c>
    </row>
    <row r="4" spans="1:2" ht="15">
      <c r="A4" s="80" t="s">
        <v>4403</v>
      </c>
      <c r="B4" s="80" t="s">
        <v>4409</v>
      </c>
    </row>
    <row r="5" spans="1:2" ht="15">
      <c r="A5" s="80" t="s">
        <v>4404</v>
      </c>
      <c r="B5" s="80" t="s">
        <v>4410</v>
      </c>
    </row>
    <row r="6" spans="1:2" ht="15">
      <c r="A6" s="80" t="s">
        <v>4405</v>
      </c>
      <c r="B6" s="80" t="s">
        <v>4411</v>
      </c>
    </row>
    <row r="7" spans="1:2" ht="15">
      <c r="A7" s="80" t="s">
        <v>4406</v>
      </c>
      <c r="B7" s="80"/>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79362-6CA0-4638-986D-43B97E7C1E6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4412</v>
      </c>
      <c r="B1" s="13" t="s">
        <v>34</v>
      </c>
    </row>
    <row r="2" spans="1:2" ht="15">
      <c r="A2" s="111" t="s">
        <v>252</v>
      </c>
      <c r="B2" s="80">
        <v>5858.202688</v>
      </c>
    </row>
    <row r="3" spans="1:2" ht="15">
      <c r="A3" s="111" t="s">
        <v>261</v>
      </c>
      <c r="B3" s="80">
        <v>4615.816862</v>
      </c>
    </row>
    <row r="4" spans="1:2" ht="15">
      <c r="A4" s="111" t="s">
        <v>254</v>
      </c>
      <c r="B4" s="80">
        <v>4587.06198</v>
      </c>
    </row>
    <row r="5" spans="1:2" ht="15">
      <c r="A5" s="111" t="s">
        <v>253</v>
      </c>
      <c r="B5" s="80">
        <v>4491.786573</v>
      </c>
    </row>
    <row r="6" spans="1:2" ht="15">
      <c r="A6" s="111" t="s">
        <v>217</v>
      </c>
      <c r="B6" s="80">
        <v>4415.945227</v>
      </c>
    </row>
    <row r="7" spans="1:2" ht="15">
      <c r="A7" s="111" t="s">
        <v>259</v>
      </c>
      <c r="B7" s="80">
        <v>3734.05263</v>
      </c>
    </row>
    <row r="8" spans="1:2" ht="15">
      <c r="A8" s="111" t="s">
        <v>234</v>
      </c>
      <c r="B8" s="80">
        <v>3424.910307</v>
      </c>
    </row>
    <row r="9" spans="1:2" ht="15">
      <c r="A9" s="111" t="s">
        <v>255</v>
      </c>
      <c r="B9" s="80">
        <v>3357.12166</v>
      </c>
    </row>
    <row r="10" spans="1:2" ht="15">
      <c r="A10" s="111" t="s">
        <v>223</v>
      </c>
      <c r="B10" s="80">
        <v>3218.123782</v>
      </c>
    </row>
    <row r="11" spans="1:2" ht="15">
      <c r="A11" s="111" t="s">
        <v>247</v>
      </c>
      <c r="B11" s="80">
        <v>2980.286002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FB878-559B-4222-871B-AA076B036C6D}">
  <dimension ref="A1:J24"/>
  <sheetViews>
    <sheetView workbookViewId="0" topLeftCell="A1"/>
  </sheetViews>
  <sheetFormatPr defaultColWidth="9.140625" defaultRowHeight="15"/>
  <cols>
    <col min="1" max="1" width="38.7109375" style="0" customWidth="1"/>
    <col min="2" max="2" width="20.28125" style="0" bestFit="1" customWidth="1"/>
    <col min="3" max="3" width="28.7109375" style="0" customWidth="1"/>
    <col min="4" max="4" width="11.28125" style="0" bestFit="1" customWidth="1"/>
    <col min="5" max="5" width="28.7109375" style="0" customWidth="1"/>
    <col min="6" max="6" width="11.28125" style="0" bestFit="1" customWidth="1"/>
    <col min="7" max="7" width="28.7109375" style="0" customWidth="1"/>
    <col min="8" max="8" width="11.28125" style="0" bestFit="1" customWidth="1"/>
    <col min="9" max="9" width="28.7109375" style="0" customWidth="1"/>
    <col min="10" max="10" width="11.28125" style="0" bestFit="1" customWidth="1"/>
    <col min="11" max="11" width="28.7109375" style="0" customWidth="1"/>
    <col min="12" max="12" width="11.28125" style="0" bestFit="1" customWidth="1"/>
    <col min="13" max="13" width="28.7109375" style="0" customWidth="1"/>
    <col min="14" max="14" width="11.28125" style="0" bestFit="1" customWidth="1"/>
    <col min="15" max="15" width="28.7109375" style="0" customWidth="1"/>
    <col min="16" max="16" width="11.28125" style="0" bestFit="1" customWidth="1"/>
    <col min="17" max="17" width="28.7109375" style="0" customWidth="1"/>
    <col min="18" max="18" width="11.28125" style="0" bestFit="1" customWidth="1"/>
    <col min="19" max="19" width="28.7109375" style="0" customWidth="1"/>
    <col min="20" max="20" width="11.28125" style="0" bestFit="1" customWidth="1"/>
    <col min="21" max="21" width="29.7109375" style="0" customWidth="1"/>
    <col min="22" max="22" width="12.28125" style="0" bestFit="1" customWidth="1"/>
  </cols>
  <sheetData>
    <row r="1" spans="1:10" ht="15" customHeight="1">
      <c r="A1" s="13" t="s">
        <v>4413</v>
      </c>
      <c r="B1" s="13" t="s">
        <v>4414</v>
      </c>
      <c r="C1" s="13" t="s">
        <v>4415</v>
      </c>
      <c r="D1" s="13" t="s">
        <v>4417</v>
      </c>
      <c r="E1" s="13" t="s">
        <v>4416</v>
      </c>
      <c r="F1" s="13" t="s">
        <v>4419</v>
      </c>
      <c r="G1" s="13" t="s">
        <v>4418</v>
      </c>
      <c r="H1" s="13" t="s">
        <v>4421</v>
      </c>
      <c r="I1" s="13" t="s">
        <v>4420</v>
      </c>
      <c r="J1" s="13" t="s">
        <v>4422</v>
      </c>
    </row>
    <row r="2" spans="1:10" ht="15">
      <c r="A2" s="112" t="s">
        <v>4122</v>
      </c>
      <c r="B2" s="112">
        <v>139</v>
      </c>
      <c r="C2" s="112" t="s">
        <v>4122</v>
      </c>
      <c r="D2" s="112">
        <v>44</v>
      </c>
      <c r="E2" s="112" t="s">
        <v>4122</v>
      </c>
      <c r="F2" s="112">
        <v>36</v>
      </c>
      <c r="G2" s="112" t="s">
        <v>4123</v>
      </c>
      <c r="H2" s="112">
        <v>35</v>
      </c>
      <c r="I2" s="112" t="s">
        <v>4122</v>
      </c>
      <c r="J2" s="112">
        <v>42</v>
      </c>
    </row>
    <row r="3" spans="1:10" ht="15">
      <c r="A3" s="112" t="s">
        <v>4123</v>
      </c>
      <c r="B3" s="112">
        <v>128</v>
      </c>
      <c r="C3" s="112" t="s">
        <v>4125</v>
      </c>
      <c r="D3" s="112">
        <v>33</v>
      </c>
      <c r="E3" s="112" t="s">
        <v>4123</v>
      </c>
      <c r="F3" s="112">
        <v>34</v>
      </c>
      <c r="G3" s="112" t="s">
        <v>4134</v>
      </c>
      <c r="H3" s="112">
        <v>19</v>
      </c>
      <c r="I3" s="112" t="s">
        <v>4123</v>
      </c>
      <c r="J3" s="112">
        <v>40</v>
      </c>
    </row>
    <row r="4" spans="1:10" ht="15">
      <c r="A4" s="112" t="s">
        <v>4125</v>
      </c>
      <c r="B4" s="112">
        <v>80</v>
      </c>
      <c r="C4" s="112" t="s">
        <v>4124</v>
      </c>
      <c r="D4" s="112">
        <v>22</v>
      </c>
      <c r="E4" s="112" t="s">
        <v>2874</v>
      </c>
      <c r="F4" s="112">
        <v>31</v>
      </c>
      <c r="G4" s="112" t="s">
        <v>4122</v>
      </c>
      <c r="H4" s="112">
        <v>17</v>
      </c>
      <c r="I4" s="112" t="s">
        <v>4125</v>
      </c>
      <c r="J4" s="112">
        <v>21</v>
      </c>
    </row>
    <row r="5" spans="1:10" ht="15">
      <c r="A5" s="112" t="s">
        <v>4124</v>
      </c>
      <c r="B5" s="112">
        <v>75</v>
      </c>
      <c r="C5" s="112" t="s">
        <v>4126</v>
      </c>
      <c r="D5" s="112">
        <v>21</v>
      </c>
      <c r="E5" s="112" t="s">
        <v>4133</v>
      </c>
      <c r="F5" s="112">
        <v>26</v>
      </c>
      <c r="G5" s="112" t="s">
        <v>4136</v>
      </c>
      <c r="H5" s="112">
        <v>17</v>
      </c>
      <c r="I5" s="112" t="s">
        <v>4150</v>
      </c>
      <c r="J5" s="112">
        <v>17</v>
      </c>
    </row>
    <row r="6" spans="1:10" ht="15">
      <c r="A6" s="112" t="s">
        <v>4127</v>
      </c>
      <c r="B6" s="112">
        <v>61</v>
      </c>
      <c r="C6" s="112" t="s">
        <v>2725</v>
      </c>
      <c r="D6" s="112">
        <v>21</v>
      </c>
      <c r="E6" s="112" t="s">
        <v>4124</v>
      </c>
      <c r="F6" s="112">
        <v>25</v>
      </c>
      <c r="G6" s="112" t="s">
        <v>4124</v>
      </c>
      <c r="H6" s="112">
        <v>14</v>
      </c>
      <c r="I6" s="112" t="s">
        <v>4127</v>
      </c>
      <c r="J6" s="112">
        <v>14</v>
      </c>
    </row>
    <row r="7" spans="1:10" ht="15">
      <c r="A7" s="112" t="s">
        <v>4133</v>
      </c>
      <c r="B7" s="112">
        <v>59</v>
      </c>
      <c r="C7" s="112" t="s">
        <v>4123</v>
      </c>
      <c r="D7" s="112">
        <v>19</v>
      </c>
      <c r="E7" s="112" t="s">
        <v>4127</v>
      </c>
      <c r="F7" s="112">
        <v>19</v>
      </c>
      <c r="G7" s="112" t="s">
        <v>4133</v>
      </c>
      <c r="H7" s="112">
        <v>13</v>
      </c>
      <c r="I7" s="112" t="s">
        <v>4129</v>
      </c>
      <c r="J7" s="112">
        <v>14</v>
      </c>
    </row>
    <row r="8" spans="1:10" ht="15">
      <c r="A8" s="112" t="s">
        <v>2874</v>
      </c>
      <c r="B8" s="112">
        <v>49</v>
      </c>
      <c r="C8" s="112" t="s">
        <v>4132</v>
      </c>
      <c r="D8" s="112">
        <v>18</v>
      </c>
      <c r="E8" s="112" t="s">
        <v>4125</v>
      </c>
      <c r="F8" s="112">
        <v>18</v>
      </c>
      <c r="G8" s="112" t="s">
        <v>4127</v>
      </c>
      <c r="H8" s="112">
        <v>13</v>
      </c>
      <c r="I8" s="112" t="s">
        <v>4124</v>
      </c>
      <c r="J8" s="112">
        <v>14</v>
      </c>
    </row>
    <row r="9" spans="1:10" ht="15">
      <c r="A9" s="112" t="s">
        <v>2725</v>
      </c>
      <c r="B9" s="112">
        <v>42</v>
      </c>
      <c r="C9" s="112" t="s">
        <v>4133</v>
      </c>
      <c r="D9" s="112">
        <v>16</v>
      </c>
      <c r="E9" s="112" t="s">
        <v>4130</v>
      </c>
      <c r="F9" s="112">
        <v>16</v>
      </c>
      <c r="G9" s="112" t="s">
        <v>4154</v>
      </c>
      <c r="H9" s="112">
        <v>12</v>
      </c>
      <c r="I9" s="112" t="s">
        <v>4146</v>
      </c>
      <c r="J9" s="112">
        <v>11</v>
      </c>
    </row>
    <row r="10" spans="1:10" ht="15">
      <c r="A10" s="112" t="s">
        <v>4134</v>
      </c>
      <c r="B10" s="112">
        <v>41</v>
      </c>
      <c r="C10" s="112" t="s">
        <v>4127</v>
      </c>
      <c r="D10" s="112">
        <v>15</v>
      </c>
      <c r="E10" s="112" t="s">
        <v>4153</v>
      </c>
      <c r="F10" s="112">
        <v>16</v>
      </c>
      <c r="G10" s="112" t="s">
        <v>4130</v>
      </c>
      <c r="H10" s="112">
        <v>11</v>
      </c>
      <c r="I10" s="112" t="s">
        <v>4162</v>
      </c>
      <c r="J10" s="112">
        <v>10</v>
      </c>
    </row>
    <row r="11" spans="1:10" ht="15">
      <c r="A11" s="112" t="s">
        <v>4131</v>
      </c>
      <c r="B11" s="112">
        <v>41</v>
      </c>
      <c r="C11" s="112" t="s">
        <v>4128</v>
      </c>
      <c r="D11" s="112">
        <v>14</v>
      </c>
      <c r="E11" s="112" t="s">
        <v>4131</v>
      </c>
      <c r="F11" s="112">
        <v>13</v>
      </c>
      <c r="G11" s="112" t="s">
        <v>4131</v>
      </c>
      <c r="H11" s="112">
        <v>9</v>
      </c>
      <c r="I11" s="112" t="s">
        <v>4136</v>
      </c>
      <c r="J11" s="112">
        <v>9</v>
      </c>
    </row>
    <row r="14" spans="1:10" ht="15" customHeight="1">
      <c r="A14" s="13" t="s">
        <v>4424</v>
      </c>
      <c r="B14" s="13" t="s">
        <v>4414</v>
      </c>
      <c r="C14" s="13" t="s">
        <v>4433</v>
      </c>
      <c r="D14" s="13" t="s">
        <v>4417</v>
      </c>
      <c r="E14" s="13" t="s">
        <v>4438</v>
      </c>
      <c r="F14" s="13" t="s">
        <v>4419</v>
      </c>
      <c r="G14" s="13" t="s">
        <v>4441</v>
      </c>
      <c r="H14" s="13" t="s">
        <v>4421</v>
      </c>
      <c r="I14" s="13" t="s">
        <v>4442</v>
      </c>
      <c r="J14" s="13" t="s">
        <v>4422</v>
      </c>
    </row>
    <row r="15" spans="1:10" ht="15">
      <c r="A15" s="112" t="s">
        <v>4425</v>
      </c>
      <c r="B15" s="112">
        <v>62</v>
      </c>
      <c r="C15" s="112" t="s">
        <v>4425</v>
      </c>
      <c r="D15" s="112">
        <v>24</v>
      </c>
      <c r="E15" s="112" t="s">
        <v>4427</v>
      </c>
      <c r="F15" s="112">
        <v>15</v>
      </c>
      <c r="G15" s="112" t="s">
        <v>4428</v>
      </c>
      <c r="H15" s="112">
        <v>17</v>
      </c>
      <c r="I15" s="112" t="s">
        <v>4426</v>
      </c>
      <c r="J15" s="112">
        <v>25</v>
      </c>
    </row>
    <row r="16" spans="1:10" ht="15">
      <c r="A16" s="112" t="s">
        <v>4426</v>
      </c>
      <c r="B16" s="112">
        <v>58</v>
      </c>
      <c r="C16" s="112" t="s">
        <v>4426</v>
      </c>
      <c r="D16" s="112">
        <v>15</v>
      </c>
      <c r="E16" s="112" t="s">
        <v>4426</v>
      </c>
      <c r="F16" s="112">
        <v>13</v>
      </c>
      <c r="G16" s="112" t="s">
        <v>4434</v>
      </c>
      <c r="H16" s="112">
        <v>9</v>
      </c>
      <c r="I16" s="112" t="s">
        <v>4425</v>
      </c>
      <c r="J16" s="112">
        <v>19</v>
      </c>
    </row>
    <row r="17" spans="1:10" ht="15">
      <c r="A17" s="112" t="s">
        <v>4427</v>
      </c>
      <c r="B17" s="112">
        <v>28</v>
      </c>
      <c r="C17" s="112" t="s">
        <v>4431</v>
      </c>
      <c r="D17" s="112">
        <v>5</v>
      </c>
      <c r="E17" s="112" t="s">
        <v>4425</v>
      </c>
      <c r="F17" s="112">
        <v>11</v>
      </c>
      <c r="G17" s="112" t="s">
        <v>4425</v>
      </c>
      <c r="H17" s="112">
        <v>8</v>
      </c>
      <c r="I17" s="112" t="s">
        <v>4444</v>
      </c>
      <c r="J17" s="112">
        <v>10</v>
      </c>
    </row>
    <row r="18" spans="1:10" ht="15">
      <c r="A18" s="112" t="s">
        <v>4428</v>
      </c>
      <c r="B18" s="112">
        <v>26</v>
      </c>
      <c r="C18" s="112" t="s">
        <v>4471</v>
      </c>
      <c r="D18" s="112">
        <v>5</v>
      </c>
      <c r="E18" s="112" t="s">
        <v>4432</v>
      </c>
      <c r="F18" s="112">
        <v>9</v>
      </c>
      <c r="G18" s="112" t="s">
        <v>4427</v>
      </c>
      <c r="H18" s="112">
        <v>7</v>
      </c>
      <c r="I18" s="112" t="s">
        <v>4445</v>
      </c>
      <c r="J18" s="112">
        <v>5</v>
      </c>
    </row>
    <row r="19" spans="1:10" ht="15">
      <c r="A19" s="112" t="s">
        <v>4429</v>
      </c>
      <c r="B19" s="112">
        <v>16</v>
      </c>
      <c r="C19" s="112" t="s">
        <v>4472</v>
      </c>
      <c r="D19" s="112">
        <v>4</v>
      </c>
      <c r="E19" s="112" t="s">
        <v>4475</v>
      </c>
      <c r="F19" s="112">
        <v>8</v>
      </c>
      <c r="G19" s="112" t="s">
        <v>4435</v>
      </c>
      <c r="H19" s="112">
        <v>6</v>
      </c>
      <c r="I19" s="112" t="s">
        <v>4479</v>
      </c>
      <c r="J19" s="112">
        <v>5</v>
      </c>
    </row>
    <row r="20" spans="1:10" ht="15">
      <c r="A20" s="112" t="s">
        <v>4432</v>
      </c>
      <c r="B20" s="112">
        <v>15</v>
      </c>
      <c r="C20" s="112" t="s">
        <v>4440</v>
      </c>
      <c r="D20" s="112">
        <v>4</v>
      </c>
      <c r="E20" s="112" t="s">
        <v>4436</v>
      </c>
      <c r="F20" s="112">
        <v>8</v>
      </c>
      <c r="G20" s="112" t="s">
        <v>4426</v>
      </c>
      <c r="H20" s="112">
        <v>5</v>
      </c>
      <c r="I20" s="112" t="s">
        <v>4480</v>
      </c>
      <c r="J20" s="112">
        <v>5</v>
      </c>
    </row>
    <row r="21" spans="1:10" ht="15">
      <c r="A21" s="112" t="s">
        <v>4434</v>
      </c>
      <c r="B21" s="112">
        <v>12</v>
      </c>
      <c r="C21" s="112" t="s">
        <v>4439</v>
      </c>
      <c r="D21" s="112">
        <v>4</v>
      </c>
      <c r="E21" s="112" t="s">
        <v>4470</v>
      </c>
      <c r="F21" s="112">
        <v>7</v>
      </c>
      <c r="G21" s="112" t="s">
        <v>4476</v>
      </c>
      <c r="H21" s="112">
        <v>4</v>
      </c>
      <c r="I21" s="112" t="s">
        <v>4428</v>
      </c>
      <c r="J21" s="112">
        <v>4</v>
      </c>
    </row>
    <row r="22" spans="1:10" ht="15">
      <c r="A22" s="112" t="s">
        <v>4470</v>
      </c>
      <c r="B22" s="112">
        <v>12</v>
      </c>
      <c r="C22" s="112" t="s">
        <v>4473</v>
      </c>
      <c r="D22" s="112">
        <v>4</v>
      </c>
      <c r="E22" s="112" t="s">
        <v>4447</v>
      </c>
      <c r="F22" s="112">
        <v>7</v>
      </c>
      <c r="G22" s="112" t="s">
        <v>4437</v>
      </c>
      <c r="H22" s="112">
        <v>4</v>
      </c>
      <c r="I22" s="112" t="s">
        <v>4429</v>
      </c>
      <c r="J22" s="112">
        <v>4</v>
      </c>
    </row>
    <row r="23" spans="1:10" ht="15">
      <c r="A23" s="112" t="s">
        <v>4431</v>
      </c>
      <c r="B23" s="112">
        <v>11</v>
      </c>
      <c r="C23" s="112" t="s">
        <v>4430</v>
      </c>
      <c r="D23" s="112">
        <v>4</v>
      </c>
      <c r="E23" s="112" t="s">
        <v>4429</v>
      </c>
      <c r="F23" s="112">
        <v>6</v>
      </c>
      <c r="G23" s="112" t="s">
        <v>4477</v>
      </c>
      <c r="H23" s="112">
        <v>3</v>
      </c>
      <c r="I23" s="112" t="s">
        <v>4427</v>
      </c>
      <c r="J23" s="112">
        <v>4</v>
      </c>
    </row>
    <row r="24" spans="1:10" ht="15">
      <c r="A24" s="112" t="s">
        <v>4443</v>
      </c>
      <c r="B24" s="112">
        <v>11</v>
      </c>
      <c r="C24" s="112" t="s">
        <v>4474</v>
      </c>
      <c r="D24" s="112">
        <v>4</v>
      </c>
      <c r="E24" s="112" t="s">
        <v>4443</v>
      </c>
      <c r="F24" s="112">
        <v>6</v>
      </c>
      <c r="G24" s="112" t="s">
        <v>4478</v>
      </c>
      <c r="H24" s="112">
        <v>3</v>
      </c>
      <c r="I24" s="112" t="s">
        <v>4446</v>
      </c>
      <c r="J24" s="112">
        <v>3</v>
      </c>
    </row>
  </sheetData>
  <printOptions/>
  <pageMargins left="0.7" right="0.7" top="0.75" bottom="0.75" header="0.3" footer="0.3"/>
  <pageSetup orientation="portrait" paperSize="9"/>
  <tableParts>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734"/>
  <sheetViews>
    <sheetView tabSelected="1" workbookViewId="0" topLeftCell="A1">
      <pane xSplit="1" ySplit="2" topLeftCell="AH3" activePane="bottomRight" state="frozen"/>
      <selection pane="topRight" activeCell="B1" sqref="B1"/>
      <selection pane="bottomLeft" activeCell="A3" sqref="A3"/>
      <selection pane="bottomRight" activeCell="A2" sqref="A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7.140625" style="3" bestFit="1" customWidth="1"/>
    <col min="33" max="33" width="22.00390625" style="3" customWidth="1"/>
    <col min="34" max="34" width="14.8515625" style="3" bestFit="1" customWidth="1"/>
    <col min="35" max="35" width="7.8515625" style="0" bestFit="1" customWidth="1"/>
    <col min="36" max="36" width="12.8515625" style="0" bestFit="1" customWidth="1"/>
    <col min="37" max="37" width="13.421875" style="0" bestFit="1" customWidth="1"/>
    <col min="38" max="38" width="10.140625" style="0" bestFit="1" customWidth="1"/>
    <col min="39" max="40" width="15.7109375" style="0" bestFit="1" customWidth="1"/>
    <col min="41" max="41" width="9.7109375" style="0" bestFit="1" customWidth="1"/>
    <col min="42" max="42" width="19.7109375" style="0" bestFit="1" customWidth="1"/>
    <col min="43" max="43" width="24.28125" style="0" bestFit="1" customWidth="1"/>
    <col min="44" max="44" width="19.7109375" style="0" bestFit="1" customWidth="1"/>
    <col min="45" max="45" width="24.28125" style="0" bestFit="1" customWidth="1"/>
    <col min="46" max="46" width="19.7109375" style="0" bestFit="1" customWidth="1"/>
    <col min="47" max="47" width="24.28125" style="0" bestFit="1" customWidth="1"/>
    <col min="48" max="48" width="18.57421875" style="0" bestFit="1" customWidth="1"/>
    <col min="49" max="49" width="22.28125" style="0" bestFit="1" customWidth="1"/>
    <col min="50" max="50" width="17.421875" style="0" bestFit="1" customWidth="1"/>
    <col min="51" max="51" width="15.57421875" style="0" bestFit="1" customWidth="1"/>
    <col min="52" max="53" width="17.7109375" style="0" bestFit="1" customWidth="1"/>
    <col min="54" max="54" width="19.281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56"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945</v>
      </c>
      <c r="AE2" s="13" t="s">
        <v>946</v>
      </c>
      <c r="AF2" s="13" t="s">
        <v>947</v>
      </c>
      <c r="AG2" s="13" t="s">
        <v>948</v>
      </c>
      <c r="AH2" s="13" t="s">
        <v>949</v>
      </c>
      <c r="AI2" s="13" t="s">
        <v>950</v>
      </c>
      <c r="AJ2" s="13" t="s">
        <v>951</v>
      </c>
      <c r="AK2" s="13" t="s">
        <v>952</v>
      </c>
      <c r="AL2" s="13" t="s">
        <v>953</v>
      </c>
      <c r="AM2" s="13" t="s">
        <v>954</v>
      </c>
      <c r="AN2" s="13" t="s">
        <v>955</v>
      </c>
      <c r="AO2" s="13" t="s">
        <v>4109</v>
      </c>
      <c r="AP2" s="115" t="s">
        <v>4369</v>
      </c>
      <c r="AQ2" s="115" t="s">
        <v>4370</v>
      </c>
      <c r="AR2" s="115" t="s">
        <v>4371</v>
      </c>
      <c r="AS2" s="115" t="s">
        <v>4372</v>
      </c>
      <c r="AT2" s="115" t="s">
        <v>4373</v>
      </c>
      <c r="AU2" s="115" t="s">
        <v>4374</v>
      </c>
      <c r="AV2" s="115" t="s">
        <v>4375</v>
      </c>
      <c r="AW2" s="115" t="s">
        <v>4376</v>
      </c>
      <c r="AX2" s="115" t="s">
        <v>4378</v>
      </c>
      <c r="AY2" s="115" t="s">
        <v>4449</v>
      </c>
      <c r="AZ2" s="115" t="s">
        <v>4451</v>
      </c>
      <c r="BA2" s="115" t="s">
        <v>4452</v>
      </c>
      <c r="BB2" s="115" t="s">
        <v>4453</v>
      </c>
      <c r="BC2" s="3"/>
      <c r="BD2" s="3"/>
    </row>
    <row r="3" spans="1:56" ht="15" customHeight="1">
      <c r="A3" s="66" t="s">
        <v>252</v>
      </c>
      <c r="B3" s="67" t="s">
        <v>4489</v>
      </c>
      <c r="C3" s="67" t="s">
        <v>64</v>
      </c>
      <c r="D3" s="68">
        <v>758</v>
      </c>
      <c r="E3" s="70"/>
      <c r="F3" s="97" t="str">
        <f>HYPERLINK("https://i.ytimg.com/vi/BRAb8AzW3-E/default.jpg")</f>
        <v>https://i.ytimg.com/vi/BRAb8AzW3-E/default.jpg</v>
      </c>
      <c r="G3" s="67"/>
      <c r="H3" s="71" t="s">
        <v>1198</v>
      </c>
      <c r="I3" s="72"/>
      <c r="J3" s="72" t="s">
        <v>75</v>
      </c>
      <c r="K3" s="71" t="s">
        <v>1198</v>
      </c>
      <c r="L3" s="75">
        <v>7555.044444444445</v>
      </c>
      <c r="M3" s="76">
        <v>2246.740478515625</v>
      </c>
      <c r="N3" s="76">
        <v>7508.791015625</v>
      </c>
      <c r="O3" s="77"/>
      <c r="P3" s="78"/>
      <c r="Q3" s="78"/>
      <c r="R3" s="82"/>
      <c r="S3" s="48">
        <v>34</v>
      </c>
      <c r="T3" s="48">
        <v>41</v>
      </c>
      <c r="U3" s="49">
        <v>5858.202688</v>
      </c>
      <c r="V3" s="49">
        <v>0.002155</v>
      </c>
      <c r="W3" s="49">
        <v>0.014127</v>
      </c>
      <c r="X3" s="49">
        <v>5.188864</v>
      </c>
      <c r="Y3" s="49">
        <v>0.1420673076923077</v>
      </c>
      <c r="Z3" s="49">
        <v>0.15384615384615385</v>
      </c>
      <c r="AA3" s="73">
        <v>3</v>
      </c>
      <c r="AB3" s="73"/>
      <c r="AC3" s="74"/>
      <c r="AD3" s="80" t="s">
        <v>1198</v>
      </c>
      <c r="AE3" s="80" t="s">
        <v>1883</v>
      </c>
      <c r="AF3" s="80" t="s">
        <v>2498</v>
      </c>
      <c r="AG3" s="80" t="s">
        <v>3057</v>
      </c>
      <c r="AH3" s="80" t="s">
        <v>3610</v>
      </c>
      <c r="AI3" s="80">
        <v>9539</v>
      </c>
      <c r="AJ3" s="80">
        <v>4</v>
      </c>
      <c r="AK3" s="80">
        <v>67</v>
      </c>
      <c r="AL3" s="80">
        <v>0</v>
      </c>
      <c r="AM3" s="80" t="s">
        <v>4098</v>
      </c>
      <c r="AN3" s="96" t="str">
        <f>HYPERLINK("https://www.youtube.com/watch?v=BRAb8AzW3-E")</f>
        <v>https://www.youtube.com/watch?v=BRAb8AzW3-E</v>
      </c>
      <c r="AO3" s="80" t="str">
        <f>REPLACE(INDEX(GroupVertices[Group],MATCH(Vertices[[#This Row],[Vertex]],GroupVertices[Vertex],0)),1,1,"")</f>
        <v>1</v>
      </c>
      <c r="AP3" s="48">
        <v>0</v>
      </c>
      <c r="AQ3" s="49">
        <v>0</v>
      </c>
      <c r="AR3" s="48">
        <v>0</v>
      </c>
      <c r="AS3" s="49">
        <v>0</v>
      </c>
      <c r="AT3" s="48">
        <v>0</v>
      </c>
      <c r="AU3" s="49">
        <v>0</v>
      </c>
      <c r="AV3" s="48">
        <v>4</v>
      </c>
      <c r="AW3" s="49">
        <v>100</v>
      </c>
      <c r="AX3" s="48">
        <v>4</v>
      </c>
      <c r="AY3" s="119" t="s">
        <v>4450</v>
      </c>
      <c r="AZ3" s="119" t="s">
        <v>4450</v>
      </c>
      <c r="BA3" s="119" t="s">
        <v>4450</v>
      </c>
      <c r="BB3" s="119" t="s">
        <v>4450</v>
      </c>
      <c r="BC3" s="3"/>
      <c r="BD3" s="3"/>
    </row>
    <row r="4" spans="1:59" ht="15">
      <c r="A4" s="66" t="s">
        <v>261</v>
      </c>
      <c r="B4" s="67" t="s">
        <v>4490</v>
      </c>
      <c r="C4" s="67" t="s">
        <v>64</v>
      </c>
      <c r="D4" s="68">
        <v>1000</v>
      </c>
      <c r="E4" s="70"/>
      <c r="F4" s="97" t="str">
        <f>HYPERLINK("https://i.ytimg.com/vi/pwsImFyc0lE/default.jpg")</f>
        <v>https://i.ytimg.com/vi/pwsImFyc0lE/default.jpg</v>
      </c>
      <c r="G4" s="67"/>
      <c r="H4" s="71" t="s">
        <v>1197</v>
      </c>
      <c r="I4" s="72"/>
      <c r="J4" s="72" t="s">
        <v>75</v>
      </c>
      <c r="K4" s="71" t="s">
        <v>1197</v>
      </c>
      <c r="L4" s="75">
        <v>9999</v>
      </c>
      <c r="M4" s="76">
        <v>3688.630615234375</v>
      </c>
      <c r="N4" s="76">
        <v>7001.8203125</v>
      </c>
      <c r="O4" s="77"/>
      <c r="P4" s="78"/>
      <c r="Q4" s="78"/>
      <c r="R4" s="82"/>
      <c r="S4" s="48">
        <v>45</v>
      </c>
      <c r="T4" s="48">
        <v>40</v>
      </c>
      <c r="U4" s="49">
        <v>4615.816862</v>
      </c>
      <c r="V4" s="49">
        <v>0.002252</v>
      </c>
      <c r="W4" s="49">
        <v>0.018877</v>
      </c>
      <c r="X4" s="49">
        <v>5.501734</v>
      </c>
      <c r="Y4" s="49">
        <v>0.1861261261261261</v>
      </c>
      <c r="Z4" s="49">
        <v>0.13333333333333333</v>
      </c>
      <c r="AA4" s="73">
        <v>4</v>
      </c>
      <c r="AB4" s="73"/>
      <c r="AC4" s="74"/>
      <c r="AD4" s="80" t="s">
        <v>1197</v>
      </c>
      <c r="AE4" s="80" t="s">
        <v>1882</v>
      </c>
      <c r="AF4" s="80" t="s">
        <v>2497</v>
      </c>
      <c r="AG4" s="80" t="s">
        <v>3056</v>
      </c>
      <c r="AH4" s="80" t="s">
        <v>3609</v>
      </c>
      <c r="AI4" s="80">
        <v>83379</v>
      </c>
      <c r="AJ4" s="80">
        <v>13</v>
      </c>
      <c r="AK4" s="80">
        <v>136</v>
      </c>
      <c r="AL4" s="80">
        <v>10</v>
      </c>
      <c r="AM4" s="80" t="s">
        <v>4098</v>
      </c>
      <c r="AN4" s="96" t="str">
        <f>HYPERLINK("https://www.youtube.com/watch?v=pwsImFyc0lE")</f>
        <v>https://www.youtube.com/watch?v=pwsImFyc0lE</v>
      </c>
      <c r="AO4" s="80" t="str">
        <f>REPLACE(INDEX(GroupVertices[Group],MATCH(Vertices[[#This Row],[Vertex]],GroupVertices[Vertex],0)),1,1,"")</f>
        <v>1</v>
      </c>
      <c r="AP4" s="48">
        <v>0</v>
      </c>
      <c r="AQ4" s="49">
        <v>0</v>
      </c>
      <c r="AR4" s="48">
        <v>0</v>
      </c>
      <c r="AS4" s="49">
        <v>0</v>
      </c>
      <c r="AT4" s="48">
        <v>0</v>
      </c>
      <c r="AU4" s="49">
        <v>0</v>
      </c>
      <c r="AV4" s="48">
        <v>5</v>
      </c>
      <c r="AW4" s="49">
        <v>100</v>
      </c>
      <c r="AX4" s="48">
        <v>5</v>
      </c>
      <c r="AY4" s="119" t="s">
        <v>4450</v>
      </c>
      <c r="AZ4" s="119" t="s">
        <v>4450</v>
      </c>
      <c r="BA4" s="119" t="s">
        <v>4450</v>
      </c>
      <c r="BB4" s="119" t="s">
        <v>4450</v>
      </c>
      <c r="BC4" s="2"/>
      <c r="BD4" s="3"/>
      <c r="BE4" s="3"/>
      <c r="BF4" s="3"/>
      <c r="BG4" s="3"/>
    </row>
    <row r="5" spans="1:59" ht="15">
      <c r="A5" s="66" t="s">
        <v>254</v>
      </c>
      <c r="B5" s="67" t="s">
        <v>4491</v>
      </c>
      <c r="C5" s="67" t="s">
        <v>64</v>
      </c>
      <c r="D5" s="68">
        <v>802</v>
      </c>
      <c r="E5" s="70"/>
      <c r="F5" s="97" t="str">
        <f>HYPERLINK("https://i.ytimg.com/vi/08MqGSL9TNQ/default.jpg")</f>
        <v>https://i.ytimg.com/vi/08MqGSL9TNQ/default.jpg</v>
      </c>
      <c r="G5" s="67"/>
      <c r="H5" s="71" t="s">
        <v>1239</v>
      </c>
      <c r="I5" s="72"/>
      <c r="J5" s="72" t="s">
        <v>75</v>
      </c>
      <c r="K5" s="71" t="s">
        <v>1239</v>
      </c>
      <c r="L5" s="75">
        <v>7999.4</v>
      </c>
      <c r="M5" s="76">
        <v>8549.958984375</v>
      </c>
      <c r="N5" s="76">
        <v>6185.755859375</v>
      </c>
      <c r="O5" s="77"/>
      <c r="P5" s="78"/>
      <c r="Q5" s="78"/>
      <c r="R5" s="82"/>
      <c r="S5" s="48">
        <v>36</v>
      </c>
      <c r="T5" s="48">
        <v>39</v>
      </c>
      <c r="U5" s="49">
        <v>4587.06198</v>
      </c>
      <c r="V5" s="49">
        <v>0.002222</v>
      </c>
      <c r="W5" s="49">
        <v>0.017368</v>
      </c>
      <c r="X5" s="49">
        <v>5.346935</v>
      </c>
      <c r="Y5" s="49">
        <v>0.1750503018108652</v>
      </c>
      <c r="Z5" s="49">
        <v>0.056338028169014086</v>
      </c>
      <c r="AA5" s="73">
        <v>5</v>
      </c>
      <c r="AB5" s="73"/>
      <c r="AC5" s="74"/>
      <c r="AD5" s="80" t="s">
        <v>1239</v>
      </c>
      <c r="AE5" s="80" t="s">
        <v>1921</v>
      </c>
      <c r="AF5" s="80" t="s">
        <v>2530</v>
      </c>
      <c r="AG5" s="80" t="s">
        <v>2907</v>
      </c>
      <c r="AH5" s="80" t="s">
        <v>3651</v>
      </c>
      <c r="AI5" s="80">
        <v>15361</v>
      </c>
      <c r="AJ5" s="80">
        <v>15</v>
      </c>
      <c r="AK5" s="80">
        <v>56</v>
      </c>
      <c r="AL5" s="80">
        <v>1</v>
      </c>
      <c r="AM5" s="80" t="s">
        <v>4098</v>
      </c>
      <c r="AN5" s="96" t="str">
        <f>HYPERLINK("https://www.youtube.com/watch?v=08MqGSL9TNQ")</f>
        <v>https://www.youtube.com/watch?v=08MqGSL9TNQ</v>
      </c>
      <c r="AO5" s="80" t="str">
        <f>REPLACE(INDEX(GroupVertices[Group],MATCH(Vertices[[#This Row],[Vertex]],GroupVertices[Vertex],0)),1,1,"")</f>
        <v>3</v>
      </c>
      <c r="AP5" s="48">
        <v>0</v>
      </c>
      <c r="AQ5" s="49">
        <v>0</v>
      </c>
      <c r="AR5" s="48">
        <v>0</v>
      </c>
      <c r="AS5" s="49">
        <v>0</v>
      </c>
      <c r="AT5" s="48">
        <v>0</v>
      </c>
      <c r="AU5" s="49">
        <v>0</v>
      </c>
      <c r="AV5" s="48">
        <v>15</v>
      </c>
      <c r="AW5" s="49">
        <v>100</v>
      </c>
      <c r="AX5" s="48">
        <v>15</v>
      </c>
      <c r="AY5" s="119" t="s">
        <v>4450</v>
      </c>
      <c r="AZ5" s="119" t="s">
        <v>4450</v>
      </c>
      <c r="BA5" s="119" t="s">
        <v>4450</v>
      </c>
      <c r="BB5" s="119" t="s">
        <v>4450</v>
      </c>
      <c r="BC5" s="2"/>
      <c r="BD5" s="3"/>
      <c r="BE5" s="3"/>
      <c r="BF5" s="3"/>
      <c r="BG5" s="3"/>
    </row>
    <row r="6" spans="1:59" ht="15">
      <c r="A6" s="66" t="s">
        <v>253</v>
      </c>
      <c r="B6" s="67" t="s">
        <v>4492</v>
      </c>
      <c r="C6" s="67" t="s">
        <v>64</v>
      </c>
      <c r="D6" s="68">
        <v>1000</v>
      </c>
      <c r="E6" s="70"/>
      <c r="F6" s="97" t="str">
        <f>HYPERLINK("https://i.ytimg.com/vi/zEgrruOITHw/default.jpg")</f>
        <v>https://i.ytimg.com/vi/zEgrruOITHw/default.jpg</v>
      </c>
      <c r="G6" s="67"/>
      <c r="H6" s="71" t="s">
        <v>1201</v>
      </c>
      <c r="I6" s="72"/>
      <c r="J6" s="72" t="s">
        <v>75</v>
      </c>
      <c r="K6" s="71" t="s">
        <v>1201</v>
      </c>
      <c r="L6" s="75">
        <v>9999</v>
      </c>
      <c r="M6" s="76">
        <v>3379.875732421875</v>
      </c>
      <c r="N6" s="76">
        <v>6901.21728515625</v>
      </c>
      <c r="O6" s="77"/>
      <c r="P6" s="78"/>
      <c r="Q6" s="78"/>
      <c r="R6" s="82"/>
      <c r="S6" s="48">
        <v>45</v>
      </c>
      <c r="T6" s="48">
        <v>36</v>
      </c>
      <c r="U6" s="49">
        <v>4491.786573</v>
      </c>
      <c r="V6" s="49">
        <v>0.002252</v>
      </c>
      <c r="W6" s="49">
        <v>0.019224</v>
      </c>
      <c r="X6" s="49">
        <v>5.41114</v>
      </c>
      <c r="Y6" s="49">
        <v>0.19955572010366532</v>
      </c>
      <c r="Z6" s="49">
        <v>0.0945945945945946</v>
      </c>
      <c r="AA6" s="73">
        <v>6</v>
      </c>
      <c r="AB6" s="73"/>
      <c r="AC6" s="74"/>
      <c r="AD6" s="80" t="s">
        <v>1201</v>
      </c>
      <c r="AE6" s="80" t="s">
        <v>1886</v>
      </c>
      <c r="AF6" s="80" t="s">
        <v>2500</v>
      </c>
      <c r="AG6" s="80" t="s">
        <v>2907</v>
      </c>
      <c r="AH6" s="80" t="s">
        <v>3613</v>
      </c>
      <c r="AI6" s="80">
        <v>10073</v>
      </c>
      <c r="AJ6" s="80">
        <v>3</v>
      </c>
      <c r="AK6" s="80">
        <v>44</v>
      </c>
      <c r="AL6" s="80">
        <v>1</v>
      </c>
      <c r="AM6" s="80" t="s">
        <v>4098</v>
      </c>
      <c r="AN6" s="96" t="str">
        <f>HYPERLINK("https://www.youtube.com/watch?v=zEgrruOITHw")</f>
        <v>https://www.youtube.com/watch?v=zEgrruOITHw</v>
      </c>
      <c r="AO6" s="80" t="str">
        <f>REPLACE(INDEX(GroupVertices[Group],MATCH(Vertices[[#This Row],[Vertex]],GroupVertices[Vertex],0)),1,1,"")</f>
        <v>1</v>
      </c>
      <c r="AP6" s="48">
        <v>0</v>
      </c>
      <c r="AQ6" s="49">
        <v>0</v>
      </c>
      <c r="AR6" s="48">
        <v>0</v>
      </c>
      <c r="AS6" s="49">
        <v>0</v>
      </c>
      <c r="AT6" s="48">
        <v>0</v>
      </c>
      <c r="AU6" s="49">
        <v>0</v>
      </c>
      <c r="AV6" s="48">
        <v>7</v>
      </c>
      <c r="AW6" s="49">
        <v>100</v>
      </c>
      <c r="AX6" s="48">
        <v>7</v>
      </c>
      <c r="AY6" s="119" t="s">
        <v>4450</v>
      </c>
      <c r="AZ6" s="119" t="s">
        <v>4450</v>
      </c>
      <c r="BA6" s="119" t="s">
        <v>4450</v>
      </c>
      <c r="BB6" s="119" t="s">
        <v>4450</v>
      </c>
      <c r="BC6" s="2"/>
      <c r="BD6" s="3"/>
      <c r="BE6" s="3"/>
      <c r="BF6" s="3"/>
      <c r="BG6" s="3"/>
    </row>
    <row r="7" spans="1:59" ht="15">
      <c r="A7" s="66" t="s">
        <v>217</v>
      </c>
      <c r="B7" s="67" t="s">
        <v>4458</v>
      </c>
      <c r="C7" s="67" t="s">
        <v>64</v>
      </c>
      <c r="D7" s="68">
        <v>560</v>
      </c>
      <c r="E7" s="70"/>
      <c r="F7" s="97" t="str">
        <f>HYPERLINK("https://i.ytimg.com/vi/1VVN0ZlxXmI/default.jpg")</f>
        <v>https://i.ytimg.com/vi/1VVN0ZlxXmI/default.jpg</v>
      </c>
      <c r="G7" s="67"/>
      <c r="H7" s="71" t="s">
        <v>1007</v>
      </c>
      <c r="I7" s="72"/>
      <c r="J7" s="72" t="s">
        <v>75</v>
      </c>
      <c r="K7" s="71" t="s">
        <v>1007</v>
      </c>
      <c r="L7" s="75">
        <v>5555.444444444444</v>
      </c>
      <c r="M7" s="76">
        <v>7610.18896484375</v>
      </c>
      <c r="N7" s="76">
        <v>1775.1817626953125</v>
      </c>
      <c r="O7" s="77"/>
      <c r="P7" s="78"/>
      <c r="Q7" s="78"/>
      <c r="R7" s="82"/>
      <c r="S7" s="48">
        <v>25</v>
      </c>
      <c r="T7" s="48">
        <v>37</v>
      </c>
      <c r="U7" s="49">
        <v>4415.945227</v>
      </c>
      <c r="V7" s="49">
        <v>0.002151</v>
      </c>
      <c r="W7" s="49">
        <v>0.013819</v>
      </c>
      <c r="X7" s="49">
        <v>4.792338</v>
      </c>
      <c r="Y7" s="49">
        <v>0.153551912568306</v>
      </c>
      <c r="Z7" s="49">
        <v>0.01639344262295082</v>
      </c>
      <c r="AA7" s="73">
        <v>7</v>
      </c>
      <c r="AB7" s="73"/>
      <c r="AC7" s="74"/>
      <c r="AD7" s="80" t="s">
        <v>1007</v>
      </c>
      <c r="AE7" s="80" t="s">
        <v>1727</v>
      </c>
      <c r="AF7" s="80" t="s">
        <v>2360</v>
      </c>
      <c r="AG7" s="80" t="s">
        <v>2936</v>
      </c>
      <c r="AH7" s="80" t="s">
        <v>3422</v>
      </c>
      <c r="AI7" s="80">
        <v>881</v>
      </c>
      <c r="AJ7" s="80">
        <v>1</v>
      </c>
      <c r="AK7" s="80">
        <v>4</v>
      </c>
      <c r="AL7" s="80">
        <v>0</v>
      </c>
      <c r="AM7" s="80" t="s">
        <v>4098</v>
      </c>
      <c r="AN7" s="96" t="str">
        <f>HYPERLINK("https://www.youtube.com/watch?v=1VVN0ZlxXmI")</f>
        <v>https://www.youtube.com/watch?v=1VVN0ZlxXmI</v>
      </c>
      <c r="AO7" s="80" t="str">
        <f>REPLACE(INDEX(GroupVertices[Group],MATCH(Vertices[[#This Row],[Vertex]],GroupVertices[Vertex],0)),1,1,"")</f>
        <v>4</v>
      </c>
      <c r="AP7" s="48">
        <v>0</v>
      </c>
      <c r="AQ7" s="49">
        <v>0</v>
      </c>
      <c r="AR7" s="48">
        <v>0</v>
      </c>
      <c r="AS7" s="49">
        <v>0</v>
      </c>
      <c r="AT7" s="48">
        <v>0</v>
      </c>
      <c r="AU7" s="49">
        <v>0</v>
      </c>
      <c r="AV7" s="48">
        <v>2</v>
      </c>
      <c r="AW7" s="49">
        <v>100</v>
      </c>
      <c r="AX7" s="48">
        <v>2</v>
      </c>
      <c r="AY7" s="119" t="s">
        <v>4450</v>
      </c>
      <c r="AZ7" s="119" t="s">
        <v>4450</v>
      </c>
      <c r="BA7" s="119" t="s">
        <v>4450</v>
      </c>
      <c r="BB7" s="119" t="s">
        <v>4450</v>
      </c>
      <c r="BC7" s="2"/>
      <c r="BD7" s="3"/>
      <c r="BE7" s="3"/>
      <c r="BF7" s="3"/>
      <c r="BG7" s="3"/>
    </row>
    <row r="8" spans="1:59" ht="15">
      <c r="A8" s="66" t="s">
        <v>259</v>
      </c>
      <c r="B8" s="67" t="s">
        <v>4458</v>
      </c>
      <c r="C8" s="67" t="s">
        <v>64</v>
      </c>
      <c r="D8" s="68">
        <v>758</v>
      </c>
      <c r="E8" s="70"/>
      <c r="F8" s="97" t="str">
        <f>HYPERLINK("https://i.ytimg.com/vi/PC-PgkhpsNc/default.jpg")</f>
        <v>https://i.ytimg.com/vi/PC-PgkhpsNc/default.jpg</v>
      </c>
      <c r="G8" s="67"/>
      <c r="H8" s="71" t="s">
        <v>1240</v>
      </c>
      <c r="I8" s="72"/>
      <c r="J8" s="72" t="s">
        <v>75</v>
      </c>
      <c r="K8" s="71" t="s">
        <v>1240</v>
      </c>
      <c r="L8" s="75">
        <v>7555.044444444445</v>
      </c>
      <c r="M8" s="76">
        <v>3063.9921875</v>
      </c>
      <c r="N8" s="76">
        <v>2915.4443359375</v>
      </c>
      <c r="O8" s="77"/>
      <c r="P8" s="78"/>
      <c r="Q8" s="78"/>
      <c r="R8" s="82"/>
      <c r="S8" s="48">
        <v>34</v>
      </c>
      <c r="T8" s="48">
        <v>37</v>
      </c>
      <c r="U8" s="49">
        <v>3734.05263</v>
      </c>
      <c r="V8" s="49">
        <v>0.002114</v>
      </c>
      <c r="W8" s="49">
        <v>0.016753</v>
      </c>
      <c r="X8" s="49">
        <v>4.815715</v>
      </c>
      <c r="Y8" s="49">
        <v>0.21180555555555555</v>
      </c>
      <c r="Z8" s="49">
        <v>0.109375</v>
      </c>
      <c r="AA8" s="73">
        <v>8</v>
      </c>
      <c r="AB8" s="73"/>
      <c r="AC8" s="74"/>
      <c r="AD8" s="80" t="s">
        <v>1240</v>
      </c>
      <c r="AE8" s="80" t="s">
        <v>1922</v>
      </c>
      <c r="AF8" s="80" t="s">
        <v>2531</v>
      </c>
      <c r="AG8" s="80" t="s">
        <v>2907</v>
      </c>
      <c r="AH8" s="80" t="s">
        <v>3652</v>
      </c>
      <c r="AI8" s="80">
        <v>25987</v>
      </c>
      <c r="AJ8" s="80">
        <v>43</v>
      </c>
      <c r="AK8" s="80">
        <v>160</v>
      </c>
      <c r="AL8" s="80">
        <v>1</v>
      </c>
      <c r="AM8" s="80" t="s">
        <v>4098</v>
      </c>
      <c r="AN8" s="96" t="str">
        <f>HYPERLINK("https://www.youtube.com/watch?v=PC-PgkhpsNc")</f>
        <v>https://www.youtube.com/watch?v=PC-PgkhpsNc</v>
      </c>
      <c r="AO8" s="80" t="str">
        <f>REPLACE(INDEX(GroupVertices[Group],MATCH(Vertices[[#This Row],[Vertex]],GroupVertices[Vertex],0)),1,1,"")</f>
        <v>2</v>
      </c>
      <c r="AP8" s="48">
        <v>0</v>
      </c>
      <c r="AQ8" s="49">
        <v>0</v>
      </c>
      <c r="AR8" s="48">
        <v>0</v>
      </c>
      <c r="AS8" s="49">
        <v>0</v>
      </c>
      <c r="AT8" s="48">
        <v>0</v>
      </c>
      <c r="AU8" s="49">
        <v>0</v>
      </c>
      <c r="AV8" s="48">
        <v>12</v>
      </c>
      <c r="AW8" s="49">
        <v>100</v>
      </c>
      <c r="AX8" s="48">
        <v>12</v>
      </c>
      <c r="AY8" s="119" t="s">
        <v>4450</v>
      </c>
      <c r="AZ8" s="119" t="s">
        <v>4450</v>
      </c>
      <c r="BA8" s="119" t="s">
        <v>4450</v>
      </c>
      <c r="BB8" s="119" t="s">
        <v>4450</v>
      </c>
      <c r="BC8" s="2"/>
      <c r="BD8" s="3"/>
      <c r="BE8" s="3"/>
      <c r="BF8" s="3"/>
      <c r="BG8" s="3"/>
    </row>
    <row r="9" spans="1:59" ht="15">
      <c r="A9" s="66" t="s">
        <v>234</v>
      </c>
      <c r="B9" s="67" t="s">
        <v>4493</v>
      </c>
      <c r="C9" s="67" t="s">
        <v>64</v>
      </c>
      <c r="D9" s="68">
        <v>450</v>
      </c>
      <c r="E9" s="70"/>
      <c r="F9" s="97" t="str">
        <f>HYPERLINK("https://i.ytimg.com/vi/imzmS6mzOws/default.jpg")</f>
        <v>https://i.ytimg.com/vi/imzmS6mzOws/default.jpg</v>
      </c>
      <c r="G9" s="67"/>
      <c r="H9" s="71" t="s">
        <v>1286</v>
      </c>
      <c r="I9" s="72"/>
      <c r="J9" s="72" t="s">
        <v>75</v>
      </c>
      <c r="K9" s="71" t="s">
        <v>1286</v>
      </c>
      <c r="L9" s="75">
        <v>4444.555555555556</v>
      </c>
      <c r="M9" s="76">
        <v>7417.57861328125</v>
      </c>
      <c r="N9" s="76">
        <v>3000.466064453125</v>
      </c>
      <c r="O9" s="77"/>
      <c r="P9" s="78"/>
      <c r="Q9" s="78"/>
      <c r="R9" s="82"/>
      <c r="S9" s="48">
        <v>20</v>
      </c>
      <c r="T9" s="48">
        <v>45</v>
      </c>
      <c r="U9" s="49">
        <v>3424.910307</v>
      </c>
      <c r="V9" s="49">
        <v>0.002096</v>
      </c>
      <c r="W9" s="49">
        <v>0.014551</v>
      </c>
      <c r="X9" s="49">
        <v>4.188543</v>
      </c>
      <c r="Y9" s="49">
        <v>0.2246680642907058</v>
      </c>
      <c r="Z9" s="49">
        <v>0.2037037037037037</v>
      </c>
      <c r="AA9" s="73">
        <v>9</v>
      </c>
      <c r="AB9" s="73"/>
      <c r="AC9" s="74"/>
      <c r="AD9" s="80" t="s">
        <v>1286</v>
      </c>
      <c r="AE9" s="80" t="s">
        <v>1960</v>
      </c>
      <c r="AF9" s="80" t="s">
        <v>2517</v>
      </c>
      <c r="AG9" s="80" t="s">
        <v>3076</v>
      </c>
      <c r="AH9" s="80" t="s">
        <v>3698</v>
      </c>
      <c r="AI9" s="80">
        <v>2278</v>
      </c>
      <c r="AJ9" s="80">
        <v>0</v>
      </c>
      <c r="AK9" s="80">
        <v>15</v>
      </c>
      <c r="AL9" s="80">
        <v>0</v>
      </c>
      <c r="AM9" s="80" t="s">
        <v>4098</v>
      </c>
      <c r="AN9" s="96" t="str">
        <f>HYPERLINK("https://www.youtube.com/watch?v=imzmS6mzOws")</f>
        <v>https://www.youtube.com/watch?v=imzmS6mzOws</v>
      </c>
      <c r="AO9" s="80" t="str">
        <f>REPLACE(INDEX(GroupVertices[Group],MATCH(Vertices[[#This Row],[Vertex]],GroupVertices[Vertex],0)),1,1,"")</f>
        <v>4</v>
      </c>
      <c r="AP9" s="48">
        <v>0</v>
      </c>
      <c r="AQ9" s="49">
        <v>0</v>
      </c>
      <c r="AR9" s="48">
        <v>0</v>
      </c>
      <c r="AS9" s="49">
        <v>0</v>
      </c>
      <c r="AT9" s="48">
        <v>0</v>
      </c>
      <c r="AU9" s="49">
        <v>0</v>
      </c>
      <c r="AV9" s="48">
        <v>2</v>
      </c>
      <c r="AW9" s="49">
        <v>100</v>
      </c>
      <c r="AX9" s="48">
        <v>2</v>
      </c>
      <c r="AY9" s="119" t="s">
        <v>4450</v>
      </c>
      <c r="AZ9" s="119" t="s">
        <v>4450</v>
      </c>
      <c r="BA9" s="119" t="s">
        <v>4450</v>
      </c>
      <c r="BB9" s="119" t="s">
        <v>4450</v>
      </c>
      <c r="BC9" s="2"/>
      <c r="BD9" s="3"/>
      <c r="BE9" s="3"/>
      <c r="BF9" s="3"/>
      <c r="BG9" s="3"/>
    </row>
    <row r="10" spans="1:59" ht="15">
      <c r="A10" s="66" t="s">
        <v>255</v>
      </c>
      <c r="B10" s="67" t="s">
        <v>4493</v>
      </c>
      <c r="C10" s="67" t="s">
        <v>64</v>
      </c>
      <c r="D10" s="68">
        <v>604</v>
      </c>
      <c r="E10" s="70"/>
      <c r="F10" s="97" t="str">
        <f>HYPERLINK("https://i.ytimg.com/vi/hN3-wTOxrsY/default.jpg")</f>
        <v>https://i.ytimg.com/vi/hN3-wTOxrsY/default.jpg</v>
      </c>
      <c r="G10" s="67"/>
      <c r="H10" s="71" t="s">
        <v>1338</v>
      </c>
      <c r="I10" s="72"/>
      <c r="J10" s="72" t="s">
        <v>75</v>
      </c>
      <c r="K10" s="71" t="s">
        <v>1338</v>
      </c>
      <c r="L10" s="75">
        <v>5999.8</v>
      </c>
      <c r="M10" s="76">
        <v>8468.431640625</v>
      </c>
      <c r="N10" s="76">
        <v>2617.86328125</v>
      </c>
      <c r="O10" s="77"/>
      <c r="P10" s="78"/>
      <c r="Q10" s="78"/>
      <c r="R10" s="82"/>
      <c r="S10" s="48">
        <v>27</v>
      </c>
      <c r="T10" s="48">
        <v>45</v>
      </c>
      <c r="U10" s="49">
        <v>3357.12166</v>
      </c>
      <c r="V10" s="49">
        <v>0.002101</v>
      </c>
      <c r="W10" s="49">
        <v>0.016439</v>
      </c>
      <c r="X10" s="49">
        <v>4.565389</v>
      </c>
      <c r="Y10" s="49">
        <v>0.20359598096245374</v>
      </c>
      <c r="Z10" s="49">
        <v>0.16129032258064516</v>
      </c>
      <c r="AA10" s="73">
        <v>10</v>
      </c>
      <c r="AB10" s="73"/>
      <c r="AC10" s="74"/>
      <c r="AD10" s="80" t="s">
        <v>1338</v>
      </c>
      <c r="AE10" s="80"/>
      <c r="AF10" s="80"/>
      <c r="AG10" s="80" t="s">
        <v>3148</v>
      </c>
      <c r="AH10" s="80" t="s">
        <v>3749</v>
      </c>
      <c r="AI10" s="80">
        <v>15686</v>
      </c>
      <c r="AJ10" s="80">
        <v>7</v>
      </c>
      <c r="AK10" s="80">
        <v>65</v>
      </c>
      <c r="AL10" s="80">
        <v>3</v>
      </c>
      <c r="AM10" s="80" t="s">
        <v>4098</v>
      </c>
      <c r="AN10" s="96" t="str">
        <f>HYPERLINK("https://www.youtube.com/watch?v=hN3-wTOxrsY")</f>
        <v>https://www.youtube.com/watch?v=hN3-wTOxrsY</v>
      </c>
      <c r="AO10" s="80" t="str">
        <f>REPLACE(INDEX(GroupVertices[Group],MATCH(Vertices[[#This Row],[Vertex]],GroupVertices[Vertex],0)),1,1,"")</f>
        <v>4</v>
      </c>
      <c r="AP10" s="48"/>
      <c r="AQ10" s="49"/>
      <c r="AR10" s="48"/>
      <c r="AS10" s="49"/>
      <c r="AT10" s="48"/>
      <c r="AU10" s="49"/>
      <c r="AV10" s="48"/>
      <c r="AW10" s="49"/>
      <c r="AX10" s="48"/>
      <c r="AY10" s="119" t="s">
        <v>4450</v>
      </c>
      <c r="AZ10" s="119" t="s">
        <v>4450</v>
      </c>
      <c r="BA10" s="119" t="s">
        <v>4450</v>
      </c>
      <c r="BB10" s="119" t="s">
        <v>4450</v>
      </c>
      <c r="BC10" s="2"/>
      <c r="BD10" s="3"/>
      <c r="BE10" s="3"/>
      <c r="BF10" s="3"/>
      <c r="BG10" s="3"/>
    </row>
    <row r="11" spans="1:59" ht="15">
      <c r="A11" s="66" t="s">
        <v>223</v>
      </c>
      <c r="B11" s="67" t="s">
        <v>4494</v>
      </c>
      <c r="C11" s="67" t="s">
        <v>64</v>
      </c>
      <c r="D11" s="68">
        <v>472</v>
      </c>
      <c r="E11" s="70"/>
      <c r="F11" s="97" t="str">
        <f>HYPERLINK("https://i.ytimg.com/vi/_ci5QaUkAfw/default.jpg")</f>
        <v>https://i.ytimg.com/vi/_ci5QaUkAfw/default.jpg</v>
      </c>
      <c r="G11" s="67"/>
      <c r="H11" s="71" t="s">
        <v>1069</v>
      </c>
      <c r="I11" s="72"/>
      <c r="J11" s="72" t="s">
        <v>75</v>
      </c>
      <c r="K11" s="71" t="s">
        <v>1069</v>
      </c>
      <c r="L11" s="75">
        <v>4666.733333333334</v>
      </c>
      <c r="M11" s="76">
        <v>7905.9189453125</v>
      </c>
      <c r="N11" s="76">
        <v>6022.33251953125</v>
      </c>
      <c r="O11" s="77"/>
      <c r="P11" s="78"/>
      <c r="Q11" s="78"/>
      <c r="R11" s="82"/>
      <c r="S11" s="48">
        <v>21</v>
      </c>
      <c r="T11" s="48">
        <v>46</v>
      </c>
      <c r="U11" s="49">
        <v>3218.123782</v>
      </c>
      <c r="V11" s="49">
        <v>0.002033</v>
      </c>
      <c r="W11" s="49">
        <v>0.014043</v>
      </c>
      <c r="X11" s="49">
        <v>4.231589</v>
      </c>
      <c r="Y11" s="49">
        <v>0.20033670033670034</v>
      </c>
      <c r="Z11" s="49">
        <v>0.21818181818181817</v>
      </c>
      <c r="AA11" s="73">
        <v>11</v>
      </c>
      <c r="AB11" s="73"/>
      <c r="AC11" s="74"/>
      <c r="AD11" s="80" t="s">
        <v>1069</v>
      </c>
      <c r="AE11" s="80" t="s">
        <v>1780</v>
      </c>
      <c r="AF11" s="80" t="s">
        <v>2407</v>
      </c>
      <c r="AG11" s="80" t="s">
        <v>2907</v>
      </c>
      <c r="AH11" s="80" t="s">
        <v>3482</v>
      </c>
      <c r="AI11" s="80">
        <v>1325</v>
      </c>
      <c r="AJ11" s="80">
        <v>1</v>
      </c>
      <c r="AK11" s="80">
        <v>8</v>
      </c>
      <c r="AL11" s="80">
        <v>0</v>
      </c>
      <c r="AM11" s="80" t="s">
        <v>4098</v>
      </c>
      <c r="AN11" s="96" t="str">
        <f>HYPERLINK("https://www.youtube.com/watch?v=_ci5QaUkAfw")</f>
        <v>https://www.youtube.com/watch?v=_ci5QaUkAfw</v>
      </c>
      <c r="AO11" s="80" t="str">
        <f>REPLACE(INDEX(GroupVertices[Group],MATCH(Vertices[[#This Row],[Vertex]],GroupVertices[Vertex],0)),1,1,"")</f>
        <v>3</v>
      </c>
      <c r="AP11" s="48">
        <v>0</v>
      </c>
      <c r="AQ11" s="49">
        <v>0</v>
      </c>
      <c r="AR11" s="48">
        <v>0</v>
      </c>
      <c r="AS11" s="49">
        <v>0</v>
      </c>
      <c r="AT11" s="48">
        <v>0</v>
      </c>
      <c r="AU11" s="49">
        <v>0</v>
      </c>
      <c r="AV11" s="48">
        <v>7</v>
      </c>
      <c r="AW11" s="49">
        <v>100</v>
      </c>
      <c r="AX11" s="48">
        <v>7</v>
      </c>
      <c r="AY11" s="119" t="s">
        <v>4450</v>
      </c>
      <c r="AZ11" s="119" t="s">
        <v>4450</v>
      </c>
      <c r="BA11" s="119" t="s">
        <v>4450</v>
      </c>
      <c r="BB11" s="119" t="s">
        <v>4450</v>
      </c>
      <c r="BC11" s="2"/>
      <c r="BD11" s="3"/>
      <c r="BE11" s="3"/>
      <c r="BF11" s="3"/>
      <c r="BG11" s="3"/>
    </row>
    <row r="12" spans="1:59" ht="15">
      <c r="A12" s="66" t="s">
        <v>247</v>
      </c>
      <c r="B12" s="67" t="s">
        <v>4495</v>
      </c>
      <c r="C12" s="67" t="s">
        <v>64</v>
      </c>
      <c r="D12" s="68">
        <v>670</v>
      </c>
      <c r="E12" s="70"/>
      <c r="F12" s="97" t="str">
        <f>HYPERLINK("https://i.ytimg.com/vi/DfVp1zDYNLg/default.jpg")</f>
        <v>https://i.ytimg.com/vi/DfVp1zDYNLg/default.jpg</v>
      </c>
      <c r="G12" s="67"/>
      <c r="H12" s="71" t="s">
        <v>1231</v>
      </c>
      <c r="I12" s="72"/>
      <c r="J12" s="72" t="s">
        <v>75</v>
      </c>
      <c r="K12" s="71" t="s">
        <v>1231</v>
      </c>
      <c r="L12" s="75">
        <v>6666.333333333333</v>
      </c>
      <c r="M12" s="76">
        <v>2550.551513671875</v>
      </c>
      <c r="N12" s="76">
        <v>2511.550048828125</v>
      </c>
      <c r="O12" s="77"/>
      <c r="P12" s="78"/>
      <c r="Q12" s="78"/>
      <c r="R12" s="82"/>
      <c r="S12" s="48">
        <v>30</v>
      </c>
      <c r="T12" s="48">
        <v>42</v>
      </c>
      <c r="U12" s="49">
        <v>2980.286002</v>
      </c>
      <c r="V12" s="49">
        <v>0.002083</v>
      </c>
      <c r="W12" s="49">
        <v>0.017066</v>
      </c>
      <c r="X12" s="49">
        <v>4.153369</v>
      </c>
      <c r="Y12" s="49">
        <v>0.2844155844155844</v>
      </c>
      <c r="Z12" s="49">
        <v>0.2857142857142857</v>
      </c>
      <c r="AA12" s="73">
        <v>12</v>
      </c>
      <c r="AB12" s="73"/>
      <c r="AC12" s="74"/>
      <c r="AD12" s="80" t="s">
        <v>1231</v>
      </c>
      <c r="AE12" s="80" t="s">
        <v>1914</v>
      </c>
      <c r="AF12" s="80" t="s">
        <v>2524</v>
      </c>
      <c r="AG12" s="80" t="s">
        <v>3077</v>
      </c>
      <c r="AH12" s="80" t="s">
        <v>3643</v>
      </c>
      <c r="AI12" s="80">
        <v>6125</v>
      </c>
      <c r="AJ12" s="80">
        <v>2</v>
      </c>
      <c r="AK12" s="80">
        <v>18</v>
      </c>
      <c r="AL12" s="80">
        <v>1</v>
      </c>
      <c r="AM12" s="80" t="s">
        <v>4098</v>
      </c>
      <c r="AN12" s="96" t="str">
        <f>HYPERLINK("https://www.youtube.com/watch?v=DfVp1zDYNLg")</f>
        <v>https://www.youtube.com/watch?v=DfVp1zDYNLg</v>
      </c>
      <c r="AO12" s="80" t="str">
        <f>REPLACE(INDEX(GroupVertices[Group],MATCH(Vertices[[#This Row],[Vertex]],GroupVertices[Vertex],0)),1,1,"")</f>
        <v>2</v>
      </c>
      <c r="AP12" s="48">
        <v>0</v>
      </c>
      <c r="AQ12" s="49">
        <v>0</v>
      </c>
      <c r="AR12" s="48">
        <v>0</v>
      </c>
      <c r="AS12" s="49">
        <v>0</v>
      </c>
      <c r="AT12" s="48">
        <v>0</v>
      </c>
      <c r="AU12" s="49">
        <v>0</v>
      </c>
      <c r="AV12" s="48">
        <v>4</v>
      </c>
      <c r="AW12" s="49">
        <v>100</v>
      </c>
      <c r="AX12" s="48">
        <v>4</v>
      </c>
      <c r="AY12" s="119" t="s">
        <v>4450</v>
      </c>
      <c r="AZ12" s="119" t="s">
        <v>4450</v>
      </c>
      <c r="BA12" s="119" t="s">
        <v>4450</v>
      </c>
      <c r="BB12" s="119" t="s">
        <v>4450</v>
      </c>
      <c r="BC12" s="2"/>
      <c r="BD12" s="3"/>
      <c r="BE12" s="3"/>
      <c r="BF12" s="3"/>
      <c r="BG12" s="3"/>
    </row>
    <row r="13" spans="1:59" ht="15">
      <c r="A13" s="66" t="s">
        <v>260</v>
      </c>
      <c r="B13" s="67" t="s">
        <v>4496</v>
      </c>
      <c r="C13" s="67" t="s">
        <v>64</v>
      </c>
      <c r="D13" s="68">
        <v>714</v>
      </c>
      <c r="E13" s="70"/>
      <c r="F13" s="97" t="str">
        <f>HYPERLINK("https://i.ytimg.com/vi/xKhYGRpbwOc/default.jpg")</f>
        <v>https://i.ytimg.com/vi/xKhYGRpbwOc/default.jpg</v>
      </c>
      <c r="G13" s="67"/>
      <c r="H13" s="71" t="s">
        <v>1230</v>
      </c>
      <c r="I13" s="72"/>
      <c r="J13" s="72" t="s">
        <v>75</v>
      </c>
      <c r="K13" s="71" t="s">
        <v>1230</v>
      </c>
      <c r="L13" s="75">
        <v>7110.688888888889</v>
      </c>
      <c r="M13" s="76">
        <v>2093.836181640625</v>
      </c>
      <c r="N13" s="76">
        <v>2544.52880859375</v>
      </c>
      <c r="O13" s="77"/>
      <c r="P13" s="78"/>
      <c r="Q13" s="78"/>
      <c r="R13" s="82"/>
      <c r="S13" s="48">
        <v>32</v>
      </c>
      <c r="T13" s="48">
        <v>43</v>
      </c>
      <c r="U13" s="49">
        <v>2954.347208</v>
      </c>
      <c r="V13" s="49">
        <v>0.00216</v>
      </c>
      <c r="W13" s="49">
        <v>0.018202</v>
      </c>
      <c r="X13" s="49">
        <v>4.444873</v>
      </c>
      <c r="Y13" s="49">
        <v>0.2591221575885775</v>
      </c>
      <c r="Z13" s="49">
        <v>0.20967741935483872</v>
      </c>
      <c r="AA13" s="73">
        <v>13</v>
      </c>
      <c r="AB13" s="73"/>
      <c r="AC13" s="74"/>
      <c r="AD13" s="80" t="s">
        <v>1230</v>
      </c>
      <c r="AE13" s="80" t="s">
        <v>1913</v>
      </c>
      <c r="AF13" s="80" t="s">
        <v>2523</v>
      </c>
      <c r="AG13" s="80" t="s">
        <v>2905</v>
      </c>
      <c r="AH13" s="80" t="s">
        <v>3642</v>
      </c>
      <c r="AI13" s="80">
        <v>38110</v>
      </c>
      <c r="AJ13" s="80">
        <v>5</v>
      </c>
      <c r="AK13" s="80">
        <v>73</v>
      </c>
      <c r="AL13" s="80">
        <v>2</v>
      </c>
      <c r="AM13" s="80" t="s">
        <v>4098</v>
      </c>
      <c r="AN13" s="96" t="str">
        <f>HYPERLINK("https://www.youtube.com/watch?v=xKhYGRpbwOc")</f>
        <v>https://www.youtube.com/watch?v=xKhYGRpbwOc</v>
      </c>
      <c r="AO13" s="80" t="str">
        <f>REPLACE(INDEX(GroupVertices[Group],MATCH(Vertices[[#This Row],[Vertex]],GroupVertices[Vertex],0)),1,1,"")</f>
        <v>2</v>
      </c>
      <c r="AP13" s="48">
        <v>0</v>
      </c>
      <c r="AQ13" s="49">
        <v>0</v>
      </c>
      <c r="AR13" s="48">
        <v>0</v>
      </c>
      <c r="AS13" s="49">
        <v>0</v>
      </c>
      <c r="AT13" s="48">
        <v>0</v>
      </c>
      <c r="AU13" s="49">
        <v>0</v>
      </c>
      <c r="AV13" s="48">
        <v>14</v>
      </c>
      <c r="AW13" s="49">
        <v>100</v>
      </c>
      <c r="AX13" s="48">
        <v>14</v>
      </c>
      <c r="AY13" s="119" t="s">
        <v>4450</v>
      </c>
      <c r="AZ13" s="119" t="s">
        <v>4450</v>
      </c>
      <c r="BA13" s="119" t="s">
        <v>4450</v>
      </c>
      <c r="BB13" s="119" t="s">
        <v>4450</v>
      </c>
      <c r="BC13" s="2"/>
      <c r="BD13" s="3"/>
      <c r="BE13" s="3"/>
      <c r="BF13" s="3"/>
      <c r="BG13" s="3"/>
    </row>
    <row r="14" spans="1:59" ht="15">
      <c r="A14" s="66" t="s">
        <v>224</v>
      </c>
      <c r="B14" s="67" t="s">
        <v>4494</v>
      </c>
      <c r="C14" s="67" t="s">
        <v>64</v>
      </c>
      <c r="D14" s="68">
        <v>538</v>
      </c>
      <c r="E14" s="70"/>
      <c r="F14" s="97" t="str">
        <f>HYPERLINK("https://i.ytimg.com/vi/GDEZBIXOz_c/default.jpg")</f>
        <v>https://i.ytimg.com/vi/GDEZBIXOz_c/default.jpg</v>
      </c>
      <c r="G14" s="67"/>
      <c r="H14" s="71" t="s">
        <v>1077</v>
      </c>
      <c r="I14" s="72"/>
      <c r="J14" s="72" t="s">
        <v>75</v>
      </c>
      <c r="K14" s="71" t="s">
        <v>1077</v>
      </c>
      <c r="L14" s="75">
        <v>5333.266666666666</v>
      </c>
      <c r="M14" s="76">
        <v>3457.351806640625</v>
      </c>
      <c r="N14" s="76">
        <v>1518.545654296875</v>
      </c>
      <c r="O14" s="77"/>
      <c r="P14" s="78"/>
      <c r="Q14" s="78"/>
      <c r="R14" s="82"/>
      <c r="S14" s="48">
        <v>24</v>
      </c>
      <c r="T14" s="48">
        <v>46</v>
      </c>
      <c r="U14" s="49">
        <v>2701.401779</v>
      </c>
      <c r="V14" s="49">
        <v>0.002037</v>
      </c>
      <c r="W14" s="49">
        <v>0.014427</v>
      </c>
      <c r="X14" s="49">
        <v>3.799635</v>
      </c>
      <c r="Y14" s="49">
        <v>0.2529411764705882</v>
      </c>
      <c r="Z14" s="49">
        <v>0.37254901960784315</v>
      </c>
      <c r="AA14" s="73">
        <v>14</v>
      </c>
      <c r="AB14" s="73"/>
      <c r="AC14" s="74"/>
      <c r="AD14" s="80" t="s">
        <v>1077</v>
      </c>
      <c r="AE14" s="80"/>
      <c r="AF14" s="80"/>
      <c r="AG14" s="80" t="s">
        <v>2904</v>
      </c>
      <c r="AH14" s="80" t="s">
        <v>3490</v>
      </c>
      <c r="AI14" s="80">
        <v>1366</v>
      </c>
      <c r="AJ14" s="80">
        <v>0</v>
      </c>
      <c r="AK14" s="80">
        <v>11</v>
      </c>
      <c r="AL14" s="80">
        <v>1</v>
      </c>
      <c r="AM14" s="80" t="s">
        <v>4098</v>
      </c>
      <c r="AN14" s="96" t="str">
        <f>HYPERLINK("https://www.youtube.com/watch?v=GDEZBIXOz_c")</f>
        <v>https://www.youtube.com/watch?v=GDEZBIXOz_c</v>
      </c>
      <c r="AO14" s="80" t="str">
        <f>REPLACE(INDEX(GroupVertices[Group],MATCH(Vertices[[#This Row],[Vertex]],GroupVertices[Vertex],0)),1,1,"")</f>
        <v>2</v>
      </c>
      <c r="AP14" s="48"/>
      <c r="AQ14" s="49"/>
      <c r="AR14" s="48"/>
      <c r="AS14" s="49"/>
      <c r="AT14" s="48"/>
      <c r="AU14" s="49"/>
      <c r="AV14" s="48"/>
      <c r="AW14" s="49"/>
      <c r="AX14" s="48"/>
      <c r="AY14" s="119" t="s">
        <v>4450</v>
      </c>
      <c r="AZ14" s="119" t="s">
        <v>4450</v>
      </c>
      <c r="BA14" s="119" t="s">
        <v>4450</v>
      </c>
      <c r="BB14" s="119" t="s">
        <v>4450</v>
      </c>
      <c r="BC14" s="2"/>
      <c r="BD14" s="3"/>
      <c r="BE14" s="3"/>
      <c r="BF14" s="3"/>
      <c r="BG14" s="3"/>
    </row>
    <row r="15" spans="1:59" ht="15">
      <c r="A15" s="66" t="s">
        <v>227</v>
      </c>
      <c r="B15" s="67" t="s">
        <v>4496</v>
      </c>
      <c r="C15" s="67" t="s">
        <v>64</v>
      </c>
      <c r="D15" s="68">
        <v>164</v>
      </c>
      <c r="E15" s="70"/>
      <c r="F15" s="97" t="str">
        <f>HYPERLINK("https://i.ytimg.com/vi/uf7Nmu-Y_UQ/default.jpg")</f>
        <v>https://i.ytimg.com/vi/uf7Nmu-Y_UQ/default.jpg</v>
      </c>
      <c r="G15" s="67"/>
      <c r="H15" s="71" t="s">
        <v>1149</v>
      </c>
      <c r="I15" s="72"/>
      <c r="J15" s="72" t="s">
        <v>75</v>
      </c>
      <c r="K15" s="71" t="s">
        <v>1149</v>
      </c>
      <c r="L15" s="75">
        <v>1556.2444444444445</v>
      </c>
      <c r="M15" s="76">
        <v>8364.6875</v>
      </c>
      <c r="N15" s="76">
        <v>7311.8037109375</v>
      </c>
      <c r="O15" s="77"/>
      <c r="P15" s="78"/>
      <c r="Q15" s="78"/>
      <c r="R15" s="82"/>
      <c r="S15" s="48">
        <v>7</v>
      </c>
      <c r="T15" s="48">
        <v>44</v>
      </c>
      <c r="U15" s="49">
        <v>2615.834745</v>
      </c>
      <c r="V15" s="49">
        <v>0.001953</v>
      </c>
      <c r="W15" s="49">
        <v>0.01004</v>
      </c>
      <c r="X15" s="49">
        <v>3.728869</v>
      </c>
      <c r="Y15" s="49">
        <v>0.12056737588652482</v>
      </c>
      <c r="Z15" s="49">
        <v>0.0625</v>
      </c>
      <c r="AA15" s="73">
        <v>15</v>
      </c>
      <c r="AB15" s="73"/>
      <c r="AC15" s="74"/>
      <c r="AD15" s="80" t="s">
        <v>1149</v>
      </c>
      <c r="AE15" s="80" t="s">
        <v>1841</v>
      </c>
      <c r="AF15" s="80" t="s">
        <v>2462</v>
      </c>
      <c r="AG15" s="80" t="s">
        <v>2907</v>
      </c>
      <c r="AH15" s="80" t="s">
        <v>3562</v>
      </c>
      <c r="AI15" s="80">
        <v>1678</v>
      </c>
      <c r="AJ15" s="80">
        <v>2</v>
      </c>
      <c r="AK15" s="80">
        <v>4</v>
      </c>
      <c r="AL15" s="80">
        <v>0</v>
      </c>
      <c r="AM15" s="80" t="s">
        <v>4098</v>
      </c>
      <c r="AN15" s="96" t="str">
        <f>HYPERLINK("https://www.youtube.com/watch?v=uf7Nmu-Y_UQ")</f>
        <v>https://www.youtube.com/watch?v=uf7Nmu-Y_UQ</v>
      </c>
      <c r="AO15" s="80" t="str">
        <f>REPLACE(INDEX(GroupVertices[Group],MATCH(Vertices[[#This Row],[Vertex]],GroupVertices[Vertex],0)),1,1,"")</f>
        <v>3</v>
      </c>
      <c r="AP15" s="48">
        <v>0</v>
      </c>
      <c r="AQ15" s="49">
        <v>0</v>
      </c>
      <c r="AR15" s="48">
        <v>0</v>
      </c>
      <c r="AS15" s="49">
        <v>0</v>
      </c>
      <c r="AT15" s="48">
        <v>0</v>
      </c>
      <c r="AU15" s="49">
        <v>0</v>
      </c>
      <c r="AV15" s="48">
        <v>19</v>
      </c>
      <c r="AW15" s="49">
        <v>100</v>
      </c>
      <c r="AX15" s="48">
        <v>19</v>
      </c>
      <c r="AY15" s="119" t="s">
        <v>4450</v>
      </c>
      <c r="AZ15" s="119" t="s">
        <v>4450</v>
      </c>
      <c r="BA15" s="119" t="s">
        <v>4450</v>
      </c>
      <c r="BB15" s="119" t="s">
        <v>4450</v>
      </c>
      <c r="BC15" s="2"/>
      <c r="BD15" s="3"/>
      <c r="BE15" s="3"/>
      <c r="BF15" s="3"/>
      <c r="BG15" s="3"/>
    </row>
    <row r="16" spans="1:59" ht="15">
      <c r="A16" s="66" t="s">
        <v>258</v>
      </c>
      <c r="B16" s="67" t="s">
        <v>4455</v>
      </c>
      <c r="C16" s="67" t="s">
        <v>64</v>
      </c>
      <c r="D16" s="68">
        <v>516</v>
      </c>
      <c r="E16" s="70"/>
      <c r="F16" s="97" t="str">
        <f>HYPERLINK("https://i.ytimg.com/vi/owl9we4ldFI/default.jpg")</f>
        <v>https://i.ytimg.com/vi/owl9we4ldFI/default.jpg</v>
      </c>
      <c r="G16" s="67"/>
      <c r="H16" s="71" t="s">
        <v>1227</v>
      </c>
      <c r="I16" s="72"/>
      <c r="J16" s="72" t="s">
        <v>75</v>
      </c>
      <c r="K16" s="71" t="s">
        <v>1227</v>
      </c>
      <c r="L16" s="75">
        <v>5111.0888888888885</v>
      </c>
      <c r="M16" s="76">
        <v>3888.693359375</v>
      </c>
      <c r="N16" s="76">
        <v>7361.83740234375</v>
      </c>
      <c r="O16" s="77"/>
      <c r="P16" s="78"/>
      <c r="Q16" s="78"/>
      <c r="R16" s="82"/>
      <c r="S16" s="48">
        <v>23</v>
      </c>
      <c r="T16" s="48">
        <v>48</v>
      </c>
      <c r="U16" s="49">
        <v>2315.136579</v>
      </c>
      <c r="V16" s="49">
        <v>0.002119</v>
      </c>
      <c r="W16" s="49">
        <v>0.015984</v>
      </c>
      <c r="X16" s="49">
        <v>4.053304</v>
      </c>
      <c r="Y16" s="49">
        <v>0.231203007518797</v>
      </c>
      <c r="Z16" s="49">
        <v>0.24561403508771928</v>
      </c>
      <c r="AA16" s="73">
        <v>16</v>
      </c>
      <c r="AB16" s="73"/>
      <c r="AC16" s="74"/>
      <c r="AD16" s="80" t="s">
        <v>1227</v>
      </c>
      <c r="AE16" s="80" t="s">
        <v>1910</v>
      </c>
      <c r="AF16" s="80" t="s">
        <v>2497</v>
      </c>
      <c r="AG16" s="80" t="s">
        <v>3056</v>
      </c>
      <c r="AH16" s="80" t="s">
        <v>3639</v>
      </c>
      <c r="AI16" s="80">
        <v>23963</v>
      </c>
      <c r="AJ16" s="80">
        <v>3</v>
      </c>
      <c r="AK16" s="80">
        <v>37</v>
      </c>
      <c r="AL16" s="80">
        <v>1</v>
      </c>
      <c r="AM16" s="80" t="s">
        <v>4098</v>
      </c>
      <c r="AN16" s="96" t="str">
        <f>HYPERLINK("https://www.youtube.com/watch?v=owl9we4ldFI")</f>
        <v>https://www.youtube.com/watch?v=owl9we4ldFI</v>
      </c>
      <c r="AO16" s="80" t="str">
        <f>REPLACE(INDEX(GroupVertices[Group],MATCH(Vertices[[#This Row],[Vertex]],GroupVertices[Vertex],0)),1,1,"")</f>
        <v>1</v>
      </c>
      <c r="AP16" s="48">
        <v>0</v>
      </c>
      <c r="AQ16" s="49">
        <v>0</v>
      </c>
      <c r="AR16" s="48">
        <v>0</v>
      </c>
      <c r="AS16" s="49">
        <v>0</v>
      </c>
      <c r="AT16" s="48">
        <v>0</v>
      </c>
      <c r="AU16" s="49">
        <v>0</v>
      </c>
      <c r="AV16" s="48">
        <v>5</v>
      </c>
      <c r="AW16" s="49">
        <v>100</v>
      </c>
      <c r="AX16" s="48">
        <v>5</v>
      </c>
      <c r="AY16" s="119" t="s">
        <v>4450</v>
      </c>
      <c r="AZ16" s="119" t="s">
        <v>4450</v>
      </c>
      <c r="BA16" s="119" t="s">
        <v>4450</v>
      </c>
      <c r="BB16" s="119" t="s">
        <v>4450</v>
      </c>
      <c r="BC16" s="2"/>
      <c r="BD16" s="3"/>
      <c r="BE16" s="3"/>
      <c r="BF16" s="3"/>
      <c r="BG16" s="3"/>
    </row>
    <row r="17" spans="1:59" ht="15">
      <c r="A17" s="66" t="s">
        <v>235</v>
      </c>
      <c r="B17" s="67" t="s">
        <v>4455</v>
      </c>
      <c r="C17" s="67" t="s">
        <v>64</v>
      </c>
      <c r="D17" s="68">
        <v>494</v>
      </c>
      <c r="E17" s="70"/>
      <c r="F17" s="97" t="str">
        <f>HYPERLINK("https://i.ytimg.com/vi/yknqOhpUtzQ/default.jpg")</f>
        <v>https://i.ytimg.com/vi/yknqOhpUtzQ/default.jpg</v>
      </c>
      <c r="G17" s="67"/>
      <c r="H17" s="71" t="s">
        <v>1298</v>
      </c>
      <c r="I17" s="72"/>
      <c r="J17" s="72" t="s">
        <v>75</v>
      </c>
      <c r="K17" s="71" t="s">
        <v>1298</v>
      </c>
      <c r="L17" s="75">
        <v>4888.9111111111115</v>
      </c>
      <c r="M17" s="76">
        <v>2686.479736328125</v>
      </c>
      <c r="N17" s="76">
        <v>1409.510986328125</v>
      </c>
      <c r="O17" s="77"/>
      <c r="P17" s="78"/>
      <c r="Q17" s="78"/>
      <c r="R17" s="82"/>
      <c r="S17" s="48">
        <v>22</v>
      </c>
      <c r="T17" s="48">
        <v>49</v>
      </c>
      <c r="U17" s="49">
        <v>2274.661301</v>
      </c>
      <c r="V17" s="49">
        <v>0.002092</v>
      </c>
      <c r="W17" s="49">
        <v>0.016135</v>
      </c>
      <c r="X17" s="49">
        <v>3.735414</v>
      </c>
      <c r="Y17" s="49">
        <v>0.28410740203193036</v>
      </c>
      <c r="Z17" s="49">
        <v>0.33962264150943394</v>
      </c>
      <c r="AA17" s="73">
        <v>17</v>
      </c>
      <c r="AB17" s="73"/>
      <c r="AC17" s="74"/>
      <c r="AD17" s="80" t="s">
        <v>1298</v>
      </c>
      <c r="AE17" s="80"/>
      <c r="AF17" s="80"/>
      <c r="AG17" s="80" t="s">
        <v>2904</v>
      </c>
      <c r="AH17" s="80" t="s">
        <v>3710</v>
      </c>
      <c r="AI17" s="80">
        <v>2396</v>
      </c>
      <c r="AJ17" s="80">
        <v>6</v>
      </c>
      <c r="AK17" s="80">
        <v>7</v>
      </c>
      <c r="AL17" s="80">
        <v>1</v>
      </c>
      <c r="AM17" s="80" t="s">
        <v>4098</v>
      </c>
      <c r="AN17" s="96" t="str">
        <f>HYPERLINK("https://www.youtube.com/watch?v=yknqOhpUtzQ")</f>
        <v>https://www.youtube.com/watch?v=yknqOhpUtzQ</v>
      </c>
      <c r="AO17" s="80" t="str">
        <f>REPLACE(INDEX(GroupVertices[Group],MATCH(Vertices[[#This Row],[Vertex]],GroupVertices[Vertex],0)),1,1,"")</f>
        <v>2</v>
      </c>
      <c r="AP17" s="48"/>
      <c r="AQ17" s="49"/>
      <c r="AR17" s="48"/>
      <c r="AS17" s="49"/>
      <c r="AT17" s="48"/>
      <c r="AU17" s="49"/>
      <c r="AV17" s="48"/>
      <c r="AW17" s="49"/>
      <c r="AX17" s="48"/>
      <c r="AY17" s="119" t="s">
        <v>4450</v>
      </c>
      <c r="AZ17" s="119" t="s">
        <v>4450</v>
      </c>
      <c r="BA17" s="119" t="s">
        <v>4450</v>
      </c>
      <c r="BB17" s="119" t="s">
        <v>4450</v>
      </c>
      <c r="BC17" s="2"/>
      <c r="BD17" s="3"/>
      <c r="BE17" s="3"/>
      <c r="BF17" s="3"/>
      <c r="BG17" s="3"/>
    </row>
    <row r="18" spans="1:59" ht="15">
      <c r="A18" s="66" t="s">
        <v>236</v>
      </c>
      <c r="B18" s="67" t="s">
        <v>4497</v>
      </c>
      <c r="C18" s="67" t="s">
        <v>64</v>
      </c>
      <c r="D18" s="68">
        <v>626</v>
      </c>
      <c r="E18" s="70"/>
      <c r="F18" s="97" t="str">
        <f>HYPERLINK("https://i.ytimg.com/vi/OO16QlGloG0/default.jpg")</f>
        <v>https://i.ytimg.com/vi/OO16QlGloG0/default.jpg</v>
      </c>
      <c r="G18" s="67"/>
      <c r="H18" s="71" t="s">
        <v>1189</v>
      </c>
      <c r="I18" s="72"/>
      <c r="J18" s="72" t="s">
        <v>75</v>
      </c>
      <c r="K18" s="71" t="s">
        <v>1189</v>
      </c>
      <c r="L18" s="75">
        <v>6221.977777777778</v>
      </c>
      <c r="M18" s="76">
        <v>3092.872314453125</v>
      </c>
      <c r="N18" s="76">
        <v>6573.0087890625</v>
      </c>
      <c r="O18" s="77"/>
      <c r="P18" s="78"/>
      <c r="Q18" s="78"/>
      <c r="R18" s="82"/>
      <c r="S18" s="48">
        <v>28</v>
      </c>
      <c r="T18" s="48">
        <v>28</v>
      </c>
      <c r="U18" s="49">
        <v>2230.861269</v>
      </c>
      <c r="V18" s="49">
        <v>0.002045</v>
      </c>
      <c r="W18" s="49">
        <v>0.012452</v>
      </c>
      <c r="X18" s="49">
        <v>3.699186</v>
      </c>
      <c r="Y18" s="49">
        <v>0.19306122448979593</v>
      </c>
      <c r="Z18" s="49">
        <v>0.12</v>
      </c>
      <c r="AA18" s="73">
        <v>18</v>
      </c>
      <c r="AB18" s="73"/>
      <c r="AC18" s="74"/>
      <c r="AD18" s="80" t="s">
        <v>1189</v>
      </c>
      <c r="AE18" s="80" t="s">
        <v>1876</v>
      </c>
      <c r="AF18" s="80" t="s">
        <v>2490</v>
      </c>
      <c r="AG18" s="80" t="s">
        <v>3051</v>
      </c>
      <c r="AH18" s="80" t="s">
        <v>3601</v>
      </c>
      <c r="AI18" s="80">
        <v>2477</v>
      </c>
      <c r="AJ18" s="80">
        <v>1</v>
      </c>
      <c r="AK18" s="80">
        <v>12</v>
      </c>
      <c r="AL18" s="80">
        <v>0</v>
      </c>
      <c r="AM18" s="80" t="s">
        <v>4098</v>
      </c>
      <c r="AN18" s="96" t="str">
        <f>HYPERLINK("https://www.youtube.com/watch?v=OO16QlGloG0")</f>
        <v>https://www.youtube.com/watch?v=OO16QlGloG0</v>
      </c>
      <c r="AO18" s="80" t="str">
        <f>REPLACE(INDEX(GroupVertices[Group],MATCH(Vertices[[#This Row],[Vertex]],GroupVertices[Vertex],0)),1,1,"")</f>
        <v>1</v>
      </c>
      <c r="AP18" s="48">
        <v>1</v>
      </c>
      <c r="AQ18" s="49">
        <v>16.666666666666668</v>
      </c>
      <c r="AR18" s="48">
        <v>0</v>
      </c>
      <c r="AS18" s="49">
        <v>0</v>
      </c>
      <c r="AT18" s="48">
        <v>0</v>
      </c>
      <c r="AU18" s="49">
        <v>0</v>
      </c>
      <c r="AV18" s="48">
        <v>5</v>
      </c>
      <c r="AW18" s="49">
        <v>83.33333333333333</v>
      </c>
      <c r="AX18" s="48">
        <v>6</v>
      </c>
      <c r="AY18" s="119" t="s">
        <v>4450</v>
      </c>
      <c r="AZ18" s="119" t="s">
        <v>4450</v>
      </c>
      <c r="BA18" s="119" t="s">
        <v>4450</v>
      </c>
      <c r="BB18" s="119" t="s">
        <v>4450</v>
      </c>
      <c r="BC18" s="2"/>
      <c r="BD18" s="3"/>
      <c r="BE18" s="3"/>
      <c r="BF18" s="3"/>
      <c r="BG18" s="3"/>
    </row>
    <row r="19" spans="1:59" ht="15">
      <c r="A19" s="66" t="s">
        <v>222</v>
      </c>
      <c r="B19" s="67" t="s">
        <v>4457</v>
      </c>
      <c r="C19" s="67" t="s">
        <v>64</v>
      </c>
      <c r="D19" s="68">
        <v>296</v>
      </c>
      <c r="E19" s="70"/>
      <c r="F19" s="97" t="str">
        <f>HYPERLINK("https://i.ytimg.com/vi/CwQ8IrHZDgA/default.jpg")</f>
        <v>https://i.ytimg.com/vi/CwQ8IrHZDgA/default.jpg</v>
      </c>
      <c r="G19" s="67"/>
      <c r="H19" s="71" t="s">
        <v>1064</v>
      </c>
      <c r="I19" s="72"/>
      <c r="J19" s="72" t="s">
        <v>75</v>
      </c>
      <c r="K19" s="71" t="s">
        <v>1064</v>
      </c>
      <c r="L19" s="75">
        <v>2889.311111111111</v>
      </c>
      <c r="M19" s="76">
        <v>3803.883544921875</v>
      </c>
      <c r="N19" s="76">
        <v>2130.487060546875</v>
      </c>
      <c r="O19" s="77"/>
      <c r="P19" s="78"/>
      <c r="Q19" s="78"/>
      <c r="R19" s="82"/>
      <c r="S19" s="48">
        <v>13</v>
      </c>
      <c r="T19" s="48">
        <v>47</v>
      </c>
      <c r="U19" s="49">
        <v>2189.601287</v>
      </c>
      <c r="V19" s="49">
        <v>0.002066</v>
      </c>
      <c r="W19" s="49">
        <v>0.013684</v>
      </c>
      <c r="X19" s="49">
        <v>3.611803</v>
      </c>
      <c r="Y19" s="49">
        <v>0.22163265306122448</v>
      </c>
      <c r="Z19" s="49">
        <v>0.2</v>
      </c>
      <c r="AA19" s="73">
        <v>19</v>
      </c>
      <c r="AB19" s="73"/>
      <c r="AC19" s="74"/>
      <c r="AD19" s="80" t="s">
        <v>1064</v>
      </c>
      <c r="AE19" s="80" t="s">
        <v>1775</v>
      </c>
      <c r="AF19" s="80" t="s">
        <v>2402</v>
      </c>
      <c r="AG19" s="80" t="s">
        <v>2907</v>
      </c>
      <c r="AH19" s="80" t="s">
        <v>3477</v>
      </c>
      <c r="AI19" s="80">
        <v>1089</v>
      </c>
      <c r="AJ19" s="80">
        <v>3</v>
      </c>
      <c r="AK19" s="80">
        <v>6</v>
      </c>
      <c r="AL19" s="80">
        <v>0</v>
      </c>
      <c r="AM19" s="80" t="s">
        <v>4098</v>
      </c>
      <c r="AN19" s="96" t="str">
        <f>HYPERLINK("https://www.youtube.com/watch?v=CwQ8IrHZDgA")</f>
        <v>https://www.youtube.com/watch?v=CwQ8IrHZDgA</v>
      </c>
      <c r="AO19" s="80" t="str">
        <f>REPLACE(INDEX(GroupVertices[Group],MATCH(Vertices[[#This Row],[Vertex]],GroupVertices[Vertex],0)),1,1,"")</f>
        <v>2</v>
      </c>
      <c r="AP19" s="48">
        <v>0</v>
      </c>
      <c r="AQ19" s="49">
        <v>0</v>
      </c>
      <c r="AR19" s="48">
        <v>0</v>
      </c>
      <c r="AS19" s="49">
        <v>0</v>
      </c>
      <c r="AT19" s="48">
        <v>0</v>
      </c>
      <c r="AU19" s="49">
        <v>0</v>
      </c>
      <c r="AV19" s="48">
        <v>8</v>
      </c>
      <c r="AW19" s="49">
        <v>100</v>
      </c>
      <c r="AX19" s="48">
        <v>8</v>
      </c>
      <c r="AY19" s="119" t="s">
        <v>4450</v>
      </c>
      <c r="AZ19" s="119" t="s">
        <v>4450</v>
      </c>
      <c r="BA19" s="119" t="s">
        <v>4450</v>
      </c>
      <c r="BB19" s="119" t="s">
        <v>4450</v>
      </c>
      <c r="BC19" s="2"/>
      <c r="BD19" s="3"/>
      <c r="BE19" s="3"/>
      <c r="BF19" s="3"/>
      <c r="BG19" s="3"/>
    </row>
    <row r="20" spans="1:59" ht="15">
      <c r="A20" s="66" t="s">
        <v>216</v>
      </c>
      <c r="B20" s="67" t="s">
        <v>4490</v>
      </c>
      <c r="C20" s="67" t="s">
        <v>56</v>
      </c>
      <c r="D20" s="68">
        <v>76</v>
      </c>
      <c r="E20" s="70"/>
      <c r="F20" s="97" t="str">
        <f>HYPERLINK("https://i.ytimg.com/vi/AAk39e00SlY/default.jpg")</f>
        <v>https://i.ytimg.com/vi/AAk39e00SlY/default.jpg</v>
      </c>
      <c r="G20" s="67"/>
      <c r="H20" s="71" t="s">
        <v>996</v>
      </c>
      <c r="I20" s="72"/>
      <c r="J20" s="72" t="s">
        <v>159</v>
      </c>
      <c r="K20" s="71" t="s">
        <v>996</v>
      </c>
      <c r="L20" s="75">
        <v>667.5333333333333</v>
      </c>
      <c r="M20" s="76">
        <v>7453.9580078125</v>
      </c>
      <c r="N20" s="76">
        <v>7489.99951171875</v>
      </c>
      <c r="O20" s="77"/>
      <c r="P20" s="78"/>
      <c r="Q20" s="78"/>
      <c r="R20" s="82"/>
      <c r="S20" s="48">
        <v>3</v>
      </c>
      <c r="T20" s="48">
        <v>40</v>
      </c>
      <c r="U20" s="49">
        <v>2117.367884</v>
      </c>
      <c r="V20" s="49">
        <v>0.002004</v>
      </c>
      <c r="W20" s="49">
        <v>0.010791</v>
      </c>
      <c r="X20" s="49">
        <v>3.035441</v>
      </c>
      <c r="Y20" s="49">
        <v>0.21346153846153845</v>
      </c>
      <c r="Z20" s="49">
        <v>0.075</v>
      </c>
      <c r="AA20" s="73">
        <v>20</v>
      </c>
      <c r="AB20" s="73"/>
      <c r="AC20" s="74"/>
      <c r="AD20" s="80" t="s">
        <v>996</v>
      </c>
      <c r="AE20" s="80" t="s">
        <v>1719</v>
      </c>
      <c r="AF20" s="80" t="s">
        <v>2351</v>
      </c>
      <c r="AG20" s="80" t="s">
        <v>2925</v>
      </c>
      <c r="AH20" s="80" t="s">
        <v>3411</v>
      </c>
      <c r="AI20" s="80">
        <v>853</v>
      </c>
      <c r="AJ20" s="80">
        <v>0</v>
      </c>
      <c r="AK20" s="80">
        <v>2</v>
      </c>
      <c r="AL20" s="80">
        <v>0</v>
      </c>
      <c r="AM20" s="80" t="s">
        <v>4098</v>
      </c>
      <c r="AN20" s="96" t="str">
        <f>HYPERLINK("https://www.youtube.com/watch?v=AAk39e00SlY")</f>
        <v>https://www.youtube.com/watch?v=AAk39e00SlY</v>
      </c>
      <c r="AO20" s="80" t="str">
        <f>REPLACE(INDEX(GroupVertices[Group],MATCH(Vertices[[#This Row],[Vertex]],GroupVertices[Vertex],0)),1,1,"")</f>
        <v>3</v>
      </c>
      <c r="AP20" s="48">
        <v>0</v>
      </c>
      <c r="AQ20" s="49">
        <v>0</v>
      </c>
      <c r="AR20" s="48">
        <v>0</v>
      </c>
      <c r="AS20" s="49">
        <v>0</v>
      </c>
      <c r="AT20" s="48">
        <v>0</v>
      </c>
      <c r="AU20" s="49">
        <v>0</v>
      </c>
      <c r="AV20" s="48">
        <v>10</v>
      </c>
      <c r="AW20" s="49">
        <v>100</v>
      </c>
      <c r="AX20" s="48">
        <v>10</v>
      </c>
      <c r="AY20" s="119" t="s">
        <v>4450</v>
      </c>
      <c r="AZ20" s="119" t="s">
        <v>4450</v>
      </c>
      <c r="BA20" s="119" t="s">
        <v>4450</v>
      </c>
      <c r="BB20" s="119" t="s">
        <v>4450</v>
      </c>
      <c r="BC20" s="2"/>
      <c r="BD20" s="3"/>
      <c r="BE20" s="3"/>
      <c r="BF20" s="3"/>
      <c r="BG20" s="3"/>
    </row>
    <row r="21" spans="1:59" ht="15">
      <c r="A21" s="66" t="s">
        <v>229</v>
      </c>
      <c r="B21" s="67" t="s">
        <v>4498</v>
      </c>
      <c r="C21" s="67" t="s">
        <v>64</v>
      </c>
      <c r="D21" s="68">
        <v>186</v>
      </c>
      <c r="E21" s="70"/>
      <c r="F21" s="97" t="str">
        <f>HYPERLINK("https://i.ytimg.com/vi/PbYZl4BZjJ8/default.jpg")</f>
        <v>https://i.ytimg.com/vi/PbYZl4BZjJ8/default.jpg</v>
      </c>
      <c r="G21" s="67"/>
      <c r="H21" s="71" t="s">
        <v>1163</v>
      </c>
      <c r="I21" s="72"/>
      <c r="J21" s="72" t="s">
        <v>75</v>
      </c>
      <c r="K21" s="71" t="s">
        <v>1163</v>
      </c>
      <c r="L21" s="75">
        <v>1778.4222222222222</v>
      </c>
      <c r="M21" s="76">
        <v>2333.896728515625</v>
      </c>
      <c r="N21" s="76">
        <v>6254.8359375</v>
      </c>
      <c r="O21" s="77"/>
      <c r="P21" s="78"/>
      <c r="Q21" s="78"/>
      <c r="R21" s="82"/>
      <c r="S21" s="48">
        <v>8</v>
      </c>
      <c r="T21" s="48">
        <v>29</v>
      </c>
      <c r="U21" s="49">
        <v>2093.48629</v>
      </c>
      <c r="V21" s="49">
        <v>0.001792</v>
      </c>
      <c r="W21" s="49">
        <v>0.005723</v>
      </c>
      <c r="X21" s="49">
        <v>2.766067</v>
      </c>
      <c r="Y21" s="49">
        <v>0.12600806451612903</v>
      </c>
      <c r="Z21" s="49">
        <v>0.15625</v>
      </c>
      <c r="AA21" s="73">
        <v>21</v>
      </c>
      <c r="AB21" s="73"/>
      <c r="AC21" s="74"/>
      <c r="AD21" s="80" t="s">
        <v>1163</v>
      </c>
      <c r="AE21" s="80" t="s">
        <v>1854</v>
      </c>
      <c r="AF21" s="80" t="s">
        <v>2473</v>
      </c>
      <c r="AG21" s="80" t="s">
        <v>2958</v>
      </c>
      <c r="AH21" s="80" t="s">
        <v>3576</v>
      </c>
      <c r="AI21" s="80">
        <v>1723</v>
      </c>
      <c r="AJ21" s="80">
        <v>0</v>
      </c>
      <c r="AK21" s="80">
        <v>1</v>
      </c>
      <c r="AL21" s="80">
        <v>0</v>
      </c>
      <c r="AM21" s="80" t="s">
        <v>4098</v>
      </c>
      <c r="AN21" s="96" t="str">
        <f>HYPERLINK("https://www.youtube.com/watch?v=PbYZl4BZjJ8")</f>
        <v>https://www.youtube.com/watch?v=PbYZl4BZjJ8</v>
      </c>
      <c r="AO21" s="80" t="str">
        <f>REPLACE(INDEX(GroupVertices[Group],MATCH(Vertices[[#This Row],[Vertex]],GroupVertices[Vertex],0)),1,1,"")</f>
        <v>1</v>
      </c>
      <c r="AP21" s="48">
        <v>0</v>
      </c>
      <c r="AQ21" s="49">
        <v>0</v>
      </c>
      <c r="AR21" s="48">
        <v>0</v>
      </c>
      <c r="AS21" s="49">
        <v>0</v>
      </c>
      <c r="AT21" s="48">
        <v>0</v>
      </c>
      <c r="AU21" s="49">
        <v>0</v>
      </c>
      <c r="AV21" s="48">
        <v>2</v>
      </c>
      <c r="AW21" s="49">
        <v>100</v>
      </c>
      <c r="AX21" s="48">
        <v>2</v>
      </c>
      <c r="AY21" s="119" t="s">
        <v>4450</v>
      </c>
      <c r="AZ21" s="119" t="s">
        <v>4450</v>
      </c>
      <c r="BA21" s="119" t="s">
        <v>4450</v>
      </c>
      <c r="BB21" s="119" t="s">
        <v>4450</v>
      </c>
      <c r="BC21" s="2"/>
      <c r="BD21" s="3"/>
      <c r="BE21" s="3"/>
      <c r="BF21" s="3"/>
      <c r="BG21" s="3"/>
    </row>
    <row r="22" spans="1:59" ht="15">
      <c r="A22" s="66" t="s">
        <v>228</v>
      </c>
      <c r="B22" s="67" t="s">
        <v>4455</v>
      </c>
      <c r="C22" s="67" t="s">
        <v>64</v>
      </c>
      <c r="D22" s="68">
        <v>340</v>
      </c>
      <c r="E22" s="70"/>
      <c r="F22" s="97" t="str">
        <f>HYPERLINK("https://i.ytimg.com/vi/lBqT_KdC7YQ/default.jpg")</f>
        <v>https://i.ytimg.com/vi/lBqT_KdC7YQ/default.jpg</v>
      </c>
      <c r="G22" s="67"/>
      <c r="H22" s="71" t="s">
        <v>1159</v>
      </c>
      <c r="I22" s="72"/>
      <c r="J22" s="72" t="s">
        <v>75</v>
      </c>
      <c r="K22" s="71" t="s">
        <v>1159</v>
      </c>
      <c r="L22" s="75">
        <v>3333.6666666666665</v>
      </c>
      <c r="M22" s="76">
        <v>7934.47119140625</v>
      </c>
      <c r="N22" s="76">
        <v>7271.3603515625</v>
      </c>
      <c r="O22" s="77"/>
      <c r="P22" s="78"/>
      <c r="Q22" s="78"/>
      <c r="R22" s="82"/>
      <c r="S22" s="48">
        <v>15</v>
      </c>
      <c r="T22" s="48">
        <v>49</v>
      </c>
      <c r="U22" s="49">
        <v>1933.823943</v>
      </c>
      <c r="V22" s="49">
        <v>0.002012</v>
      </c>
      <c r="W22" s="49">
        <v>0.014623</v>
      </c>
      <c r="X22" s="49">
        <v>3.703252</v>
      </c>
      <c r="Y22" s="49">
        <v>0.2458521870286576</v>
      </c>
      <c r="Z22" s="49">
        <v>0.23076923076923078</v>
      </c>
      <c r="AA22" s="73">
        <v>22</v>
      </c>
      <c r="AB22" s="73"/>
      <c r="AC22" s="74"/>
      <c r="AD22" s="80" t="s">
        <v>1159</v>
      </c>
      <c r="AE22" s="80" t="s">
        <v>1850</v>
      </c>
      <c r="AF22" s="80" t="s">
        <v>2470</v>
      </c>
      <c r="AG22" s="80" t="s">
        <v>2907</v>
      </c>
      <c r="AH22" s="80" t="s">
        <v>3572</v>
      </c>
      <c r="AI22" s="80">
        <v>1681</v>
      </c>
      <c r="AJ22" s="80">
        <v>0</v>
      </c>
      <c r="AK22" s="80">
        <v>7</v>
      </c>
      <c r="AL22" s="80">
        <v>0</v>
      </c>
      <c r="AM22" s="80" t="s">
        <v>4098</v>
      </c>
      <c r="AN22" s="96" t="str">
        <f>HYPERLINK("https://www.youtube.com/watch?v=lBqT_KdC7YQ")</f>
        <v>https://www.youtube.com/watch?v=lBqT_KdC7YQ</v>
      </c>
      <c r="AO22" s="80" t="str">
        <f>REPLACE(INDEX(GroupVertices[Group],MATCH(Vertices[[#This Row],[Vertex]],GroupVertices[Vertex],0)),1,1,"")</f>
        <v>3</v>
      </c>
      <c r="AP22" s="48">
        <v>0</v>
      </c>
      <c r="AQ22" s="49">
        <v>0</v>
      </c>
      <c r="AR22" s="48">
        <v>0</v>
      </c>
      <c r="AS22" s="49">
        <v>0</v>
      </c>
      <c r="AT22" s="48">
        <v>0</v>
      </c>
      <c r="AU22" s="49">
        <v>0</v>
      </c>
      <c r="AV22" s="48">
        <v>25</v>
      </c>
      <c r="AW22" s="49">
        <v>100</v>
      </c>
      <c r="AX22" s="48">
        <v>25</v>
      </c>
      <c r="AY22" s="119" t="s">
        <v>4450</v>
      </c>
      <c r="AZ22" s="119" t="s">
        <v>4450</v>
      </c>
      <c r="BA22" s="119" t="s">
        <v>4450</v>
      </c>
      <c r="BB22" s="119" t="s">
        <v>4450</v>
      </c>
      <c r="BC22" s="2"/>
      <c r="BD22" s="3"/>
      <c r="BE22" s="3"/>
      <c r="BF22" s="3"/>
      <c r="BG22" s="3"/>
    </row>
    <row r="23" spans="1:59" ht="15">
      <c r="A23" s="66" t="s">
        <v>215</v>
      </c>
      <c r="B23" s="67" t="s">
        <v>4457</v>
      </c>
      <c r="C23" s="67" t="s">
        <v>64</v>
      </c>
      <c r="D23" s="68">
        <v>384</v>
      </c>
      <c r="E23" s="70"/>
      <c r="F23" s="97" t="str">
        <f>HYPERLINK("https://i.ytimg.com/vi/An3Vqmm8Bqs/default.jpg")</f>
        <v>https://i.ytimg.com/vi/An3Vqmm8Bqs/default.jpg</v>
      </c>
      <c r="G23" s="67"/>
      <c r="H23" s="71" t="s">
        <v>991</v>
      </c>
      <c r="I23" s="72"/>
      <c r="J23" s="72" t="s">
        <v>75</v>
      </c>
      <c r="K23" s="71" t="s">
        <v>991</v>
      </c>
      <c r="L23" s="75">
        <v>3778.0222222222224</v>
      </c>
      <c r="M23" s="76">
        <v>7643.21923828125</v>
      </c>
      <c r="N23" s="76">
        <v>6819.2607421875</v>
      </c>
      <c r="O23" s="77"/>
      <c r="P23" s="78"/>
      <c r="Q23" s="78"/>
      <c r="R23" s="82"/>
      <c r="S23" s="48">
        <v>17</v>
      </c>
      <c r="T23" s="48">
        <v>47</v>
      </c>
      <c r="U23" s="49">
        <v>1916.799411</v>
      </c>
      <c r="V23" s="49">
        <v>0.002033</v>
      </c>
      <c r="W23" s="49">
        <v>0.013862</v>
      </c>
      <c r="X23" s="49">
        <v>3.572968</v>
      </c>
      <c r="Y23" s="49">
        <v>0.23142857142857143</v>
      </c>
      <c r="Z23" s="49">
        <v>0.28</v>
      </c>
      <c r="AA23" s="73">
        <v>23</v>
      </c>
      <c r="AB23" s="73"/>
      <c r="AC23" s="74"/>
      <c r="AD23" s="80" t="s">
        <v>991</v>
      </c>
      <c r="AE23" s="80" t="s">
        <v>1714</v>
      </c>
      <c r="AF23" s="80" t="s">
        <v>2346</v>
      </c>
      <c r="AG23" s="80" t="s">
        <v>2907</v>
      </c>
      <c r="AH23" s="80" t="s">
        <v>3406</v>
      </c>
      <c r="AI23" s="80">
        <v>850</v>
      </c>
      <c r="AJ23" s="80">
        <v>0</v>
      </c>
      <c r="AK23" s="80">
        <v>5</v>
      </c>
      <c r="AL23" s="80">
        <v>0</v>
      </c>
      <c r="AM23" s="80" t="s">
        <v>4098</v>
      </c>
      <c r="AN23" s="96" t="str">
        <f>HYPERLINK("https://www.youtube.com/watch?v=An3Vqmm8Bqs")</f>
        <v>https://www.youtube.com/watch?v=An3Vqmm8Bqs</v>
      </c>
      <c r="AO23" s="80" t="str">
        <f>REPLACE(INDEX(GroupVertices[Group],MATCH(Vertices[[#This Row],[Vertex]],GroupVertices[Vertex],0)),1,1,"")</f>
        <v>3</v>
      </c>
      <c r="AP23" s="48">
        <v>0</v>
      </c>
      <c r="AQ23" s="49">
        <v>0</v>
      </c>
      <c r="AR23" s="48">
        <v>0</v>
      </c>
      <c r="AS23" s="49">
        <v>0</v>
      </c>
      <c r="AT23" s="48">
        <v>0</v>
      </c>
      <c r="AU23" s="49">
        <v>0</v>
      </c>
      <c r="AV23" s="48">
        <v>10</v>
      </c>
      <c r="AW23" s="49">
        <v>100</v>
      </c>
      <c r="AX23" s="48">
        <v>10</v>
      </c>
      <c r="AY23" s="119" t="s">
        <v>4450</v>
      </c>
      <c r="AZ23" s="119" t="s">
        <v>4450</v>
      </c>
      <c r="BA23" s="119" t="s">
        <v>4450</v>
      </c>
      <c r="BB23" s="119" t="s">
        <v>4450</v>
      </c>
      <c r="BC23" s="2"/>
      <c r="BD23" s="3"/>
      <c r="BE23" s="3"/>
      <c r="BF23" s="3"/>
      <c r="BG23" s="3"/>
    </row>
    <row r="24" spans="1:59" ht="15">
      <c r="A24" s="66" t="s">
        <v>225</v>
      </c>
      <c r="B24" s="67" t="s">
        <v>4499</v>
      </c>
      <c r="C24" s="67" t="s">
        <v>56</v>
      </c>
      <c r="D24" s="68">
        <v>32</v>
      </c>
      <c r="E24" s="70"/>
      <c r="F24" s="97" t="str">
        <f>HYPERLINK("https://i.ytimg.com/vi/H8eULkDBP7Y/default.jpg")</f>
        <v>https://i.ytimg.com/vi/H8eULkDBP7Y/default.jpg</v>
      </c>
      <c r="G24" s="67"/>
      <c r="H24" s="71" t="s">
        <v>1084</v>
      </c>
      <c r="I24" s="72"/>
      <c r="J24" s="72" t="s">
        <v>159</v>
      </c>
      <c r="K24" s="71" t="s">
        <v>1084</v>
      </c>
      <c r="L24" s="75">
        <v>223.17777777777778</v>
      </c>
      <c r="M24" s="76">
        <v>2123.15625</v>
      </c>
      <c r="N24" s="76">
        <v>6087.6611328125</v>
      </c>
      <c r="O24" s="77"/>
      <c r="P24" s="78"/>
      <c r="Q24" s="78"/>
      <c r="R24" s="82"/>
      <c r="S24" s="48">
        <v>1</v>
      </c>
      <c r="T24" s="48">
        <v>22</v>
      </c>
      <c r="U24" s="49">
        <v>1887.263047</v>
      </c>
      <c r="V24" s="49">
        <v>0.001629</v>
      </c>
      <c r="W24" s="49">
        <v>0.002868</v>
      </c>
      <c r="X24" s="49">
        <v>2.356075</v>
      </c>
      <c r="Y24" s="49">
        <v>0.07792207792207792</v>
      </c>
      <c r="Z24" s="49">
        <v>0.045454545454545456</v>
      </c>
      <c r="AA24" s="73">
        <v>24</v>
      </c>
      <c r="AB24" s="73"/>
      <c r="AC24" s="74"/>
      <c r="AD24" s="80" t="s">
        <v>1084</v>
      </c>
      <c r="AE24" s="80" t="s">
        <v>1745</v>
      </c>
      <c r="AF24" s="80" t="s">
        <v>2417</v>
      </c>
      <c r="AG24" s="80" t="s">
        <v>2958</v>
      </c>
      <c r="AH24" s="80" t="s">
        <v>3497</v>
      </c>
      <c r="AI24" s="80">
        <v>1364</v>
      </c>
      <c r="AJ24" s="80">
        <v>0</v>
      </c>
      <c r="AK24" s="80">
        <v>2</v>
      </c>
      <c r="AL24" s="80">
        <v>0</v>
      </c>
      <c r="AM24" s="80" t="s">
        <v>4098</v>
      </c>
      <c r="AN24" s="96" t="str">
        <f>HYPERLINK("https://www.youtube.com/watch?v=H8eULkDBP7Y")</f>
        <v>https://www.youtube.com/watch?v=H8eULkDBP7Y</v>
      </c>
      <c r="AO24" s="80" t="str">
        <f>REPLACE(INDEX(GroupVertices[Group],MATCH(Vertices[[#This Row],[Vertex]],GroupVertices[Vertex],0)),1,1,"")</f>
        <v>1</v>
      </c>
      <c r="AP24" s="48">
        <v>0</v>
      </c>
      <c r="AQ24" s="49">
        <v>0</v>
      </c>
      <c r="AR24" s="48">
        <v>0</v>
      </c>
      <c r="AS24" s="49">
        <v>0</v>
      </c>
      <c r="AT24" s="48">
        <v>0</v>
      </c>
      <c r="AU24" s="49">
        <v>0</v>
      </c>
      <c r="AV24" s="48">
        <v>5</v>
      </c>
      <c r="AW24" s="49">
        <v>100</v>
      </c>
      <c r="AX24" s="48">
        <v>5</v>
      </c>
      <c r="AY24" s="119" t="s">
        <v>4450</v>
      </c>
      <c r="AZ24" s="119" t="s">
        <v>4450</v>
      </c>
      <c r="BA24" s="119" t="s">
        <v>4450</v>
      </c>
      <c r="BB24" s="119" t="s">
        <v>4450</v>
      </c>
      <c r="BC24" s="2"/>
      <c r="BD24" s="3"/>
      <c r="BE24" s="3"/>
      <c r="BF24" s="3"/>
      <c r="BG24" s="3"/>
    </row>
    <row r="25" spans="1:59" ht="15">
      <c r="A25" s="66" t="s">
        <v>237</v>
      </c>
      <c r="B25" s="120" t="s">
        <v>4496</v>
      </c>
      <c r="C25" s="120" t="s">
        <v>56</v>
      </c>
      <c r="D25" s="121">
        <v>10</v>
      </c>
      <c r="E25" s="122"/>
      <c r="F25" s="97" t="str">
        <f>HYPERLINK("https://i.ytimg.com/vi/BPUFUZvaWU8/default.jpg")</f>
        <v>https://i.ytimg.com/vi/BPUFUZvaWU8/default.jpg</v>
      </c>
      <c r="G25" s="120"/>
      <c r="H25" s="123" t="s">
        <v>1330</v>
      </c>
      <c r="I25" s="124"/>
      <c r="J25" s="124" t="s">
        <v>159</v>
      </c>
      <c r="K25" s="123" t="s">
        <v>1330</v>
      </c>
      <c r="L25" s="125">
        <v>1</v>
      </c>
      <c r="M25" s="126">
        <v>3257.550048828125</v>
      </c>
      <c r="N25" s="126">
        <v>8293.017578125</v>
      </c>
      <c r="O25" s="127"/>
      <c r="P25" s="128"/>
      <c r="Q25" s="128"/>
      <c r="R25" s="129"/>
      <c r="S25" s="48">
        <v>0</v>
      </c>
      <c r="T25" s="48">
        <v>44</v>
      </c>
      <c r="U25" s="49">
        <v>1886.671637</v>
      </c>
      <c r="V25" s="49">
        <v>0.002</v>
      </c>
      <c r="W25" s="49">
        <v>0.012794</v>
      </c>
      <c r="X25" s="49">
        <v>3.295991</v>
      </c>
      <c r="Y25" s="49">
        <v>0.28012684989429176</v>
      </c>
      <c r="Z25" s="49">
        <v>0</v>
      </c>
      <c r="AA25" s="130">
        <v>25</v>
      </c>
      <c r="AB25" s="130"/>
      <c r="AC25" s="74"/>
      <c r="AD25" s="80" t="s">
        <v>1330</v>
      </c>
      <c r="AE25" s="80" t="s">
        <v>1997</v>
      </c>
      <c r="AF25" s="80" t="s">
        <v>2598</v>
      </c>
      <c r="AG25" s="80" t="s">
        <v>3057</v>
      </c>
      <c r="AH25" s="80" t="s">
        <v>3741</v>
      </c>
      <c r="AI25" s="80">
        <v>2581</v>
      </c>
      <c r="AJ25" s="80">
        <v>0</v>
      </c>
      <c r="AK25" s="80">
        <v>10</v>
      </c>
      <c r="AL25" s="80">
        <v>0</v>
      </c>
      <c r="AM25" s="80" t="s">
        <v>4098</v>
      </c>
      <c r="AN25" s="96" t="str">
        <f>HYPERLINK("https://www.youtube.com/watch?v=BPUFUZvaWU8")</f>
        <v>https://www.youtube.com/watch?v=BPUFUZvaWU8</v>
      </c>
      <c r="AO25" s="80" t="str">
        <f>REPLACE(INDEX(GroupVertices[Group],MATCH(Vertices[[#This Row],[Vertex]],GroupVertices[Vertex],0)),1,1,"")</f>
        <v>1</v>
      </c>
      <c r="AP25" s="48">
        <v>0</v>
      </c>
      <c r="AQ25" s="49">
        <v>0</v>
      </c>
      <c r="AR25" s="48">
        <v>0</v>
      </c>
      <c r="AS25" s="49">
        <v>0</v>
      </c>
      <c r="AT25" s="48">
        <v>0</v>
      </c>
      <c r="AU25" s="49">
        <v>0</v>
      </c>
      <c r="AV25" s="48">
        <v>5</v>
      </c>
      <c r="AW25" s="49">
        <v>100</v>
      </c>
      <c r="AX25" s="48">
        <v>5</v>
      </c>
      <c r="AY25" s="119" t="s">
        <v>4450</v>
      </c>
      <c r="AZ25" s="119" t="s">
        <v>4450</v>
      </c>
      <c r="BA25" s="119" t="s">
        <v>4450</v>
      </c>
      <c r="BB25" s="119" t="s">
        <v>4450</v>
      </c>
      <c r="BC25" s="2"/>
      <c r="BD25" s="3"/>
      <c r="BE25" s="3"/>
      <c r="BF25" s="3"/>
      <c r="BG25" s="3"/>
    </row>
    <row r="26" spans="1:59" ht="15">
      <c r="A26" s="66" t="s">
        <v>248</v>
      </c>
      <c r="B26" s="67" t="s">
        <v>4500</v>
      </c>
      <c r="C26" s="67" t="s">
        <v>64</v>
      </c>
      <c r="D26" s="68">
        <v>362</v>
      </c>
      <c r="E26" s="70"/>
      <c r="F26" s="97" t="str">
        <f>HYPERLINK("https://i.ytimg.com/vi/WHociTCrX48/default.jpg")</f>
        <v>https://i.ytimg.com/vi/WHociTCrX48/default.jpg</v>
      </c>
      <c r="G26" s="67"/>
      <c r="H26" s="71" t="s">
        <v>1235</v>
      </c>
      <c r="I26" s="72"/>
      <c r="J26" s="72" t="s">
        <v>75</v>
      </c>
      <c r="K26" s="71" t="s">
        <v>1235</v>
      </c>
      <c r="L26" s="75">
        <v>3555.8444444444444</v>
      </c>
      <c r="M26" s="76">
        <v>2435.34521484375</v>
      </c>
      <c r="N26" s="76">
        <v>7420.6171875</v>
      </c>
      <c r="O26" s="77"/>
      <c r="P26" s="78"/>
      <c r="Q26" s="78"/>
      <c r="R26" s="82"/>
      <c r="S26" s="48">
        <v>16</v>
      </c>
      <c r="T26" s="48">
        <v>31</v>
      </c>
      <c r="U26" s="49">
        <v>1876.411621</v>
      </c>
      <c r="V26" s="49">
        <v>0.001873</v>
      </c>
      <c r="W26" s="49">
        <v>0.007507</v>
      </c>
      <c r="X26" s="49">
        <v>3.250509</v>
      </c>
      <c r="Y26" s="49">
        <v>0.11923076923076924</v>
      </c>
      <c r="Z26" s="49">
        <v>0.175</v>
      </c>
      <c r="AA26" s="73">
        <v>26</v>
      </c>
      <c r="AB26" s="73"/>
      <c r="AC26" s="74"/>
      <c r="AD26" s="80" t="s">
        <v>1235</v>
      </c>
      <c r="AE26" s="80" t="s">
        <v>1917</v>
      </c>
      <c r="AF26" s="80" t="s">
        <v>2526</v>
      </c>
      <c r="AG26" s="80" t="s">
        <v>3057</v>
      </c>
      <c r="AH26" s="80" t="s">
        <v>3647</v>
      </c>
      <c r="AI26" s="80">
        <v>6504</v>
      </c>
      <c r="AJ26" s="80">
        <v>17</v>
      </c>
      <c r="AK26" s="80">
        <v>69</v>
      </c>
      <c r="AL26" s="80">
        <v>0</v>
      </c>
      <c r="AM26" s="80" t="s">
        <v>4098</v>
      </c>
      <c r="AN26" s="96" t="str">
        <f>HYPERLINK("https://www.youtube.com/watch?v=WHociTCrX48")</f>
        <v>https://www.youtube.com/watch?v=WHociTCrX48</v>
      </c>
      <c r="AO26" s="80" t="str">
        <f>REPLACE(INDEX(GroupVertices[Group],MATCH(Vertices[[#This Row],[Vertex]],GroupVertices[Vertex],0)),1,1,"")</f>
        <v>1</v>
      </c>
      <c r="AP26" s="48">
        <v>0</v>
      </c>
      <c r="AQ26" s="49">
        <v>0</v>
      </c>
      <c r="AR26" s="48">
        <v>0</v>
      </c>
      <c r="AS26" s="49">
        <v>0</v>
      </c>
      <c r="AT26" s="48">
        <v>0</v>
      </c>
      <c r="AU26" s="49">
        <v>0</v>
      </c>
      <c r="AV26" s="48">
        <v>10</v>
      </c>
      <c r="AW26" s="49">
        <v>100</v>
      </c>
      <c r="AX26" s="48">
        <v>10</v>
      </c>
      <c r="AY26" s="119" t="s">
        <v>4450</v>
      </c>
      <c r="AZ26" s="119" t="s">
        <v>4450</v>
      </c>
      <c r="BA26" s="119" t="s">
        <v>4450</v>
      </c>
      <c r="BB26" s="119" t="s">
        <v>4450</v>
      </c>
      <c r="BC26" s="2"/>
      <c r="BD26" s="3"/>
      <c r="BE26" s="3"/>
      <c r="BF26" s="3"/>
      <c r="BG26" s="3"/>
    </row>
    <row r="27" spans="1:59" ht="15">
      <c r="A27" s="66" t="s">
        <v>251</v>
      </c>
      <c r="B27" s="67" t="s">
        <v>4455</v>
      </c>
      <c r="C27" s="67" t="s">
        <v>64</v>
      </c>
      <c r="D27" s="68">
        <v>450</v>
      </c>
      <c r="E27" s="70"/>
      <c r="F27" s="97" t="str">
        <f>HYPERLINK("https://i.ytimg.com/vi/tzkLBf9t7MY/default.jpg")</f>
        <v>https://i.ytimg.com/vi/tzkLBf9t7MY/default.jpg</v>
      </c>
      <c r="G27" s="67"/>
      <c r="H27" s="71" t="s">
        <v>1340</v>
      </c>
      <c r="I27" s="72"/>
      <c r="J27" s="72" t="s">
        <v>75</v>
      </c>
      <c r="K27" s="71" t="s">
        <v>1340</v>
      </c>
      <c r="L27" s="75">
        <v>4444.555555555556</v>
      </c>
      <c r="M27" s="76">
        <v>2994.97900390625</v>
      </c>
      <c r="N27" s="76">
        <v>2676.75927734375</v>
      </c>
      <c r="O27" s="77"/>
      <c r="P27" s="78"/>
      <c r="Q27" s="78"/>
      <c r="R27" s="82"/>
      <c r="S27" s="48">
        <v>20</v>
      </c>
      <c r="T27" s="48">
        <v>48</v>
      </c>
      <c r="U27" s="49">
        <v>1815.641211</v>
      </c>
      <c r="V27" s="49">
        <v>0.002146</v>
      </c>
      <c r="W27" s="49">
        <v>0.017326</v>
      </c>
      <c r="X27" s="49">
        <v>3.785407</v>
      </c>
      <c r="Y27" s="49">
        <v>0.30134680134680136</v>
      </c>
      <c r="Z27" s="49">
        <v>0.23636363636363636</v>
      </c>
      <c r="AA27" s="73">
        <v>27</v>
      </c>
      <c r="AB27" s="73"/>
      <c r="AC27" s="74"/>
      <c r="AD27" s="80" t="s">
        <v>1340</v>
      </c>
      <c r="AE27" s="80" t="s">
        <v>2006</v>
      </c>
      <c r="AF27" s="80"/>
      <c r="AG27" s="80" t="s">
        <v>2999</v>
      </c>
      <c r="AH27" s="80" t="s">
        <v>3752</v>
      </c>
      <c r="AI27" s="80">
        <v>7115</v>
      </c>
      <c r="AJ27" s="80">
        <v>6</v>
      </c>
      <c r="AK27" s="80">
        <v>5</v>
      </c>
      <c r="AL27" s="80">
        <v>3</v>
      </c>
      <c r="AM27" s="80" t="s">
        <v>4098</v>
      </c>
      <c r="AN27" s="96" t="str">
        <f>HYPERLINK("https://www.youtube.com/watch?v=tzkLBf9t7MY")</f>
        <v>https://www.youtube.com/watch?v=tzkLBf9t7MY</v>
      </c>
      <c r="AO27" s="80" t="str">
        <f>REPLACE(INDEX(GroupVertices[Group],MATCH(Vertices[[#This Row],[Vertex]],GroupVertices[Vertex],0)),1,1,"")</f>
        <v>2</v>
      </c>
      <c r="AP27" s="48"/>
      <c r="AQ27" s="49"/>
      <c r="AR27" s="48"/>
      <c r="AS27" s="49"/>
      <c r="AT27" s="48"/>
      <c r="AU27" s="49"/>
      <c r="AV27" s="48"/>
      <c r="AW27" s="49"/>
      <c r="AX27" s="48"/>
      <c r="AY27" s="119" t="s">
        <v>4450</v>
      </c>
      <c r="AZ27" s="119" t="s">
        <v>4450</v>
      </c>
      <c r="BA27" s="119" t="s">
        <v>4450</v>
      </c>
      <c r="BB27" s="119" t="s">
        <v>4450</v>
      </c>
      <c r="BC27" s="2"/>
      <c r="BD27" s="3"/>
      <c r="BE27" s="3"/>
      <c r="BF27" s="3"/>
      <c r="BG27" s="3"/>
    </row>
    <row r="28" spans="1:59" ht="15">
      <c r="A28" s="66" t="s">
        <v>213</v>
      </c>
      <c r="B28" s="67" t="s">
        <v>4495</v>
      </c>
      <c r="C28" s="67" t="s">
        <v>64</v>
      </c>
      <c r="D28" s="68">
        <v>340</v>
      </c>
      <c r="E28" s="70"/>
      <c r="F28" s="97" t="str">
        <f>HYPERLINK("https://i.ytimg.com/vi/Cp5dejUrVUE/default.jpg")</f>
        <v>https://i.ytimg.com/vi/Cp5dejUrVUE/default.jpg</v>
      </c>
      <c r="G28" s="67"/>
      <c r="H28" s="71" t="s">
        <v>970</v>
      </c>
      <c r="I28" s="72"/>
      <c r="J28" s="72" t="s">
        <v>75</v>
      </c>
      <c r="K28" s="71" t="s">
        <v>970</v>
      </c>
      <c r="L28" s="75">
        <v>3333.6666666666665</v>
      </c>
      <c r="M28" s="76">
        <v>3195.597900390625</v>
      </c>
      <c r="N28" s="76">
        <v>1440.6004638671875</v>
      </c>
      <c r="O28" s="77"/>
      <c r="P28" s="78"/>
      <c r="Q28" s="78"/>
      <c r="R28" s="82"/>
      <c r="S28" s="48">
        <v>15</v>
      </c>
      <c r="T28" s="48">
        <v>42</v>
      </c>
      <c r="U28" s="49">
        <v>1771.146774</v>
      </c>
      <c r="V28" s="49">
        <v>0.001996</v>
      </c>
      <c r="W28" s="49">
        <v>0.013485</v>
      </c>
      <c r="X28" s="49">
        <v>3.242254</v>
      </c>
      <c r="Y28" s="49">
        <v>0.30655391120507397</v>
      </c>
      <c r="Z28" s="49">
        <v>0.29545454545454547</v>
      </c>
      <c r="AA28" s="73">
        <v>28</v>
      </c>
      <c r="AB28" s="73"/>
      <c r="AC28" s="74"/>
      <c r="AD28" s="80" t="s">
        <v>970</v>
      </c>
      <c r="AE28" s="80"/>
      <c r="AF28" s="80"/>
      <c r="AG28" s="80" t="s">
        <v>2904</v>
      </c>
      <c r="AH28" s="80" t="s">
        <v>3385</v>
      </c>
      <c r="AI28" s="80">
        <v>617</v>
      </c>
      <c r="AJ28" s="80">
        <v>0</v>
      </c>
      <c r="AK28" s="80">
        <v>3</v>
      </c>
      <c r="AL28" s="80">
        <v>0</v>
      </c>
      <c r="AM28" s="80" t="s">
        <v>4098</v>
      </c>
      <c r="AN28" s="96" t="str">
        <f>HYPERLINK("https://www.youtube.com/watch?v=Cp5dejUrVUE")</f>
        <v>https://www.youtube.com/watch?v=Cp5dejUrVUE</v>
      </c>
      <c r="AO28" s="80" t="str">
        <f>REPLACE(INDEX(GroupVertices[Group],MATCH(Vertices[[#This Row],[Vertex]],GroupVertices[Vertex],0)),1,1,"")</f>
        <v>2</v>
      </c>
      <c r="AP28" s="48"/>
      <c r="AQ28" s="49"/>
      <c r="AR28" s="48"/>
      <c r="AS28" s="49"/>
      <c r="AT28" s="48"/>
      <c r="AU28" s="49"/>
      <c r="AV28" s="48"/>
      <c r="AW28" s="49"/>
      <c r="AX28" s="48"/>
      <c r="AY28" s="119" t="s">
        <v>4450</v>
      </c>
      <c r="AZ28" s="119" t="s">
        <v>4450</v>
      </c>
      <c r="BA28" s="119" t="s">
        <v>4450</v>
      </c>
      <c r="BB28" s="119" t="s">
        <v>4450</v>
      </c>
      <c r="BC28" s="2"/>
      <c r="BD28" s="3"/>
      <c r="BE28" s="3"/>
      <c r="BF28" s="3"/>
      <c r="BG28" s="3"/>
    </row>
    <row r="29" spans="1:59" ht="15">
      <c r="A29" s="66" t="s">
        <v>245</v>
      </c>
      <c r="B29" s="67" t="s">
        <v>4501</v>
      </c>
      <c r="C29" s="67" t="s">
        <v>64</v>
      </c>
      <c r="D29" s="68">
        <v>208</v>
      </c>
      <c r="E29" s="70"/>
      <c r="F29" s="97" t="str">
        <f>HYPERLINK("https://i.ytimg.com/vi/0M3T65Iw3Ac/default.jpg")</f>
        <v>https://i.ytimg.com/vi/0M3T65Iw3Ac/default.jpg</v>
      </c>
      <c r="G29" s="67"/>
      <c r="H29" s="71" t="s">
        <v>1245</v>
      </c>
      <c r="I29" s="72"/>
      <c r="J29" s="72" t="s">
        <v>75</v>
      </c>
      <c r="K29" s="71" t="s">
        <v>1245</v>
      </c>
      <c r="L29" s="75">
        <v>2000.6</v>
      </c>
      <c r="M29" s="76">
        <v>7465.52978515625</v>
      </c>
      <c r="N29" s="76">
        <v>8214.37890625</v>
      </c>
      <c r="O29" s="77"/>
      <c r="P29" s="78"/>
      <c r="Q29" s="78"/>
      <c r="R29" s="82"/>
      <c r="S29" s="48">
        <v>9</v>
      </c>
      <c r="T29" s="48">
        <v>30</v>
      </c>
      <c r="U29" s="49">
        <v>1662.973644</v>
      </c>
      <c r="V29" s="49">
        <v>0.001908</v>
      </c>
      <c r="W29" s="49">
        <v>0.008937</v>
      </c>
      <c r="X29" s="49">
        <v>2.867342</v>
      </c>
      <c r="Y29" s="49">
        <v>0.17642642642642642</v>
      </c>
      <c r="Z29" s="49">
        <v>0.05405405405405406</v>
      </c>
      <c r="AA29" s="73">
        <v>29</v>
      </c>
      <c r="AB29" s="73"/>
      <c r="AC29" s="74"/>
      <c r="AD29" s="80" t="s">
        <v>1245</v>
      </c>
      <c r="AE29" s="80" t="s">
        <v>2102</v>
      </c>
      <c r="AF29" s="80" t="s">
        <v>2693</v>
      </c>
      <c r="AG29" s="80" t="s">
        <v>3224</v>
      </c>
      <c r="AH29" s="80" t="s">
        <v>3857</v>
      </c>
      <c r="AI29" s="80">
        <v>5890</v>
      </c>
      <c r="AJ29" s="80">
        <v>2</v>
      </c>
      <c r="AK29" s="80">
        <v>15</v>
      </c>
      <c r="AL29" s="80">
        <v>1</v>
      </c>
      <c r="AM29" s="80" t="s">
        <v>4098</v>
      </c>
      <c r="AN29" s="96" t="str">
        <f>HYPERLINK("https://www.youtube.com/watch?v=0M3T65Iw3Ac")</f>
        <v>https://www.youtube.com/watch?v=0M3T65Iw3Ac</v>
      </c>
      <c r="AO29" s="80" t="str">
        <f>REPLACE(INDEX(GroupVertices[Group],MATCH(Vertices[[#This Row],[Vertex]],GroupVertices[Vertex],0)),1,1,"")</f>
        <v>3</v>
      </c>
      <c r="AP29" s="48">
        <v>1</v>
      </c>
      <c r="AQ29" s="49">
        <v>7.6923076923076925</v>
      </c>
      <c r="AR29" s="48">
        <v>0</v>
      </c>
      <c r="AS29" s="49">
        <v>0</v>
      </c>
      <c r="AT29" s="48">
        <v>0</v>
      </c>
      <c r="AU29" s="49">
        <v>0</v>
      </c>
      <c r="AV29" s="48">
        <v>12</v>
      </c>
      <c r="AW29" s="49">
        <v>92.3076923076923</v>
      </c>
      <c r="AX29" s="48">
        <v>13</v>
      </c>
      <c r="AY29" s="119" t="s">
        <v>4450</v>
      </c>
      <c r="AZ29" s="119" t="s">
        <v>4450</v>
      </c>
      <c r="BA29" s="119" t="s">
        <v>4450</v>
      </c>
      <c r="BB29" s="119" t="s">
        <v>4450</v>
      </c>
      <c r="BC29" s="2"/>
      <c r="BD29" s="3"/>
      <c r="BE29" s="3"/>
      <c r="BF29" s="3"/>
      <c r="BG29" s="3"/>
    </row>
    <row r="30" spans="1:59" ht="15">
      <c r="A30" s="66" t="s">
        <v>241</v>
      </c>
      <c r="B30" s="67" t="s">
        <v>4457</v>
      </c>
      <c r="C30" s="67" t="s">
        <v>64</v>
      </c>
      <c r="D30" s="68">
        <v>472</v>
      </c>
      <c r="E30" s="70"/>
      <c r="F30" s="97" t="str">
        <f>HYPERLINK("https://i.ytimg.com/vi/R_fAtEHVOBA/default.jpg")</f>
        <v>https://i.ytimg.com/vi/R_fAtEHVOBA/default.jpg</v>
      </c>
      <c r="G30" s="67"/>
      <c r="H30" s="71" t="s">
        <v>1203</v>
      </c>
      <c r="I30" s="72"/>
      <c r="J30" s="72" t="s">
        <v>75</v>
      </c>
      <c r="K30" s="71" t="s">
        <v>1203</v>
      </c>
      <c r="L30" s="75">
        <v>4666.733333333334</v>
      </c>
      <c r="M30" s="76">
        <v>4055.324951171875</v>
      </c>
      <c r="N30" s="76">
        <v>2387.721923828125</v>
      </c>
      <c r="O30" s="77"/>
      <c r="P30" s="78"/>
      <c r="Q30" s="78"/>
      <c r="R30" s="82"/>
      <c r="S30" s="48">
        <v>21</v>
      </c>
      <c r="T30" s="48">
        <v>47</v>
      </c>
      <c r="U30" s="49">
        <v>1623.124893</v>
      </c>
      <c r="V30" s="49">
        <v>0.002049</v>
      </c>
      <c r="W30" s="49">
        <v>0.014844</v>
      </c>
      <c r="X30" s="49">
        <v>3.437751</v>
      </c>
      <c r="Y30" s="49">
        <v>0.2869897959183674</v>
      </c>
      <c r="Z30" s="49">
        <v>0.3877551020408163</v>
      </c>
      <c r="AA30" s="73">
        <v>30</v>
      </c>
      <c r="AB30" s="73"/>
      <c r="AC30" s="74"/>
      <c r="AD30" s="80" t="s">
        <v>1203</v>
      </c>
      <c r="AE30" s="80" t="s">
        <v>2005</v>
      </c>
      <c r="AF30" s="80" t="s">
        <v>2605</v>
      </c>
      <c r="AG30" s="80" t="s">
        <v>2905</v>
      </c>
      <c r="AH30" s="80" t="s">
        <v>3751</v>
      </c>
      <c r="AI30" s="80">
        <v>4424</v>
      </c>
      <c r="AJ30" s="80">
        <v>13</v>
      </c>
      <c r="AK30" s="80">
        <v>22</v>
      </c>
      <c r="AL30" s="80">
        <v>2</v>
      </c>
      <c r="AM30" s="80" t="s">
        <v>4098</v>
      </c>
      <c r="AN30" s="96" t="str">
        <f>HYPERLINK("https://www.youtube.com/watch?v=R_fAtEHVOBA")</f>
        <v>https://www.youtube.com/watch?v=R_fAtEHVOBA</v>
      </c>
      <c r="AO30" s="80" t="str">
        <f>REPLACE(INDEX(GroupVertices[Group],MATCH(Vertices[[#This Row],[Vertex]],GroupVertices[Vertex],0)),1,1,"")</f>
        <v>2</v>
      </c>
      <c r="AP30" s="48">
        <v>0</v>
      </c>
      <c r="AQ30" s="49">
        <v>0</v>
      </c>
      <c r="AR30" s="48">
        <v>0</v>
      </c>
      <c r="AS30" s="49">
        <v>0</v>
      </c>
      <c r="AT30" s="48">
        <v>0</v>
      </c>
      <c r="AU30" s="49">
        <v>0</v>
      </c>
      <c r="AV30" s="48">
        <v>14</v>
      </c>
      <c r="AW30" s="49">
        <v>100</v>
      </c>
      <c r="AX30" s="48">
        <v>14</v>
      </c>
      <c r="AY30" s="119" t="s">
        <v>4450</v>
      </c>
      <c r="AZ30" s="119" t="s">
        <v>4450</v>
      </c>
      <c r="BA30" s="119" t="s">
        <v>4450</v>
      </c>
      <c r="BB30" s="119" t="s">
        <v>4450</v>
      </c>
      <c r="BC30" s="2"/>
      <c r="BD30" s="3"/>
      <c r="BE30" s="3"/>
      <c r="BF30" s="3"/>
      <c r="BG30" s="3"/>
    </row>
    <row r="31" spans="1:59" ht="15">
      <c r="A31" s="66" t="s">
        <v>256</v>
      </c>
      <c r="B31" s="67" t="s">
        <v>4455</v>
      </c>
      <c r="C31" s="67" t="s">
        <v>64</v>
      </c>
      <c r="D31" s="68">
        <v>494</v>
      </c>
      <c r="E31" s="70"/>
      <c r="F31" s="97" t="str">
        <f>HYPERLINK("https://i.ytimg.com/vi/zMlwGOki4Yg/default.jpg")</f>
        <v>https://i.ytimg.com/vi/zMlwGOki4Yg/default.jpg</v>
      </c>
      <c r="G31" s="67"/>
      <c r="H31" s="71" t="s">
        <v>1336</v>
      </c>
      <c r="I31" s="72"/>
      <c r="J31" s="72" t="s">
        <v>75</v>
      </c>
      <c r="K31" s="71" t="s">
        <v>1336</v>
      </c>
      <c r="L31" s="75">
        <v>4888.9111111111115</v>
      </c>
      <c r="M31" s="76">
        <v>4183.21142578125</v>
      </c>
      <c r="N31" s="76">
        <v>7557.228515625</v>
      </c>
      <c r="O31" s="77"/>
      <c r="P31" s="78"/>
      <c r="Q31" s="78"/>
      <c r="R31" s="82"/>
      <c r="S31" s="48">
        <v>22</v>
      </c>
      <c r="T31" s="48">
        <v>48</v>
      </c>
      <c r="U31" s="49">
        <v>1619.108748</v>
      </c>
      <c r="V31" s="49">
        <v>0.002092</v>
      </c>
      <c r="W31" s="49">
        <v>0.01616</v>
      </c>
      <c r="X31" s="49">
        <v>3.722343</v>
      </c>
      <c r="Y31" s="49">
        <v>0.2790275761973875</v>
      </c>
      <c r="Z31" s="49">
        <v>0.32075471698113206</v>
      </c>
      <c r="AA31" s="73">
        <v>31</v>
      </c>
      <c r="AB31" s="73"/>
      <c r="AC31" s="74"/>
      <c r="AD31" s="80" t="s">
        <v>1336</v>
      </c>
      <c r="AE31" s="80" t="s">
        <v>2003</v>
      </c>
      <c r="AF31" s="80" t="s">
        <v>2497</v>
      </c>
      <c r="AG31" s="80" t="s">
        <v>3056</v>
      </c>
      <c r="AH31" s="80" t="s">
        <v>3747</v>
      </c>
      <c r="AI31" s="80">
        <v>17309</v>
      </c>
      <c r="AJ31" s="80">
        <v>2</v>
      </c>
      <c r="AK31" s="80">
        <v>30</v>
      </c>
      <c r="AL31" s="80">
        <v>0</v>
      </c>
      <c r="AM31" s="80" t="s">
        <v>4098</v>
      </c>
      <c r="AN31" s="96" t="str">
        <f>HYPERLINK("https://www.youtube.com/watch?v=zMlwGOki4Yg")</f>
        <v>https://www.youtube.com/watch?v=zMlwGOki4Yg</v>
      </c>
      <c r="AO31" s="80" t="str">
        <f>REPLACE(INDEX(GroupVertices[Group],MATCH(Vertices[[#This Row],[Vertex]],GroupVertices[Vertex],0)),1,1,"")</f>
        <v>1</v>
      </c>
      <c r="AP31" s="48">
        <v>0</v>
      </c>
      <c r="AQ31" s="49">
        <v>0</v>
      </c>
      <c r="AR31" s="48">
        <v>0</v>
      </c>
      <c r="AS31" s="49">
        <v>0</v>
      </c>
      <c r="AT31" s="48">
        <v>0</v>
      </c>
      <c r="AU31" s="49">
        <v>0</v>
      </c>
      <c r="AV31" s="48">
        <v>5</v>
      </c>
      <c r="AW31" s="49">
        <v>100</v>
      </c>
      <c r="AX31" s="48">
        <v>5</v>
      </c>
      <c r="AY31" s="119" t="s">
        <v>4450</v>
      </c>
      <c r="AZ31" s="119" t="s">
        <v>4450</v>
      </c>
      <c r="BA31" s="119" t="s">
        <v>4450</v>
      </c>
      <c r="BB31" s="119" t="s">
        <v>4450</v>
      </c>
      <c r="BC31" s="2"/>
      <c r="BD31" s="3"/>
      <c r="BE31" s="3"/>
      <c r="BF31" s="3"/>
      <c r="BG31" s="3"/>
    </row>
    <row r="32" spans="1:59" ht="15">
      <c r="A32" s="66" t="s">
        <v>257</v>
      </c>
      <c r="B32" s="67" t="s">
        <v>4496</v>
      </c>
      <c r="C32" s="67" t="s">
        <v>64</v>
      </c>
      <c r="D32" s="68">
        <v>648</v>
      </c>
      <c r="E32" s="70"/>
      <c r="F32" s="97" t="str">
        <f>HYPERLINK("https://i.ytimg.com/vi/39yXz72qdow/default.jpg")</f>
        <v>https://i.ytimg.com/vi/39yXz72qdow/default.jpg</v>
      </c>
      <c r="G32" s="67"/>
      <c r="H32" s="71" t="s">
        <v>1229</v>
      </c>
      <c r="I32" s="72"/>
      <c r="J32" s="72" t="s">
        <v>75</v>
      </c>
      <c r="K32" s="71" t="s">
        <v>1229</v>
      </c>
      <c r="L32" s="75">
        <v>6444.155555555555</v>
      </c>
      <c r="M32" s="76">
        <v>2671.689453125</v>
      </c>
      <c r="N32" s="76">
        <v>2805.003173828125</v>
      </c>
      <c r="O32" s="77"/>
      <c r="P32" s="78"/>
      <c r="Q32" s="78"/>
      <c r="R32" s="82"/>
      <c r="S32" s="48">
        <v>29</v>
      </c>
      <c r="T32" s="48">
        <v>44</v>
      </c>
      <c r="U32" s="49">
        <v>1598.755275</v>
      </c>
      <c r="V32" s="49">
        <v>0.002096</v>
      </c>
      <c r="W32" s="49">
        <v>0.017255</v>
      </c>
      <c r="X32" s="49">
        <v>3.719697</v>
      </c>
      <c r="Y32" s="49">
        <v>0.30957372466806427</v>
      </c>
      <c r="Z32" s="49">
        <v>0.35185185185185186</v>
      </c>
      <c r="AA32" s="73">
        <v>32</v>
      </c>
      <c r="AB32" s="73"/>
      <c r="AC32" s="74"/>
      <c r="AD32" s="80" t="s">
        <v>1229</v>
      </c>
      <c r="AE32" s="80" t="s">
        <v>1912</v>
      </c>
      <c r="AF32" s="80" t="s">
        <v>2522</v>
      </c>
      <c r="AG32" s="80" t="s">
        <v>3078</v>
      </c>
      <c r="AH32" s="80" t="s">
        <v>3641</v>
      </c>
      <c r="AI32" s="80">
        <v>18122</v>
      </c>
      <c r="AJ32" s="80">
        <v>11</v>
      </c>
      <c r="AK32" s="80">
        <v>25</v>
      </c>
      <c r="AL32" s="80">
        <v>1</v>
      </c>
      <c r="AM32" s="80" t="s">
        <v>4098</v>
      </c>
      <c r="AN32" s="96" t="str">
        <f>HYPERLINK("https://www.youtube.com/watch?v=39yXz72qdow")</f>
        <v>https://www.youtube.com/watch?v=39yXz72qdow</v>
      </c>
      <c r="AO32" s="80" t="str">
        <f>REPLACE(INDEX(GroupVertices[Group],MATCH(Vertices[[#This Row],[Vertex]],GroupVertices[Vertex],0)),1,1,"")</f>
        <v>2</v>
      </c>
      <c r="AP32" s="48">
        <v>0</v>
      </c>
      <c r="AQ32" s="49">
        <v>0</v>
      </c>
      <c r="AR32" s="48">
        <v>0</v>
      </c>
      <c r="AS32" s="49">
        <v>0</v>
      </c>
      <c r="AT32" s="48">
        <v>0</v>
      </c>
      <c r="AU32" s="49">
        <v>0</v>
      </c>
      <c r="AV32" s="48">
        <v>12</v>
      </c>
      <c r="AW32" s="49">
        <v>100</v>
      </c>
      <c r="AX32" s="48">
        <v>12</v>
      </c>
      <c r="AY32" s="119" t="s">
        <v>4450</v>
      </c>
      <c r="AZ32" s="119" t="s">
        <v>4450</v>
      </c>
      <c r="BA32" s="119" t="s">
        <v>4450</v>
      </c>
      <c r="BB32" s="119" t="s">
        <v>4450</v>
      </c>
      <c r="BC32" s="2"/>
      <c r="BD32" s="3"/>
      <c r="BE32" s="3"/>
      <c r="BF32" s="3"/>
      <c r="BG32" s="3"/>
    </row>
    <row r="33" spans="1:59" ht="15">
      <c r="A33" s="66" t="s">
        <v>226</v>
      </c>
      <c r="B33" s="67" t="s">
        <v>4502</v>
      </c>
      <c r="C33" s="67" t="s">
        <v>64</v>
      </c>
      <c r="D33" s="68">
        <v>582</v>
      </c>
      <c r="E33" s="70"/>
      <c r="F33" s="97" t="str">
        <f>HYPERLINK("https://i.ytimg.com/vi/NvD1xhxTIG8/default.jpg")</f>
        <v>https://i.ytimg.com/vi/NvD1xhxTIG8/default.jpg</v>
      </c>
      <c r="G33" s="67"/>
      <c r="H33" s="71" t="s">
        <v>1115</v>
      </c>
      <c r="I33" s="72"/>
      <c r="J33" s="72" t="s">
        <v>75</v>
      </c>
      <c r="K33" s="71" t="s">
        <v>1115</v>
      </c>
      <c r="L33" s="75">
        <v>5777.622222222222</v>
      </c>
      <c r="M33" s="76">
        <v>8707.1279296875</v>
      </c>
      <c r="N33" s="76">
        <v>1417.1668701171875</v>
      </c>
      <c r="O33" s="77"/>
      <c r="P33" s="78"/>
      <c r="Q33" s="78"/>
      <c r="R33" s="82"/>
      <c r="S33" s="48">
        <v>26</v>
      </c>
      <c r="T33" s="48">
        <v>19</v>
      </c>
      <c r="U33" s="49">
        <v>1496.190646</v>
      </c>
      <c r="V33" s="49">
        <v>0.001992</v>
      </c>
      <c r="W33" s="49">
        <v>0.011837</v>
      </c>
      <c r="X33" s="49">
        <v>2.933312</v>
      </c>
      <c r="Y33" s="49">
        <v>0.27307692307692305</v>
      </c>
      <c r="Z33" s="49">
        <v>0.125</v>
      </c>
      <c r="AA33" s="73">
        <v>33</v>
      </c>
      <c r="AB33" s="73"/>
      <c r="AC33" s="74"/>
      <c r="AD33" s="80" t="s">
        <v>1115</v>
      </c>
      <c r="AE33" s="80" t="s">
        <v>1812</v>
      </c>
      <c r="AF33" s="80"/>
      <c r="AG33" s="80" t="s">
        <v>2999</v>
      </c>
      <c r="AH33" s="80" t="s">
        <v>3528</v>
      </c>
      <c r="AI33" s="80">
        <v>1382</v>
      </c>
      <c r="AJ33" s="80">
        <v>1</v>
      </c>
      <c r="AK33" s="80">
        <v>4</v>
      </c>
      <c r="AL33" s="80">
        <v>1</v>
      </c>
      <c r="AM33" s="80" t="s">
        <v>4098</v>
      </c>
      <c r="AN33" s="96" t="str">
        <f>HYPERLINK("https://www.youtube.com/watch?v=NvD1xhxTIG8")</f>
        <v>https://www.youtube.com/watch?v=NvD1xhxTIG8</v>
      </c>
      <c r="AO33" s="80" t="str">
        <f>REPLACE(INDEX(GroupVertices[Group],MATCH(Vertices[[#This Row],[Vertex]],GroupVertices[Vertex],0)),1,1,"")</f>
        <v>4</v>
      </c>
      <c r="AP33" s="48"/>
      <c r="AQ33" s="49"/>
      <c r="AR33" s="48"/>
      <c r="AS33" s="49"/>
      <c r="AT33" s="48"/>
      <c r="AU33" s="49"/>
      <c r="AV33" s="48"/>
      <c r="AW33" s="49"/>
      <c r="AX33" s="48"/>
      <c r="AY33" s="119" t="s">
        <v>4450</v>
      </c>
      <c r="AZ33" s="119" t="s">
        <v>4450</v>
      </c>
      <c r="BA33" s="119" t="s">
        <v>4450</v>
      </c>
      <c r="BB33" s="119" t="s">
        <v>4450</v>
      </c>
      <c r="BC33" s="2"/>
      <c r="BD33" s="3"/>
      <c r="BE33" s="3"/>
      <c r="BF33" s="3"/>
      <c r="BG33" s="3"/>
    </row>
    <row r="34" spans="1:59" ht="15">
      <c r="A34" s="66" t="s">
        <v>231</v>
      </c>
      <c r="B34" s="67" t="s">
        <v>4503</v>
      </c>
      <c r="C34" s="67" t="s">
        <v>64</v>
      </c>
      <c r="D34" s="68">
        <v>274</v>
      </c>
      <c r="E34" s="70"/>
      <c r="F34" s="97" t="str">
        <f>HYPERLINK("https://i.ytimg.com/vi/loKrwwx7OWQ/default.jpg")</f>
        <v>https://i.ytimg.com/vi/loKrwwx7OWQ/default.jpg</v>
      </c>
      <c r="G34" s="67"/>
      <c r="H34" s="71" t="s">
        <v>1245</v>
      </c>
      <c r="I34" s="72"/>
      <c r="J34" s="72" t="s">
        <v>75</v>
      </c>
      <c r="K34" s="71" t="s">
        <v>1245</v>
      </c>
      <c r="L34" s="75">
        <v>2667.133333333333</v>
      </c>
      <c r="M34" s="76">
        <v>2650.35986328125</v>
      </c>
      <c r="N34" s="76">
        <v>6743.107421875</v>
      </c>
      <c r="O34" s="77"/>
      <c r="P34" s="78"/>
      <c r="Q34" s="78"/>
      <c r="R34" s="82"/>
      <c r="S34" s="48">
        <v>12</v>
      </c>
      <c r="T34" s="48">
        <v>25</v>
      </c>
      <c r="U34" s="49">
        <v>1421.623456</v>
      </c>
      <c r="V34" s="49">
        <v>0.001852</v>
      </c>
      <c r="W34" s="49">
        <v>0.007278</v>
      </c>
      <c r="X34" s="49">
        <v>2.554327</v>
      </c>
      <c r="Y34" s="49">
        <v>0.17540322580645162</v>
      </c>
      <c r="Z34" s="49">
        <v>0.15625</v>
      </c>
      <c r="AA34" s="73">
        <v>34</v>
      </c>
      <c r="AB34" s="73"/>
      <c r="AC34" s="74"/>
      <c r="AD34" s="80" t="s">
        <v>1245</v>
      </c>
      <c r="AE34" s="80"/>
      <c r="AF34" s="80" t="s">
        <v>1245</v>
      </c>
      <c r="AG34" s="80" t="s">
        <v>3082</v>
      </c>
      <c r="AH34" s="80" t="s">
        <v>3657</v>
      </c>
      <c r="AI34" s="80">
        <v>2045</v>
      </c>
      <c r="AJ34" s="80">
        <v>0</v>
      </c>
      <c r="AK34" s="80">
        <v>0</v>
      </c>
      <c r="AL34" s="80">
        <v>0</v>
      </c>
      <c r="AM34" s="80" t="s">
        <v>4098</v>
      </c>
      <c r="AN34" s="96" t="str">
        <f>HYPERLINK("https://www.youtube.com/watch?v=loKrwwx7OWQ")</f>
        <v>https://www.youtube.com/watch?v=loKrwwx7OWQ</v>
      </c>
      <c r="AO34" s="80" t="str">
        <f>REPLACE(INDEX(GroupVertices[Group],MATCH(Vertices[[#This Row],[Vertex]],GroupVertices[Vertex],0)),1,1,"")</f>
        <v>1</v>
      </c>
      <c r="AP34" s="48">
        <v>0</v>
      </c>
      <c r="AQ34" s="49">
        <v>0</v>
      </c>
      <c r="AR34" s="48">
        <v>0</v>
      </c>
      <c r="AS34" s="49">
        <v>0</v>
      </c>
      <c r="AT34" s="48">
        <v>0</v>
      </c>
      <c r="AU34" s="49">
        <v>0</v>
      </c>
      <c r="AV34" s="48">
        <v>1</v>
      </c>
      <c r="AW34" s="49">
        <v>100</v>
      </c>
      <c r="AX34" s="48">
        <v>1</v>
      </c>
      <c r="AY34" s="119" t="s">
        <v>4450</v>
      </c>
      <c r="AZ34" s="119" t="s">
        <v>4450</v>
      </c>
      <c r="BA34" s="119" t="s">
        <v>4450</v>
      </c>
      <c r="BB34" s="119" t="s">
        <v>4450</v>
      </c>
      <c r="BC34" s="2"/>
      <c r="BD34" s="3"/>
      <c r="BE34" s="3"/>
      <c r="BF34" s="3"/>
      <c r="BG34" s="3"/>
    </row>
    <row r="35" spans="1:59" ht="15">
      <c r="A35" s="66" t="s">
        <v>243</v>
      </c>
      <c r="B35" s="67" t="s">
        <v>4457</v>
      </c>
      <c r="C35" s="67" t="s">
        <v>64</v>
      </c>
      <c r="D35" s="68">
        <v>626</v>
      </c>
      <c r="E35" s="70"/>
      <c r="F35" s="97" t="str">
        <f>HYPERLINK("https://i.ytimg.com/vi/hTnnEnpQkkk/default.jpg")</f>
        <v>https://i.ytimg.com/vi/hTnnEnpQkkk/default.jpg</v>
      </c>
      <c r="G35" s="67"/>
      <c r="H35" s="71" t="s">
        <v>1236</v>
      </c>
      <c r="I35" s="72"/>
      <c r="J35" s="72" t="s">
        <v>75</v>
      </c>
      <c r="K35" s="71" t="s">
        <v>1236</v>
      </c>
      <c r="L35" s="75">
        <v>6221.977777777778</v>
      </c>
      <c r="M35" s="76">
        <v>2513.84130859375</v>
      </c>
      <c r="N35" s="76">
        <v>2084.104248046875</v>
      </c>
      <c r="O35" s="77"/>
      <c r="P35" s="78"/>
      <c r="Q35" s="78"/>
      <c r="R35" s="82"/>
      <c r="S35" s="48">
        <v>28</v>
      </c>
      <c r="T35" s="48">
        <v>47</v>
      </c>
      <c r="U35" s="49">
        <v>1389.852182</v>
      </c>
      <c r="V35" s="49">
        <v>0.002132</v>
      </c>
      <c r="W35" s="49">
        <v>0.017314</v>
      </c>
      <c r="X35" s="49">
        <v>3.564413</v>
      </c>
      <c r="Y35" s="49">
        <v>0.3265602322206096</v>
      </c>
      <c r="Z35" s="49">
        <v>0.41509433962264153</v>
      </c>
      <c r="AA35" s="73">
        <v>35</v>
      </c>
      <c r="AB35" s="73"/>
      <c r="AC35" s="74"/>
      <c r="AD35" s="80" t="s">
        <v>1236</v>
      </c>
      <c r="AE35" s="80" t="s">
        <v>1918</v>
      </c>
      <c r="AF35" s="80" t="s">
        <v>2527</v>
      </c>
      <c r="AG35" s="80" t="s">
        <v>3079</v>
      </c>
      <c r="AH35" s="80" t="s">
        <v>3648</v>
      </c>
      <c r="AI35" s="80">
        <v>4885</v>
      </c>
      <c r="AJ35" s="80">
        <v>4</v>
      </c>
      <c r="AK35" s="80">
        <v>17</v>
      </c>
      <c r="AL35" s="80">
        <v>3</v>
      </c>
      <c r="AM35" s="80" t="s">
        <v>4098</v>
      </c>
      <c r="AN35" s="96" t="str">
        <f>HYPERLINK("https://www.youtube.com/watch?v=hTnnEnpQkkk")</f>
        <v>https://www.youtube.com/watch?v=hTnnEnpQkkk</v>
      </c>
      <c r="AO35" s="80" t="str">
        <f>REPLACE(INDEX(GroupVertices[Group],MATCH(Vertices[[#This Row],[Vertex]],GroupVertices[Vertex],0)),1,1,"")</f>
        <v>2</v>
      </c>
      <c r="AP35" s="48">
        <v>0</v>
      </c>
      <c r="AQ35" s="49">
        <v>0</v>
      </c>
      <c r="AR35" s="48">
        <v>0</v>
      </c>
      <c r="AS35" s="49">
        <v>0</v>
      </c>
      <c r="AT35" s="48">
        <v>0</v>
      </c>
      <c r="AU35" s="49">
        <v>0</v>
      </c>
      <c r="AV35" s="48">
        <v>3</v>
      </c>
      <c r="AW35" s="49">
        <v>100</v>
      </c>
      <c r="AX35" s="48">
        <v>3</v>
      </c>
      <c r="AY35" s="119" t="s">
        <v>4450</v>
      </c>
      <c r="AZ35" s="119" t="s">
        <v>4450</v>
      </c>
      <c r="BA35" s="119" t="s">
        <v>4450</v>
      </c>
      <c r="BB35" s="119" t="s">
        <v>4450</v>
      </c>
      <c r="BC35" s="2"/>
      <c r="BD35" s="3"/>
      <c r="BE35" s="3"/>
      <c r="BF35" s="3"/>
      <c r="BG35" s="3"/>
    </row>
    <row r="36" spans="1:59" ht="15">
      <c r="A36" s="66" t="s">
        <v>239</v>
      </c>
      <c r="B36" s="67" t="s">
        <v>4493</v>
      </c>
      <c r="C36" s="67" t="s">
        <v>64</v>
      </c>
      <c r="D36" s="68">
        <v>516</v>
      </c>
      <c r="E36" s="70"/>
      <c r="F36" s="97" t="str">
        <f>HYPERLINK("https://i.ytimg.com/vi/t8YHRVf60BU/default.jpg")</f>
        <v>https://i.ytimg.com/vi/t8YHRVf60BU/default.jpg</v>
      </c>
      <c r="G36" s="67"/>
      <c r="H36" s="71" t="s">
        <v>1237</v>
      </c>
      <c r="I36" s="72"/>
      <c r="J36" s="72" t="s">
        <v>75</v>
      </c>
      <c r="K36" s="71" t="s">
        <v>1237</v>
      </c>
      <c r="L36" s="75">
        <v>5111.0888888888885</v>
      </c>
      <c r="M36" s="76">
        <v>8079.24560546875</v>
      </c>
      <c r="N36" s="76">
        <v>6891.6328125</v>
      </c>
      <c r="O36" s="77"/>
      <c r="P36" s="78"/>
      <c r="Q36" s="78"/>
      <c r="R36" s="82"/>
      <c r="S36" s="48">
        <v>23</v>
      </c>
      <c r="T36" s="48">
        <v>45</v>
      </c>
      <c r="U36" s="49">
        <v>1321.979594</v>
      </c>
      <c r="V36" s="49">
        <v>0.002092</v>
      </c>
      <c r="W36" s="49">
        <v>0.015676</v>
      </c>
      <c r="X36" s="49">
        <v>3.524647</v>
      </c>
      <c r="Y36" s="49">
        <v>0.2779034690799397</v>
      </c>
      <c r="Z36" s="49">
        <v>0.3076923076923077</v>
      </c>
      <c r="AA36" s="73">
        <v>36</v>
      </c>
      <c r="AB36" s="73"/>
      <c r="AC36" s="74"/>
      <c r="AD36" s="80" t="s">
        <v>1237</v>
      </c>
      <c r="AE36" s="80" t="s">
        <v>1919</v>
      </c>
      <c r="AF36" s="80" t="s">
        <v>2528</v>
      </c>
      <c r="AG36" s="80" t="s">
        <v>2907</v>
      </c>
      <c r="AH36" s="80" t="s">
        <v>3649</v>
      </c>
      <c r="AI36" s="80">
        <v>3680</v>
      </c>
      <c r="AJ36" s="80">
        <v>4</v>
      </c>
      <c r="AK36" s="80">
        <v>22</v>
      </c>
      <c r="AL36" s="80">
        <v>1</v>
      </c>
      <c r="AM36" s="80" t="s">
        <v>4098</v>
      </c>
      <c r="AN36" s="96" t="str">
        <f>HYPERLINK("https://www.youtube.com/watch?v=t8YHRVf60BU")</f>
        <v>https://www.youtube.com/watch?v=t8YHRVf60BU</v>
      </c>
      <c r="AO36" s="80" t="str">
        <f>REPLACE(INDEX(GroupVertices[Group],MATCH(Vertices[[#This Row],[Vertex]],GroupVertices[Vertex],0)),1,1,"")</f>
        <v>3</v>
      </c>
      <c r="AP36" s="48">
        <v>0</v>
      </c>
      <c r="AQ36" s="49">
        <v>0</v>
      </c>
      <c r="AR36" s="48">
        <v>0</v>
      </c>
      <c r="AS36" s="49">
        <v>0</v>
      </c>
      <c r="AT36" s="48">
        <v>0</v>
      </c>
      <c r="AU36" s="49">
        <v>0</v>
      </c>
      <c r="AV36" s="48">
        <v>14</v>
      </c>
      <c r="AW36" s="49">
        <v>100</v>
      </c>
      <c r="AX36" s="48">
        <v>14</v>
      </c>
      <c r="AY36" s="119" t="s">
        <v>4450</v>
      </c>
      <c r="AZ36" s="119" t="s">
        <v>4450</v>
      </c>
      <c r="BA36" s="119" t="s">
        <v>4450</v>
      </c>
      <c r="BB36" s="119" t="s">
        <v>4450</v>
      </c>
      <c r="BC36" s="2"/>
      <c r="BD36" s="3"/>
      <c r="BE36" s="3"/>
      <c r="BF36" s="3"/>
      <c r="BG36" s="3"/>
    </row>
    <row r="37" spans="1:59" ht="15">
      <c r="A37" s="66" t="s">
        <v>242</v>
      </c>
      <c r="B37" s="67" t="s">
        <v>4504</v>
      </c>
      <c r="C37" s="67" t="s">
        <v>64</v>
      </c>
      <c r="D37" s="68">
        <v>582</v>
      </c>
      <c r="E37" s="70"/>
      <c r="F37" s="97" t="str">
        <f>HYPERLINK("https://i.ytimg.com/vi/XmG5XD7YDhI/default.jpg")</f>
        <v>https://i.ytimg.com/vi/XmG5XD7YDhI/default.jpg</v>
      </c>
      <c r="G37" s="67"/>
      <c r="H37" s="71" t="s">
        <v>1224</v>
      </c>
      <c r="I37" s="72"/>
      <c r="J37" s="72" t="s">
        <v>75</v>
      </c>
      <c r="K37" s="71" t="s">
        <v>1224</v>
      </c>
      <c r="L37" s="75">
        <v>5777.622222222222</v>
      </c>
      <c r="M37" s="76">
        <v>3642.16845703125</v>
      </c>
      <c r="N37" s="76">
        <v>7941.6064453125</v>
      </c>
      <c r="O37" s="77"/>
      <c r="P37" s="78"/>
      <c r="Q37" s="78"/>
      <c r="R37" s="82"/>
      <c r="S37" s="48">
        <v>26</v>
      </c>
      <c r="T37" s="48">
        <v>35</v>
      </c>
      <c r="U37" s="49">
        <v>1265.126524</v>
      </c>
      <c r="V37" s="49">
        <v>0.002075</v>
      </c>
      <c r="W37" s="49">
        <v>0.014732</v>
      </c>
      <c r="X37" s="49">
        <v>3.268571</v>
      </c>
      <c r="Y37" s="49">
        <v>0.3089731729879741</v>
      </c>
      <c r="Z37" s="49">
        <v>0.2978723404255319</v>
      </c>
      <c r="AA37" s="73">
        <v>37</v>
      </c>
      <c r="AB37" s="73"/>
      <c r="AC37" s="74"/>
      <c r="AD37" s="80" t="s">
        <v>1224</v>
      </c>
      <c r="AE37" s="80" t="s">
        <v>1907</v>
      </c>
      <c r="AF37" s="80" t="s">
        <v>2518</v>
      </c>
      <c r="AG37" s="80" t="s">
        <v>2913</v>
      </c>
      <c r="AH37" s="80" t="s">
        <v>3636</v>
      </c>
      <c r="AI37" s="80">
        <v>4591</v>
      </c>
      <c r="AJ37" s="80">
        <v>1</v>
      </c>
      <c r="AK37" s="80">
        <v>11</v>
      </c>
      <c r="AL37" s="80">
        <v>1</v>
      </c>
      <c r="AM37" s="80" t="s">
        <v>4098</v>
      </c>
      <c r="AN37" s="96" t="str">
        <f>HYPERLINK("https://www.youtube.com/watch?v=XmG5XD7YDhI")</f>
        <v>https://www.youtube.com/watch?v=XmG5XD7YDhI</v>
      </c>
      <c r="AO37" s="80" t="str">
        <f>REPLACE(INDEX(GroupVertices[Group],MATCH(Vertices[[#This Row],[Vertex]],GroupVertices[Vertex],0)),1,1,"")</f>
        <v>1</v>
      </c>
      <c r="AP37" s="48">
        <v>0</v>
      </c>
      <c r="AQ37" s="49">
        <v>0</v>
      </c>
      <c r="AR37" s="48">
        <v>0</v>
      </c>
      <c r="AS37" s="49">
        <v>0</v>
      </c>
      <c r="AT37" s="48">
        <v>0</v>
      </c>
      <c r="AU37" s="49">
        <v>0</v>
      </c>
      <c r="AV37" s="48">
        <v>9</v>
      </c>
      <c r="AW37" s="49">
        <v>100</v>
      </c>
      <c r="AX37" s="48">
        <v>9</v>
      </c>
      <c r="AY37" s="119" t="s">
        <v>4450</v>
      </c>
      <c r="AZ37" s="119" t="s">
        <v>4450</v>
      </c>
      <c r="BA37" s="119" t="s">
        <v>4450</v>
      </c>
      <c r="BB37" s="119" t="s">
        <v>4450</v>
      </c>
      <c r="BC37" s="2"/>
      <c r="BD37" s="3"/>
      <c r="BE37" s="3"/>
      <c r="BF37" s="3"/>
      <c r="BG37" s="3"/>
    </row>
    <row r="38" spans="1:59" ht="15">
      <c r="A38" s="66" t="s">
        <v>219</v>
      </c>
      <c r="B38" s="67" t="s">
        <v>4489</v>
      </c>
      <c r="C38" s="67" t="s">
        <v>56</v>
      </c>
      <c r="D38" s="68">
        <v>98</v>
      </c>
      <c r="E38" s="70"/>
      <c r="F38" s="97" t="str">
        <f>HYPERLINK("https://i.ytimg.com/vi/bXLXHKnDi9s/default.jpg")</f>
        <v>https://i.ytimg.com/vi/bXLXHKnDi9s/default.jpg</v>
      </c>
      <c r="G38" s="67"/>
      <c r="H38" s="71" t="s">
        <v>1031</v>
      </c>
      <c r="I38" s="72"/>
      <c r="J38" s="72" t="s">
        <v>159</v>
      </c>
      <c r="K38" s="71" t="s">
        <v>1031</v>
      </c>
      <c r="L38" s="75">
        <v>889.7111111111111</v>
      </c>
      <c r="M38" s="76">
        <v>7252.33740234375</v>
      </c>
      <c r="N38" s="76">
        <v>6194.59521484375</v>
      </c>
      <c r="O38" s="77"/>
      <c r="P38" s="78"/>
      <c r="Q38" s="78"/>
      <c r="R38" s="82"/>
      <c r="S38" s="48">
        <v>4</v>
      </c>
      <c r="T38" s="48">
        <v>41</v>
      </c>
      <c r="U38" s="49">
        <v>1247.354134</v>
      </c>
      <c r="V38" s="49">
        <v>0.001965</v>
      </c>
      <c r="W38" s="49">
        <v>0.012853</v>
      </c>
      <c r="X38" s="49">
        <v>2.898136</v>
      </c>
      <c r="Y38" s="49">
        <v>0.30914634146341463</v>
      </c>
      <c r="Z38" s="49">
        <v>0.0975609756097561</v>
      </c>
      <c r="AA38" s="73">
        <v>38</v>
      </c>
      <c r="AB38" s="73"/>
      <c r="AC38" s="74"/>
      <c r="AD38" s="80" t="s">
        <v>1031</v>
      </c>
      <c r="AE38" s="80"/>
      <c r="AF38" s="80" t="s">
        <v>2375</v>
      </c>
      <c r="AG38" s="80" t="s">
        <v>2960</v>
      </c>
      <c r="AH38" s="80" t="s">
        <v>3446</v>
      </c>
      <c r="AI38" s="80">
        <v>0</v>
      </c>
      <c r="AJ38" s="80">
        <v>0</v>
      </c>
      <c r="AK38" s="80">
        <v>5</v>
      </c>
      <c r="AL38" s="80">
        <v>0</v>
      </c>
      <c r="AM38" s="80" t="s">
        <v>4098</v>
      </c>
      <c r="AN38" s="96" t="str">
        <f>HYPERLINK("https://www.youtube.com/watch?v=bXLXHKnDi9s")</f>
        <v>https://www.youtube.com/watch?v=bXLXHKnDi9s</v>
      </c>
      <c r="AO38" s="80" t="str">
        <f>REPLACE(INDEX(GroupVertices[Group],MATCH(Vertices[[#This Row],[Vertex]],GroupVertices[Vertex],0)),1,1,"")</f>
        <v>3</v>
      </c>
      <c r="AP38" s="48">
        <v>0</v>
      </c>
      <c r="AQ38" s="49">
        <v>0</v>
      </c>
      <c r="AR38" s="48">
        <v>0</v>
      </c>
      <c r="AS38" s="49">
        <v>0</v>
      </c>
      <c r="AT38" s="48">
        <v>0</v>
      </c>
      <c r="AU38" s="49">
        <v>0</v>
      </c>
      <c r="AV38" s="48">
        <v>5</v>
      </c>
      <c r="AW38" s="49">
        <v>100</v>
      </c>
      <c r="AX38" s="48">
        <v>5</v>
      </c>
      <c r="AY38" s="119" t="s">
        <v>4450</v>
      </c>
      <c r="AZ38" s="119" t="s">
        <v>4450</v>
      </c>
      <c r="BA38" s="119" t="s">
        <v>4450</v>
      </c>
      <c r="BB38" s="119" t="s">
        <v>4450</v>
      </c>
      <c r="BC38" s="2"/>
      <c r="BD38" s="3"/>
      <c r="BE38" s="3"/>
      <c r="BF38" s="3"/>
      <c r="BG38" s="3"/>
    </row>
    <row r="39" spans="1:59" ht="15">
      <c r="A39" s="66" t="s">
        <v>233</v>
      </c>
      <c r="B39" s="67" t="s">
        <v>4455</v>
      </c>
      <c r="C39" s="67" t="s">
        <v>64</v>
      </c>
      <c r="D39" s="68">
        <v>472</v>
      </c>
      <c r="E39" s="70"/>
      <c r="F39" s="97" t="str">
        <f>HYPERLINK("https://i.ytimg.com/vi/lbb2lMCSg64/default.jpg")</f>
        <v>https://i.ytimg.com/vi/lbb2lMCSg64/default.jpg</v>
      </c>
      <c r="G39" s="67"/>
      <c r="H39" s="71" t="s">
        <v>1282</v>
      </c>
      <c r="I39" s="72"/>
      <c r="J39" s="72" t="s">
        <v>75</v>
      </c>
      <c r="K39" s="71" t="s">
        <v>1282</v>
      </c>
      <c r="L39" s="75">
        <v>4666.733333333334</v>
      </c>
      <c r="M39" s="76">
        <v>3575.08154296875</v>
      </c>
      <c r="N39" s="76">
        <v>2055.453125</v>
      </c>
      <c r="O39" s="77"/>
      <c r="P39" s="78"/>
      <c r="Q39" s="78"/>
      <c r="R39" s="82"/>
      <c r="S39" s="48">
        <v>21</v>
      </c>
      <c r="T39" s="48">
        <v>48</v>
      </c>
      <c r="U39" s="49">
        <v>1233.05908</v>
      </c>
      <c r="V39" s="49">
        <v>0.002058</v>
      </c>
      <c r="W39" s="49">
        <v>0.015703</v>
      </c>
      <c r="X39" s="49">
        <v>3.355661</v>
      </c>
      <c r="Y39" s="49">
        <v>0.30122448979591837</v>
      </c>
      <c r="Z39" s="49">
        <v>0.38</v>
      </c>
      <c r="AA39" s="73">
        <v>39</v>
      </c>
      <c r="AB39" s="73"/>
      <c r="AC39" s="74"/>
      <c r="AD39" s="80" t="s">
        <v>1282</v>
      </c>
      <c r="AE39" s="80" t="s">
        <v>1956</v>
      </c>
      <c r="AF39" s="80" t="s">
        <v>2563</v>
      </c>
      <c r="AG39" s="80" t="s">
        <v>2907</v>
      </c>
      <c r="AH39" s="80" t="s">
        <v>3694</v>
      </c>
      <c r="AI39" s="80">
        <v>2233</v>
      </c>
      <c r="AJ39" s="80">
        <v>4</v>
      </c>
      <c r="AK39" s="80">
        <v>23</v>
      </c>
      <c r="AL39" s="80">
        <v>0</v>
      </c>
      <c r="AM39" s="80" t="s">
        <v>4098</v>
      </c>
      <c r="AN39" s="96" t="str">
        <f>HYPERLINK("https://www.youtube.com/watch?v=lbb2lMCSg64")</f>
        <v>https://www.youtube.com/watch?v=lbb2lMCSg64</v>
      </c>
      <c r="AO39" s="80" t="str">
        <f>REPLACE(INDEX(GroupVertices[Group],MATCH(Vertices[[#This Row],[Vertex]],GroupVertices[Vertex],0)),1,1,"")</f>
        <v>2</v>
      </c>
      <c r="AP39" s="48">
        <v>0</v>
      </c>
      <c r="AQ39" s="49">
        <v>0</v>
      </c>
      <c r="AR39" s="48">
        <v>0</v>
      </c>
      <c r="AS39" s="49">
        <v>0</v>
      </c>
      <c r="AT39" s="48">
        <v>0</v>
      </c>
      <c r="AU39" s="49">
        <v>0</v>
      </c>
      <c r="AV39" s="48">
        <v>25</v>
      </c>
      <c r="AW39" s="49">
        <v>100</v>
      </c>
      <c r="AX39" s="48">
        <v>25</v>
      </c>
      <c r="AY39" s="119" t="s">
        <v>4450</v>
      </c>
      <c r="AZ39" s="119" t="s">
        <v>4450</v>
      </c>
      <c r="BA39" s="119" t="s">
        <v>4450</v>
      </c>
      <c r="BB39" s="119" t="s">
        <v>4450</v>
      </c>
      <c r="BC39" s="2"/>
      <c r="BD39" s="3"/>
      <c r="BE39" s="3"/>
      <c r="BF39" s="3"/>
      <c r="BG39" s="3"/>
    </row>
    <row r="40" spans="1:59" ht="15">
      <c r="A40" s="66" t="s">
        <v>221</v>
      </c>
      <c r="B40" s="67" t="s">
        <v>4491</v>
      </c>
      <c r="C40" s="67" t="s">
        <v>64</v>
      </c>
      <c r="D40" s="68">
        <v>318</v>
      </c>
      <c r="E40" s="70"/>
      <c r="F40" s="97" t="str">
        <f>HYPERLINK("https://i.ytimg.com/vi/6syIwTVbrt0/default.jpg")</f>
        <v>https://i.ytimg.com/vi/6syIwTVbrt0/default.jpg</v>
      </c>
      <c r="G40" s="67"/>
      <c r="H40" s="71" t="s">
        <v>1052</v>
      </c>
      <c r="I40" s="72"/>
      <c r="J40" s="72" t="s">
        <v>75</v>
      </c>
      <c r="K40" s="71" t="s">
        <v>1052</v>
      </c>
      <c r="L40" s="75">
        <v>3111.488888888889</v>
      </c>
      <c r="M40" s="76">
        <v>2172.501220703125</v>
      </c>
      <c r="N40" s="76">
        <v>1791.811279296875</v>
      </c>
      <c r="O40" s="77"/>
      <c r="P40" s="78"/>
      <c r="Q40" s="78"/>
      <c r="R40" s="82"/>
      <c r="S40" s="48">
        <v>14</v>
      </c>
      <c r="T40" s="48">
        <v>39</v>
      </c>
      <c r="U40" s="49">
        <v>1228.925631</v>
      </c>
      <c r="V40" s="49">
        <v>0.001961</v>
      </c>
      <c r="W40" s="49">
        <v>0.012367</v>
      </c>
      <c r="X40" s="49">
        <v>2.925726</v>
      </c>
      <c r="Y40" s="49">
        <v>0.2914634146341463</v>
      </c>
      <c r="Z40" s="49">
        <v>0.2926829268292683</v>
      </c>
      <c r="AA40" s="73">
        <v>40</v>
      </c>
      <c r="AB40" s="73"/>
      <c r="AC40" s="74"/>
      <c r="AD40" s="80" t="s">
        <v>1052</v>
      </c>
      <c r="AE40" s="80" t="s">
        <v>1764</v>
      </c>
      <c r="AF40" s="80"/>
      <c r="AG40" s="80" t="s">
        <v>2975</v>
      </c>
      <c r="AH40" s="80" t="s">
        <v>3467</v>
      </c>
      <c r="AI40" s="80">
        <v>1047</v>
      </c>
      <c r="AJ40" s="80">
        <v>0</v>
      </c>
      <c r="AK40" s="80">
        <v>8</v>
      </c>
      <c r="AL40" s="80">
        <v>0</v>
      </c>
      <c r="AM40" s="80" t="s">
        <v>4098</v>
      </c>
      <c r="AN40" s="96" t="str">
        <f>HYPERLINK("https://www.youtube.com/watch?v=6syIwTVbrt0")</f>
        <v>https://www.youtube.com/watch?v=6syIwTVbrt0</v>
      </c>
      <c r="AO40" s="80" t="str">
        <f>REPLACE(INDEX(GroupVertices[Group],MATCH(Vertices[[#This Row],[Vertex]],GroupVertices[Vertex],0)),1,1,"")</f>
        <v>2</v>
      </c>
      <c r="AP40" s="48"/>
      <c r="AQ40" s="49"/>
      <c r="AR40" s="48"/>
      <c r="AS40" s="49"/>
      <c r="AT40" s="48"/>
      <c r="AU40" s="49"/>
      <c r="AV40" s="48"/>
      <c r="AW40" s="49"/>
      <c r="AX40" s="48"/>
      <c r="AY40" s="119" t="s">
        <v>4450</v>
      </c>
      <c r="AZ40" s="119" t="s">
        <v>4450</v>
      </c>
      <c r="BA40" s="119" t="s">
        <v>4450</v>
      </c>
      <c r="BB40" s="119" t="s">
        <v>4450</v>
      </c>
      <c r="BC40" s="2"/>
      <c r="BD40" s="3"/>
      <c r="BE40" s="3"/>
      <c r="BF40" s="3"/>
      <c r="BG40" s="3"/>
    </row>
    <row r="41" spans="1:59" ht="15">
      <c r="A41" s="66" t="s">
        <v>238</v>
      </c>
      <c r="B41" s="67" t="s">
        <v>4457</v>
      </c>
      <c r="C41" s="67" t="s">
        <v>64</v>
      </c>
      <c r="D41" s="68">
        <v>648</v>
      </c>
      <c r="E41" s="70"/>
      <c r="F41" s="97" t="str">
        <f>HYPERLINK("https://i.ytimg.com/vi/9YcbpzQ3f8I/default.jpg")</f>
        <v>https://i.ytimg.com/vi/9YcbpzQ3f8I/default.jpg</v>
      </c>
      <c r="G41" s="67"/>
      <c r="H41" s="71" t="s">
        <v>1233</v>
      </c>
      <c r="I41" s="72"/>
      <c r="J41" s="72" t="s">
        <v>75</v>
      </c>
      <c r="K41" s="71" t="s">
        <v>1233</v>
      </c>
      <c r="L41" s="75">
        <v>6444.155555555555</v>
      </c>
      <c r="M41" s="76">
        <v>3116.196044921875</v>
      </c>
      <c r="N41" s="76">
        <v>2304.99853515625</v>
      </c>
      <c r="O41" s="77"/>
      <c r="P41" s="78"/>
      <c r="Q41" s="78"/>
      <c r="R41" s="82"/>
      <c r="S41" s="48">
        <v>29</v>
      </c>
      <c r="T41" s="48">
        <v>47</v>
      </c>
      <c r="U41" s="49">
        <v>1216.282679</v>
      </c>
      <c r="V41" s="49">
        <v>0.002123</v>
      </c>
      <c r="W41" s="49">
        <v>0.01773</v>
      </c>
      <c r="X41" s="49">
        <v>3.754668</v>
      </c>
      <c r="Y41" s="49">
        <v>0.30194805194805197</v>
      </c>
      <c r="Z41" s="49">
        <v>0.35714285714285715</v>
      </c>
      <c r="AA41" s="73">
        <v>41</v>
      </c>
      <c r="AB41" s="73"/>
      <c r="AC41" s="74"/>
      <c r="AD41" s="80" t="s">
        <v>1233</v>
      </c>
      <c r="AE41" s="80"/>
      <c r="AF41" s="80"/>
      <c r="AG41" s="80" t="s">
        <v>2904</v>
      </c>
      <c r="AH41" s="80" t="s">
        <v>3645</v>
      </c>
      <c r="AI41" s="80">
        <v>2595</v>
      </c>
      <c r="AJ41" s="80">
        <v>0</v>
      </c>
      <c r="AK41" s="80">
        <v>13</v>
      </c>
      <c r="AL41" s="80">
        <v>0</v>
      </c>
      <c r="AM41" s="80" t="s">
        <v>4098</v>
      </c>
      <c r="AN41" s="96" t="str">
        <f>HYPERLINK("https://www.youtube.com/watch?v=9YcbpzQ3f8I")</f>
        <v>https://www.youtube.com/watch?v=9YcbpzQ3f8I</v>
      </c>
      <c r="AO41" s="80" t="str">
        <f>REPLACE(INDEX(GroupVertices[Group],MATCH(Vertices[[#This Row],[Vertex]],GroupVertices[Vertex],0)),1,1,"")</f>
        <v>2</v>
      </c>
      <c r="AP41" s="48"/>
      <c r="AQ41" s="49"/>
      <c r="AR41" s="48"/>
      <c r="AS41" s="49"/>
      <c r="AT41" s="48"/>
      <c r="AU41" s="49"/>
      <c r="AV41" s="48"/>
      <c r="AW41" s="49"/>
      <c r="AX41" s="48"/>
      <c r="AY41" s="119" t="s">
        <v>4450</v>
      </c>
      <c r="AZ41" s="119" t="s">
        <v>4450</v>
      </c>
      <c r="BA41" s="119" t="s">
        <v>4450</v>
      </c>
      <c r="BB41" s="119" t="s">
        <v>4450</v>
      </c>
      <c r="BC41" s="2"/>
      <c r="BD41" s="3"/>
      <c r="BE41" s="3"/>
      <c r="BF41" s="3"/>
      <c r="BG41" s="3"/>
    </row>
    <row r="42" spans="1:59" ht="15">
      <c r="A42" s="66" t="s">
        <v>230</v>
      </c>
      <c r="B42" s="120" t="s">
        <v>4505</v>
      </c>
      <c r="C42" s="120" t="s">
        <v>56</v>
      </c>
      <c r="D42" s="121">
        <v>10</v>
      </c>
      <c r="E42" s="122"/>
      <c r="F42" s="97" t="str">
        <f>HYPERLINK("https://i.ytimg.com/vi/mjAq8eA7uOM/default.jpg")</f>
        <v>https://i.ytimg.com/vi/mjAq8eA7uOM/default.jpg</v>
      </c>
      <c r="G42" s="120"/>
      <c r="H42" s="123" t="s">
        <v>1203</v>
      </c>
      <c r="I42" s="124"/>
      <c r="J42" s="124" t="s">
        <v>159</v>
      </c>
      <c r="K42" s="123" t="s">
        <v>1203</v>
      </c>
      <c r="L42" s="125">
        <v>1</v>
      </c>
      <c r="M42" s="126">
        <v>2070.786865234375</v>
      </c>
      <c r="N42" s="126">
        <v>1916.8765869140625</v>
      </c>
      <c r="O42" s="127"/>
      <c r="P42" s="128"/>
      <c r="Q42" s="128"/>
      <c r="R42" s="129"/>
      <c r="S42" s="48">
        <v>0</v>
      </c>
      <c r="T42" s="48">
        <v>34</v>
      </c>
      <c r="U42" s="49">
        <v>1044.103462</v>
      </c>
      <c r="V42" s="49">
        <v>0.00189</v>
      </c>
      <c r="W42" s="49">
        <v>0.01019</v>
      </c>
      <c r="X42" s="49">
        <v>2.47864</v>
      </c>
      <c r="Y42" s="49">
        <v>0.27629233511586454</v>
      </c>
      <c r="Z42" s="49">
        <v>0</v>
      </c>
      <c r="AA42" s="130">
        <v>42</v>
      </c>
      <c r="AB42" s="130"/>
      <c r="AC42" s="74"/>
      <c r="AD42" s="80" t="s">
        <v>1203</v>
      </c>
      <c r="AE42" s="80" t="s">
        <v>1887</v>
      </c>
      <c r="AF42" s="80" t="s">
        <v>2501</v>
      </c>
      <c r="AG42" s="80" t="s">
        <v>1245</v>
      </c>
      <c r="AH42" s="80" t="s">
        <v>3615</v>
      </c>
      <c r="AI42" s="80">
        <v>1857</v>
      </c>
      <c r="AJ42" s="80">
        <v>0</v>
      </c>
      <c r="AK42" s="80">
        <v>13</v>
      </c>
      <c r="AL42" s="80">
        <v>0</v>
      </c>
      <c r="AM42" s="80" t="s">
        <v>4098</v>
      </c>
      <c r="AN42" s="96" t="str">
        <f>HYPERLINK("https://www.youtube.com/watch?v=mjAq8eA7uOM")</f>
        <v>https://www.youtube.com/watch?v=mjAq8eA7uOM</v>
      </c>
      <c r="AO42" s="80" t="str">
        <f>REPLACE(INDEX(GroupVertices[Group],MATCH(Vertices[[#This Row],[Vertex]],GroupVertices[Vertex],0)),1,1,"")</f>
        <v>2</v>
      </c>
      <c r="AP42" s="48">
        <v>0</v>
      </c>
      <c r="AQ42" s="49">
        <v>0</v>
      </c>
      <c r="AR42" s="48">
        <v>0</v>
      </c>
      <c r="AS42" s="49">
        <v>0</v>
      </c>
      <c r="AT42" s="48">
        <v>0</v>
      </c>
      <c r="AU42" s="49">
        <v>0</v>
      </c>
      <c r="AV42" s="48">
        <v>5</v>
      </c>
      <c r="AW42" s="49">
        <v>100</v>
      </c>
      <c r="AX42" s="48">
        <v>5</v>
      </c>
      <c r="AY42" s="119" t="s">
        <v>4450</v>
      </c>
      <c r="AZ42" s="119" t="s">
        <v>4450</v>
      </c>
      <c r="BA42" s="119" t="s">
        <v>4450</v>
      </c>
      <c r="BB42" s="119" t="s">
        <v>4450</v>
      </c>
      <c r="BC42" s="2"/>
      <c r="BD42" s="3"/>
      <c r="BE42" s="3"/>
      <c r="BF42" s="3"/>
      <c r="BG42" s="3"/>
    </row>
    <row r="43" spans="1:59" ht="15">
      <c r="A43" s="66" t="s">
        <v>250</v>
      </c>
      <c r="B43" s="67" t="s">
        <v>4494</v>
      </c>
      <c r="C43" s="67" t="s">
        <v>64</v>
      </c>
      <c r="D43" s="68">
        <v>626</v>
      </c>
      <c r="E43" s="70"/>
      <c r="F43" s="97" t="str">
        <f>HYPERLINK("https://i.ytimg.com/vi/AyMwPYpmYng/default.jpg")</f>
        <v>https://i.ytimg.com/vi/AyMwPYpmYng/default.jpg</v>
      </c>
      <c r="G43" s="67"/>
      <c r="H43" s="71" t="s">
        <v>1244</v>
      </c>
      <c r="I43" s="72"/>
      <c r="J43" s="72" t="s">
        <v>75</v>
      </c>
      <c r="K43" s="71" t="s">
        <v>1244</v>
      </c>
      <c r="L43" s="75">
        <v>6221.977777777778</v>
      </c>
      <c r="M43" s="76">
        <v>3586.754150390625</v>
      </c>
      <c r="N43" s="76">
        <v>2301.715087890625</v>
      </c>
      <c r="O43" s="77"/>
      <c r="P43" s="78"/>
      <c r="Q43" s="78"/>
      <c r="R43" s="82"/>
      <c r="S43" s="48">
        <v>28</v>
      </c>
      <c r="T43" s="48">
        <v>46</v>
      </c>
      <c r="U43" s="49">
        <v>1016.116952</v>
      </c>
      <c r="V43" s="49">
        <v>0.002053</v>
      </c>
      <c r="W43" s="49">
        <v>0.016461</v>
      </c>
      <c r="X43" s="49">
        <v>3.403946</v>
      </c>
      <c r="Y43" s="49">
        <v>0.3227450980392157</v>
      </c>
      <c r="Z43" s="49">
        <v>0.45098039215686275</v>
      </c>
      <c r="AA43" s="73">
        <v>43</v>
      </c>
      <c r="AB43" s="73"/>
      <c r="AC43" s="74"/>
      <c r="AD43" s="80" t="s">
        <v>1244</v>
      </c>
      <c r="AE43" s="80" t="s">
        <v>1926</v>
      </c>
      <c r="AF43" s="80" t="s">
        <v>2533</v>
      </c>
      <c r="AG43" s="80" t="s">
        <v>2907</v>
      </c>
      <c r="AH43" s="80" t="s">
        <v>3656</v>
      </c>
      <c r="AI43" s="80">
        <v>7056</v>
      </c>
      <c r="AJ43" s="80">
        <v>5</v>
      </c>
      <c r="AK43" s="80">
        <v>47</v>
      </c>
      <c r="AL43" s="80">
        <v>0</v>
      </c>
      <c r="AM43" s="80" t="s">
        <v>4098</v>
      </c>
      <c r="AN43" s="96" t="str">
        <f>HYPERLINK("https://www.youtube.com/watch?v=AyMwPYpmYng")</f>
        <v>https://www.youtube.com/watch?v=AyMwPYpmYng</v>
      </c>
      <c r="AO43" s="80" t="str">
        <f>REPLACE(INDEX(GroupVertices[Group],MATCH(Vertices[[#This Row],[Vertex]],GroupVertices[Vertex],0)),1,1,"")</f>
        <v>2</v>
      </c>
      <c r="AP43" s="48">
        <v>0</v>
      </c>
      <c r="AQ43" s="49">
        <v>0</v>
      </c>
      <c r="AR43" s="48">
        <v>0</v>
      </c>
      <c r="AS43" s="49">
        <v>0</v>
      </c>
      <c r="AT43" s="48">
        <v>0</v>
      </c>
      <c r="AU43" s="49">
        <v>0</v>
      </c>
      <c r="AV43" s="48">
        <v>18</v>
      </c>
      <c r="AW43" s="49">
        <v>100</v>
      </c>
      <c r="AX43" s="48">
        <v>18</v>
      </c>
      <c r="AY43" s="119" t="s">
        <v>4450</v>
      </c>
      <c r="AZ43" s="119" t="s">
        <v>4450</v>
      </c>
      <c r="BA43" s="119" t="s">
        <v>4450</v>
      </c>
      <c r="BB43" s="119" t="s">
        <v>4450</v>
      </c>
      <c r="BC43" s="2"/>
      <c r="BD43" s="3"/>
      <c r="BE43" s="3"/>
      <c r="BF43" s="3"/>
      <c r="BG43" s="3"/>
    </row>
    <row r="44" spans="1:59" ht="15">
      <c r="A44" s="66" t="s">
        <v>232</v>
      </c>
      <c r="B44" s="67" t="s">
        <v>4502</v>
      </c>
      <c r="C44" s="67" t="s">
        <v>64</v>
      </c>
      <c r="D44" s="68">
        <v>252</v>
      </c>
      <c r="E44" s="70"/>
      <c r="F44" s="97" t="str">
        <f>HYPERLINK("https://i.ytimg.com/vi/x9IzmOWAlnA/default.jpg")</f>
        <v>https://i.ytimg.com/vi/x9IzmOWAlnA/default.jpg</v>
      </c>
      <c r="G44" s="67"/>
      <c r="H44" s="71" t="s">
        <v>1261</v>
      </c>
      <c r="I44" s="72"/>
      <c r="J44" s="72" t="s">
        <v>75</v>
      </c>
      <c r="K44" s="71" t="s">
        <v>1261</v>
      </c>
      <c r="L44" s="75">
        <v>2444.9555555555557</v>
      </c>
      <c r="M44" s="76">
        <v>2238.7744140625</v>
      </c>
      <c r="N44" s="76">
        <v>7829.86767578125</v>
      </c>
      <c r="O44" s="77"/>
      <c r="P44" s="78"/>
      <c r="Q44" s="78"/>
      <c r="R44" s="82"/>
      <c r="S44" s="48">
        <v>11</v>
      </c>
      <c r="T44" s="48">
        <v>19</v>
      </c>
      <c r="U44" s="49">
        <v>931.908799</v>
      </c>
      <c r="V44" s="49">
        <v>0.001773</v>
      </c>
      <c r="W44" s="49">
        <v>0.005481</v>
      </c>
      <c r="X44" s="49">
        <v>2.199319</v>
      </c>
      <c r="Y44" s="49">
        <v>0.16307692307692306</v>
      </c>
      <c r="Z44" s="49">
        <v>0.15384615384615385</v>
      </c>
      <c r="AA44" s="73">
        <v>44</v>
      </c>
      <c r="AB44" s="73"/>
      <c r="AC44" s="74"/>
      <c r="AD44" s="80" t="s">
        <v>1261</v>
      </c>
      <c r="AE44" s="80" t="s">
        <v>1261</v>
      </c>
      <c r="AF44" s="80" t="s">
        <v>2411</v>
      </c>
      <c r="AG44" s="80" t="s">
        <v>2985</v>
      </c>
      <c r="AH44" s="80" t="s">
        <v>3673</v>
      </c>
      <c r="AI44" s="80">
        <v>2124</v>
      </c>
      <c r="AJ44" s="80">
        <v>1</v>
      </c>
      <c r="AK44" s="80">
        <v>23</v>
      </c>
      <c r="AL44" s="80">
        <v>0</v>
      </c>
      <c r="AM44" s="80" t="s">
        <v>4098</v>
      </c>
      <c r="AN44" s="96" t="str">
        <f>HYPERLINK("https://www.youtube.com/watch?v=x9IzmOWAlnA")</f>
        <v>https://www.youtube.com/watch?v=x9IzmOWAlnA</v>
      </c>
      <c r="AO44" s="80" t="str">
        <f>REPLACE(INDEX(GroupVertices[Group],MATCH(Vertices[[#This Row],[Vertex]],GroupVertices[Vertex],0)),1,1,"")</f>
        <v>1</v>
      </c>
      <c r="AP44" s="48">
        <v>0</v>
      </c>
      <c r="AQ44" s="49">
        <v>0</v>
      </c>
      <c r="AR44" s="48">
        <v>0</v>
      </c>
      <c r="AS44" s="49">
        <v>0</v>
      </c>
      <c r="AT44" s="48">
        <v>0</v>
      </c>
      <c r="AU44" s="49">
        <v>0</v>
      </c>
      <c r="AV44" s="48">
        <v>6</v>
      </c>
      <c r="AW44" s="49">
        <v>100</v>
      </c>
      <c r="AX44" s="48">
        <v>6</v>
      </c>
      <c r="AY44" s="119" t="s">
        <v>4450</v>
      </c>
      <c r="AZ44" s="119" t="s">
        <v>4450</v>
      </c>
      <c r="BA44" s="119" t="s">
        <v>4450</v>
      </c>
      <c r="BB44" s="119" t="s">
        <v>4450</v>
      </c>
      <c r="BC44" s="2"/>
      <c r="BD44" s="3"/>
      <c r="BE44" s="3"/>
      <c r="BF44" s="3"/>
      <c r="BG44" s="3"/>
    </row>
    <row r="45" spans="1:59" ht="15">
      <c r="A45" s="66" t="s">
        <v>249</v>
      </c>
      <c r="B45" s="67" t="s">
        <v>4455</v>
      </c>
      <c r="C45" s="67" t="s">
        <v>64</v>
      </c>
      <c r="D45" s="68">
        <v>670</v>
      </c>
      <c r="E45" s="70"/>
      <c r="F45" s="97" t="str">
        <f>HYPERLINK("https://i.ytimg.com/vi/Gs4NPuKIXdo/default.jpg")</f>
        <v>https://i.ytimg.com/vi/Gs4NPuKIXdo/default.jpg</v>
      </c>
      <c r="G45" s="67"/>
      <c r="H45" s="71" t="s">
        <v>1242</v>
      </c>
      <c r="I45" s="72"/>
      <c r="J45" s="72" t="s">
        <v>75</v>
      </c>
      <c r="K45" s="71" t="s">
        <v>1242</v>
      </c>
      <c r="L45" s="75">
        <v>6666.333333333333</v>
      </c>
      <c r="M45" s="76">
        <v>3364.8701171875</v>
      </c>
      <c r="N45" s="76">
        <v>2574.7099609375</v>
      </c>
      <c r="O45" s="77"/>
      <c r="P45" s="78"/>
      <c r="Q45" s="78"/>
      <c r="R45" s="82"/>
      <c r="S45" s="48">
        <v>30</v>
      </c>
      <c r="T45" s="48">
        <v>49</v>
      </c>
      <c r="U45" s="49">
        <v>793.193946</v>
      </c>
      <c r="V45" s="49">
        <v>0.002096</v>
      </c>
      <c r="W45" s="49">
        <v>0.017533</v>
      </c>
      <c r="X45" s="49">
        <v>3.515312</v>
      </c>
      <c r="Y45" s="49">
        <v>0.3204053109713487</v>
      </c>
      <c r="Z45" s="49">
        <v>0.46296296296296297</v>
      </c>
      <c r="AA45" s="73">
        <v>45</v>
      </c>
      <c r="AB45" s="73"/>
      <c r="AC45" s="74"/>
      <c r="AD45" s="80" t="s">
        <v>1242</v>
      </c>
      <c r="AE45" s="80" t="s">
        <v>1924</v>
      </c>
      <c r="AF45" s="80" t="s">
        <v>2532</v>
      </c>
      <c r="AG45" s="80" t="s">
        <v>2907</v>
      </c>
      <c r="AH45" s="80" t="s">
        <v>3654</v>
      </c>
      <c r="AI45" s="80">
        <v>6982</v>
      </c>
      <c r="AJ45" s="80">
        <v>14</v>
      </c>
      <c r="AK45" s="80">
        <v>27</v>
      </c>
      <c r="AL45" s="80">
        <v>0</v>
      </c>
      <c r="AM45" s="80" t="s">
        <v>4098</v>
      </c>
      <c r="AN45" s="96" t="str">
        <f>HYPERLINK("https://www.youtube.com/watch?v=Gs4NPuKIXdo")</f>
        <v>https://www.youtube.com/watch?v=Gs4NPuKIXdo</v>
      </c>
      <c r="AO45" s="80" t="str">
        <f>REPLACE(INDEX(GroupVertices[Group],MATCH(Vertices[[#This Row],[Vertex]],GroupVertices[Vertex],0)),1,1,"")</f>
        <v>2</v>
      </c>
      <c r="AP45" s="48">
        <v>0</v>
      </c>
      <c r="AQ45" s="49">
        <v>0</v>
      </c>
      <c r="AR45" s="48">
        <v>0</v>
      </c>
      <c r="AS45" s="49">
        <v>0</v>
      </c>
      <c r="AT45" s="48">
        <v>0</v>
      </c>
      <c r="AU45" s="49">
        <v>0</v>
      </c>
      <c r="AV45" s="48">
        <v>10</v>
      </c>
      <c r="AW45" s="49">
        <v>100</v>
      </c>
      <c r="AX45" s="48">
        <v>10</v>
      </c>
      <c r="AY45" s="119" t="s">
        <v>4450</v>
      </c>
      <c r="AZ45" s="119" t="s">
        <v>4450</v>
      </c>
      <c r="BA45" s="119" t="s">
        <v>4450</v>
      </c>
      <c r="BB45" s="119" t="s">
        <v>4450</v>
      </c>
      <c r="BC45" s="2"/>
      <c r="BD45" s="3"/>
      <c r="BE45" s="3"/>
      <c r="BF45" s="3"/>
      <c r="BG45" s="3"/>
    </row>
    <row r="46" spans="1:59" ht="15">
      <c r="A46" s="66" t="s">
        <v>220</v>
      </c>
      <c r="B46" s="67" t="s">
        <v>4490</v>
      </c>
      <c r="C46" s="67" t="s">
        <v>64</v>
      </c>
      <c r="D46" s="68">
        <v>494</v>
      </c>
      <c r="E46" s="70"/>
      <c r="F46" s="97" t="str">
        <f>HYPERLINK("https://i.ytimg.com/vi/leNjC1CQiow/default.jpg")</f>
        <v>https://i.ytimg.com/vi/leNjC1CQiow/default.jpg</v>
      </c>
      <c r="G46" s="67"/>
      <c r="H46" s="71" t="s">
        <v>1041</v>
      </c>
      <c r="I46" s="72"/>
      <c r="J46" s="72" t="s">
        <v>75</v>
      </c>
      <c r="K46" s="71" t="s">
        <v>1041</v>
      </c>
      <c r="L46" s="75">
        <v>4888.9111111111115</v>
      </c>
      <c r="M46" s="76">
        <v>2746.456787109375</v>
      </c>
      <c r="N46" s="76">
        <v>2059.5224609375</v>
      </c>
      <c r="O46" s="77"/>
      <c r="P46" s="78"/>
      <c r="Q46" s="78"/>
      <c r="R46" s="82"/>
      <c r="S46" s="48">
        <v>22</v>
      </c>
      <c r="T46" s="48">
        <v>40</v>
      </c>
      <c r="U46" s="49">
        <v>729.284504</v>
      </c>
      <c r="V46" s="49">
        <v>0.001976</v>
      </c>
      <c r="W46" s="49">
        <v>0.014449</v>
      </c>
      <c r="X46" s="49">
        <v>2.901066</v>
      </c>
      <c r="Y46" s="49">
        <v>0.3637873754152824</v>
      </c>
      <c r="Z46" s="49">
        <v>0.4418604651162791</v>
      </c>
      <c r="AA46" s="73">
        <v>46</v>
      </c>
      <c r="AB46" s="73"/>
      <c r="AC46" s="74"/>
      <c r="AD46" s="80" t="s">
        <v>1041</v>
      </c>
      <c r="AE46" s="80" t="s">
        <v>1753</v>
      </c>
      <c r="AF46" s="80" t="s">
        <v>2382</v>
      </c>
      <c r="AG46" s="80" t="s">
        <v>2968</v>
      </c>
      <c r="AH46" s="80" t="s">
        <v>3456</v>
      </c>
      <c r="AI46" s="80">
        <v>1050</v>
      </c>
      <c r="AJ46" s="80">
        <v>1</v>
      </c>
      <c r="AK46" s="80">
        <v>13</v>
      </c>
      <c r="AL46" s="80">
        <v>0</v>
      </c>
      <c r="AM46" s="80" t="s">
        <v>4098</v>
      </c>
      <c r="AN46" s="96" t="str">
        <f>HYPERLINK("https://www.youtube.com/watch?v=leNjC1CQiow")</f>
        <v>https://www.youtube.com/watch?v=leNjC1CQiow</v>
      </c>
      <c r="AO46" s="80" t="str">
        <f>REPLACE(INDEX(GroupVertices[Group],MATCH(Vertices[[#This Row],[Vertex]],GroupVertices[Vertex],0)),1,1,"")</f>
        <v>2</v>
      </c>
      <c r="AP46" s="48">
        <v>0</v>
      </c>
      <c r="AQ46" s="49">
        <v>0</v>
      </c>
      <c r="AR46" s="48">
        <v>0</v>
      </c>
      <c r="AS46" s="49">
        <v>0</v>
      </c>
      <c r="AT46" s="48">
        <v>0</v>
      </c>
      <c r="AU46" s="49">
        <v>0</v>
      </c>
      <c r="AV46" s="48">
        <v>7</v>
      </c>
      <c r="AW46" s="49">
        <v>100</v>
      </c>
      <c r="AX46" s="48">
        <v>7</v>
      </c>
      <c r="AY46" s="119" t="s">
        <v>4450</v>
      </c>
      <c r="AZ46" s="119" t="s">
        <v>4450</v>
      </c>
      <c r="BA46" s="119" t="s">
        <v>4450</v>
      </c>
      <c r="BB46" s="119" t="s">
        <v>4450</v>
      </c>
      <c r="BC46" s="2"/>
      <c r="BD46" s="3"/>
      <c r="BE46" s="3"/>
      <c r="BF46" s="3"/>
      <c r="BG46" s="3"/>
    </row>
    <row r="47" spans="1:59" ht="15">
      <c r="A47" s="66" t="s">
        <v>246</v>
      </c>
      <c r="B47" s="67" t="s">
        <v>4457</v>
      </c>
      <c r="C47" s="67" t="s">
        <v>64</v>
      </c>
      <c r="D47" s="68">
        <v>560</v>
      </c>
      <c r="E47" s="70"/>
      <c r="F47" s="97" t="str">
        <f>HYPERLINK("https://i.ytimg.com/vi/1yCjhTuLA1o/default.jpg")</f>
        <v>https://i.ytimg.com/vi/1yCjhTuLA1o/default.jpg</v>
      </c>
      <c r="G47" s="67"/>
      <c r="H47" s="71" t="s">
        <v>1225</v>
      </c>
      <c r="I47" s="72"/>
      <c r="J47" s="72" t="s">
        <v>75</v>
      </c>
      <c r="K47" s="71" t="s">
        <v>1225</v>
      </c>
      <c r="L47" s="75">
        <v>5555.444444444444</v>
      </c>
      <c r="M47" s="76">
        <v>3512.69091796875</v>
      </c>
      <c r="N47" s="76">
        <v>2759.479736328125</v>
      </c>
      <c r="O47" s="77"/>
      <c r="P47" s="78"/>
      <c r="Q47" s="78"/>
      <c r="R47" s="82"/>
      <c r="S47" s="48">
        <v>25</v>
      </c>
      <c r="T47" s="48">
        <v>47</v>
      </c>
      <c r="U47" s="49">
        <v>678.863341</v>
      </c>
      <c r="V47" s="49">
        <v>0.002062</v>
      </c>
      <c r="W47" s="49">
        <v>0.016263</v>
      </c>
      <c r="X47" s="49">
        <v>3.257863</v>
      </c>
      <c r="Y47" s="49">
        <v>0.3240816326530612</v>
      </c>
      <c r="Z47" s="49">
        <v>0.44</v>
      </c>
      <c r="AA47" s="73">
        <v>47</v>
      </c>
      <c r="AB47" s="73"/>
      <c r="AC47" s="74"/>
      <c r="AD47" s="80" t="s">
        <v>1225</v>
      </c>
      <c r="AE47" s="80" t="s">
        <v>1908</v>
      </c>
      <c r="AF47" s="80" t="s">
        <v>2519</v>
      </c>
      <c r="AG47" s="80" t="s">
        <v>2907</v>
      </c>
      <c r="AH47" s="80" t="s">
        <v>3637</v>
      </c>
      <c r="AI47" s="80">
        <v>5949</v>
      </c>
      <c r="AJ47" s="80">
        <v>11</v>
      </c>
      <c r="AK47" s="80">
        <v>9</v>
      </c>
      <c r="AL47" s="80">
        <v>0</v>
      </c>
      <c r="AM47" s="80" t="s">
        <v>4098</v>
      </c>
      <c r="AN47" s="96" t="str">
        <f>HYPERLINK("https://www.youtube.com/watch?v=1yCjhTuLA1o")</f>
        <v>https://www.youtube.com/watch?v=1yCjhTuLA1o</v>
      </c>
      <c r="AO47" s="80" t="str">
        <f>REPLACE(INDEX(GroupVertices[Group],MATCH(Vertices[[#This Row],[Vertex]],GroupVertices[Vertex],0)),1,1,"")</f>
        <v>2</v>
      </c>
      <c r="AP47" s="48">
        <v>0</v>
      </c>
      <c r="AQ47" s="49">
        <v>0</v>
      </c>
      <c r="AR47" s="48">
        <v>0</v>
      </c>
      <c r="AS47" s="49">
        <v>0</v>
      </c>
      <c r="AT47" s="48">
        <v>0</v>
      </c>
      <c r="AU47" s="49">
        <v>0</v>
      </c>
      <c r="AV47" s="48">
        <v>3</v>
      </c>
      <c r="AW47" s="49">
        <v>100</v>
      </c>
      <c r="AX47" s="48">
        <v>3</v>
      </c>
      <c r="AY47" s="119" t="s">
        <v>4450</v>
      </c>
      <c r="AZ47" s="119" t="s">
        <v>4450</v>
      </c>
      <c r="BA47" s="119" t="s">
        <v>4450</v>
      </c>
      <c r="BB47" s="119" t="s">
        <v>4450</v>
      </c>
      <c r="BC47" s="2"/>
      <c r="BD47" s="3"/>
      <c r="BE47" s="3"/>
      <c r="BF47" s="3"/>
      <c r="BG47" s="3"/>
    </row>
    <row r="48" spans="1:59" ht="15">
      <c r="A48" s="66" t="s">
        <v>240</v>
      </c>
      <c r="B48" s="67" t="s">
        <v>4493</v>
      </c>
      <c r="C48" s="67" t="s">
        <v>64</v>
      </c>
      <c r="D48" s="68">
        <v>538</v>
      </c>
      <c r="E48" s="70"/>
      <c r="F48" s="97" t="str">
        <f>HYPERLINK("https://i.ytimg.com/vi/0snyC8fNhXo/default.jpg")</f>
        <v>https://i.ytimg.com/vi/0snyC8fNhXo/default.jpg</v>
      </c>
      <c r="G48" s="67"/>
      <c r="H48" s="71" t="s">
        <v>1337</v>
      </c>
      <c r="I48" s="72"/>
      <c r="J48" s="72" t="s">
        <v>75</v>
      </c>
      <c r="K48" s="71" t="s">
        <v>1337</v>
      </c>
      <c r="L48" s="75">
        <v>5333.266666666666</v>
      </c>
      <c r="M48" s="76">
        <v>2281.567138671875</v>
      </c>
      <c r="N48" s="76">
        <v>2308.486572265625</v>
      </c>
      <c r="O48" s="77"/>
      <c r="P48" s="78"/>
      <c r="Q48" s="78"/>
      <c r="R48" s="82"/>
      <c r="S48" s="48">
        <v>24</v>
      </c>
      <c r="T48" s="48">
        <v>45</v>
      </c>
      <c r="U48" s="49">
        <v>652.380917</v>
      </c>
      <c r="V48" s="49">
        <v>0.002079</v>
      </c>
      <c r="W48" s="49">
        <v>0.01603</v>
      </c>
      <c r="X48" s="49">
        <v>3.132232</v>
      </c>
      <c r="Y48" s="49">
        <v>0.3617021276595745</v>
      </c>
      <c r="Z48" s="49">
        <v>0.46808510638297873</v>
      </c>
      <c r="AA48" s="73">
        <v>48</v>
      </c>
      <c r="AB48" s="73"/>
      <c r="AC48" s="74"/>
      <c r="AD48" s="80" t="s">
        <v>1337</v>
      </c>
      <c r="AE48" s="80"/>
      <c r="AF48" s="80"/>
      <c r="AG48" s="80" t="s">
        <v>2904</v>
      </c>
      <c r="AH48" s="80" t="s">
        <v>3748</v>
      </c>
      <c r="AI48" s="80">
        <v>4254</v>
      </c>
      <c r="AJ48" s="80">
        <v>4</v>
      </c>
      <c r="AK48" s="80">
        <v>14</v>
      </c>
      <c r="AL48" s="80">
        <v>0</v>
      </c>
      <c r="AM48" s="80" t="s">
        <v>4098</v>
      </c>
      <c r="AN48" s="96" t="str">
        <f>HYPERLINK("https://www.youtube.com/watch?v=0snyC8fNhXo")</f>
        <v>https://www.youtube.com/watch?v=0snyC8fNhXo</v>
      </c>
      <c r="AO48" s="80" t="str">
        <f>REPLACE(INDEX(GroupVertices[Group],MATCH(Vertices[[#This Row],[Vertex]],GroupVertices[Vertex],0)),1,1,"")</f>
        <v>2</v>
      </c>
      <c r="AP48" s="48"/>
      <c r="AQ48" s="49"/>
      <c r="AR48" s="48"/>
      <c r="AS48" s="49"/>
      <c r="AT48" s="48"/>
      <c r="AU48" s="49"/>
      <c r="AV48" s="48"/>
      <c r="AW48" s="49"/>
      <c r="AX48" s="48"/>
      <c r="AY48" s="119" t="s">
        <v>4450</v>
      </c>
      <c r="AZ48" s="119" t="s">
        <v>4450</v>
      </c>
      <c r="BA48" s="119" t="s">
        <v>4450</v>
      </c>
      <c r="BB48" s="119" t="s">
        <v>4450</v>
      </c>
      <c r="BC48" s="2"/>
      <c r="BD48" s="3"/>
      <c r="BE48" s="3"/>
      <c r="BF48" s="3"/>
      <c r="BG48" s="3"/>
    </row>
    <row r="49" spans="1:59" ht="15">
      <c r="A49" s="66" t="s">
        <v>214</v>
      </c>
      <c r="B49" s="67" t="s">
        <v>4506</v>
      </c>
      <c r="C49" s="67" t="s">
        <v>64</v>
      </c>
      <c r="D49" s="68">
        <v>186</v>
      </c>
      <c r="E49" s="70"/>
      <c r="F49" s="97" t="str">
        <f>HYPERLINK("https://i.ytimg.com/vi/UInc_2jzGM4/default.jpg")</f>
        <v>https://i.ytimg.com/vi/UInc_2jzGM4/default.jpg</v>
      </c>
      <c r="G49" s="67"/>
      <c r="H49" s="71" t="s">
        <v>979</v>
      </c>
      <c r="I49" s="72"/>
      <c r="J49" s="72" t="s">
        <v>75</v>
      </c>
      <c r="K49" s="71" t="s">
        <v>979</v>
      </c>
      <c r="L49" s="75">
        <v>1778.4222222222222</v>
      </c>
      <c r="M49" s="76">
        <v>2579.30615234375</v>
      </c>
      <c r="N49" s="76">
        <v>7933.67138671875</v>
      </c>
      <c r="O49" s="77"/>
      <c r="P49" s="78"/>
      <c r="Q49" s="78"/>
      <c r="R49" s="82"/>
      <c r="S49" s="48">
        <v>8</v>
      </c>
      <c r="T49" s="48">
        <v>12</v>
      </c>
      <c r="U49" s="49">
        <v>337.725249</v>
      </c>
      <c r="V49" s="49">
        <v>0.001709</v>
      </c>
      <c r="W49" s="49">
        <v>0.003901</v>
      </c>
      <c r="X49" s="49">
        <v>1.455615</v>
      </c>
      <c r="Y49" s="49">
        <v>0.16666666666666666</v>
      </c>
      <c r="Z49" s="49">
        <v>0.1111111111111111</v>
      </c>
      <c r="AA49" s="73">
        <v>49</v>
      </c>
      <c r="AB49" s="73"/>
      <c r="AC49" s="74"/>
      <c r="AD49" s="80" t="s">
        <v>979</v>
      </c>
      <c r="AE49" s="80" t="s">
        <v>1702</v>
      </c>
      <c r="AF49" s="80" t="s">
        <v>2334</v>
      </c>
      <c r="AG49" s="80" t="s">
        <v>2913</v>
      </c>
      <c r="AH49" s="80" t="s">
        <v>3394</v>
      </c>
      <c r="AI49" s="80">
        <v>658</v>
      </c>
      <c r="AJ49" s="80">
        <v>0</v>
      </c>
      <c r="AK49" s="80">
        <v>1</v>
      </c>
      <c r="AL49" s="80">
        <v>0</v>
      </c>
      <c r="AM49" s="80" t="s">
        <v>4098</v>
      </c>
      <c r="AN49" s="96" t="str">
        <f>HYPERLINK("https://www.youtube.com/watch?v=UInc_2jzGM4")</f>
        <v>https://www.youtube.com/watch?v=UInc_2jzGM4</v>
      </c>
      <c r="AO49" s="80" t="str">
        <f>REPLACE(INDEX(GroupVertices[Group],MATCH(Vertices[[#This Row],[Vertex]],GroupVertices[Vertex],0)),1,1,"")</f>
        <v>1</v>
      </c>
      <c r="AP49" s="48">
        <v>0</v>
      </c>
      <c r="AQ49" s="49">
        <v>0</v>
      </c>
      <c r="AR49" s="48">
        <v>0</v>
      </c>
      <c r="AS49" s="49">
        <v>0</v>
      </c>
      <c r="AT49" s="48">
        <v>0</v>
      </c>
      <c r="AU49" s="49">
        <v>0</v>
      </c>
      <c r="AV49" s="48">
        <v>7</v>
      </c>
      <c r="AW49" s="49">
        <v>100</v>
      </c>
      <c r="AX49" s="48">
        <v>7</v>
      </c>
      <c r="AY49" s="119" t="s">
        <v>4450</v>
      </c>
      <c r="AZ49" s="119" t="s">
        <v>4450</v>
      </c>
      <c r="BA49" s="119" t="s">
        <v>4450</v>
      </c>
      <c r="BB49" s="119" t="s">
        <v>4450</v>
      </c>
      <c r="BC49" s="2"/>
      <c r="BD49" s="3"/>
      <c r="BE49" s="3"/>
      <c r="BF49" s="3"/>
      <c r="BG49" s="3"/>
    </row>
    <row r="50" spans="1:59" ht="15">
      <c r="A50" s="66" t="s">
        <v>244</v>
      </c>
      <c r="B50" s="67" t="s">
        <v>4507</v>
      </c>
      <c r="C50" s="67" t="s">
        <v>64</v>
      </c>
      <c r="D50" s="68">
        <v>274</v>
      </c>
      <c r="E50" s="70"/>
      <c r="F50" s="97" t="str">
        <f>HYPERLINK("https://i.ytimg.com/vi/GYSgH1g_YQI/default.jpg")</f>
        <v>https://i.ytimg.com/vi/GYSgH1g_YQI/default.jpg</v>
      </c>
      <c r="G50" s="67"/>
      <c r="H50" s="71" t="s">
        <v>1408</v>
      </c>
      <c r="I50" s="72"/>
      <c r="J50" s="72" t="s">
        <v>75</v>
      </c>
      <c r="K50" s="71" t="s">
        <v>1408</v>
      </c>
      <c r="L50" s="75">
        <v>2667.133333333333</v>
      </c>
      <c r="M50" s="76">
        <v>3812.36328125</v>
      </c>
      <c r="N50" s="76">
        <v>2674.921875</v>
      </c>
      <c r="O50" s="77"/>
      <c r="P50" s="78"/>
      <c r="Q50" s="78"/>
      <c r="R50" s="82"/>
      <c r="S50" s="48">
        <v>12</v>
      </c>
      <c r="T50" s="48">
        <v>20</v>
      </c>
      <c r="U50" s="49">
        <v>319.139408</v>
      </c>
      <c r="V50" s="49">
        <v>0.001825</v>
      </c>
      <c r="W50" s="49">
        <v>0.009575</v>
      </c>
      <c r="X50" s="49">
        <v>1.820291</v>
      </c>
      <c r="Y50" s="49">
        <v>0.4676923076923077</v>
      </c>
      <c r="Z50" s="49">
        <v>0.23076923076923078</v>
      </c>
      <c r="AA50" s="73">
        <v>50</v>
      </c>
      <c r="AB50" s="73"/>
      <c r="AC50" s="74"/>
      <c r="AD50" s="80" t="s">
        <v>1408</v>
      </c>
      <c r="AE50" s="80" t="s">
        <v>2068</v>
      </c>
      <c r="AF50" s="80" t="s">
        <v>2659</v>
      </c>
      <c r="AG50" s="80" t="s">
        <v>2948</v>
      </c>
      <c r="AH50" s="80" t="s">
        <v>3820</v>
      </c>
      <c r="AI50" s="80">
        <v>5869</v>
      </c>
      <c r="AJ50" s="80">
        <v>7</v>
      </c>
      <c r="AK50" s="80">
        <v>32</v>
      </c>
      <c r="AL50" s="80">
        <v>0</v>
      </c>
      <c r="AM50" s="80" t="s">
        <v>4098</v>
      </c>
      <c r="AN50" s="96" t="str">
        <f>HYPERLINK("https://www.youtube.com/watch?v=GYSgH1g_YQI")</f>
        <v>https://www.youtube.com/watch?v=GYSgH1g_YQI</v>
      </c>
      <c r="AO50" s="80" t="str">
        <f>REPLACE(INDEX(GroupVertices[Group],MATCH(Vertices[[#This Row],[Vertex]],GroupVertices[Vertex],0)),1,1,"")</f>
        <v>2</v>
      </c>
      <c r="AP50" s="48">
        <v>0</v>
      </c>
      <c r="AQ50" s="49">
        <v>0</v>
      </c>
      <c r="AR50" s="48">
        <v>0</v>
      </c>
      <c r="AS50" s="49">
        <v>0</v>
      </c>
      <c r="AT50" s="48">
        <v>0</v>
      </c>
      <c r="AU50" s="49">
        <v>0</v>
      </c>
      <c r="AV50" s="48">
        <v>13</v>
      </c>
      <c r="AW50" s="49">
        <v>100</v>
      </c>
      <c r="AX50" s="48">
        <v>13</v>
      </c>
      <c r="AY50" s="119" t="s">
        <v>4450</v>
      </c>
      <c r="AZ50" s="119" t="s">
        <v>4450</v>
      </c>
      <c r="BA50" s="119" t="s">
        <v>4450</v>
      </c>
      <c r="BB50" s="119" t="s">
        <v>4450</v>
      </c>
      <c r="BC50" s="2"/>
      <c r="BD50" s="3"/>
      <c r="BE50" s="3"/>
      <c r="BF50" s="3"/>
      <c r="BG50" s="3"/>
    </row>
    <row r="51" spans="1:59" ht="15">
      <c r="A51" s="66" t="s">
        <v>480</v>
      </c>
      <c r="B51" s="67" t="s">
        <v>4456</v>
      </c>
      <c r="C51" s="67" t="s">
        <v>64</v>
      </c>
      <c r="D51" s="68">
        <v>472</v>
      </c>
      <c r="E51" s="70"/>
      <c r="F51" s="97" t="str">
        <f>HYPERLINK("https://i.ytimg.com/vi/JWbyuFZSm2Y/default.jpg")</f>
        <v>https://i.ytimg.com/vi/JWbyuFZSm2Y/default.jpg</v>
      </c>
      <c r="G51" s="67"/>
      <c r="H51" s="71" t="s">
        <v>1192</v>
      </c>
      <c r="I51" s="72"/>
      <c r="J51" s="72" t="s">
        <v>75</v>
      </c>
      <c r="K51" s="71" t="s">
        <v>1192</v>
      </c>
      <c r="L51" s="75">
        <v>4666.733333333334</v>
      </c>
      <c r="M51" s="76">
        <v>3307.62841796875</v>
      </c>
      <c r="N51" s="76">
        <v>6409.70654296875</v>
      </c>
      <c r="O51" s="77"/>
      <c r="P51" s="78"/>
      <c r="Q51" s="78"/>
      <c r="R51" s="82"/>
      <c r="S51" s="48">
        <v>21</v>
      </c>
      <c r="T51" s="48">
        <v>0</v>
      </c>
      <c r="U51" s="49">
        <v>103.810172</v>
      </c>
      <c r="V51" s="49">
        <v>0.001842</v>
      </c>
      <c r="W51" s="49">
        <v>0.008007</v>
      </c>
      <c r="X51" s="49">
        <v>1.478794</v>
      </c>
      <c r="Y51" s="49">
        <v>0.5095238095238095</v>
      </c>
      <c r="Z51" s="49">
        <v>0</v>
      </c>
      <c r="AA51" s="73">
        <v>51</v>
      </c>
      <c r="AB51" s="73"/>
      <c r="AC51" s="74"/>
      <c r="AD51" s="80" t="s">
        <v>1192</v>
      </c>
      <c r="AE51" s="80" t="s">
        <v>1879</v>
      </c>
      <c r="AF51" s="80"/>
      <c r="AG51" s="80" t="s">
        <v>2999</v>
      </c>
      <c r="AH51" s="80" t="s">
        <v>3604</v>
      </c>
      <c r="AI51" s="80">
        <v>815</v>
      </c>
      <c r="AJ51" s="80">
        <v>0</v>
      </c>
      <c r="AK51" s="80">
        <v>2</v>
      </c>
      <c r="AL51" s="80">
        <v>0</v>
      </c>
      <c r="AM51" s="80" t="s">
        <v>4098</v>
      </c>
      <c r="AN51" s="96" t="str">
        <f>HYPERLINK("https://www.youtube.com/watch?v=JWbyuFZSm2Y")</f>
        <v>https://www.youtube.com/watch?v=JWbyuFZSm2Y</v>
      </c>
      <c r="AO51" s="80" t="str">
        <f>REPLACE(INDEX(GroupVertices[Group],MATCH(Vertices[[#This Row],[Vertex]],GroupVertices[Vertex],0)),1,1,"")</f>
        <v>1</v>
      </c>
      <c r="AP51" s="48"/>
      <c r="AQ51" s="49"/>
      <c r="AR51" s="48"/>
      <c r="AS51" s="49"/>
      <c r="AT51" s="48"/>
      <c r="AU51" s="49"/>
      <c r="AV51" s="48"/>
      <c r="AW51" s="49"/>
      <c r="AX51" s="48"/>
      <c r="AY51" s="48"/>
      <c r="AZ51" s="48"/>
      <c r="BA51" s="48"/>
      <c r="BB51" s="48"/>
      <c r="BC51" s="2"/>
      <c r="BD51" s="3"/>
      <c r="BE51" s="3"/>
      <c r="BF51" s="3"/>
      <c r="BG51" s="3"/>
    </row>
    <row r="52" spans="1:59" ht="15">
      <c r="A52" s="66" t="s">
        <v>478</v>
      </c>
      <c r="B52" s="67" t="s">
        <v>4456</v>
      </c>
      <c r="C52" s="67" t="s">
        <v>64</v>
      </c>
      <c r="D52" s="68">
        <v>296</v>
      </c>
      <c r="E52" s="70"/>
      <c r="F52" s="97" t="str">
        <f>HYPERLINK("https://i.ytimg.com/vi/tmfuHTSUKs4/default.jpg")</f>
        <v>https://i.ytimg.com/vi/tmfuHTSUKs4/default.jpg</v>
      </c>
      <c r="G52" s="67"/>
      <c r="H52" s="71" t="s">
        <v>1190</v>
      </c>
      <c r="I52" s="72"/>
      <c r="J52" s="72" t="s">
        <v>75</v>
      </c>
      <c r="K52" s="71" t="s">
        <v>1190</v>
      </c>
      <c r="L52" s="75">
        <v>2889.311111111111</v>
      </c>
      <c r="M52" s="76">
        <v>8888.0869140625</v>
      </c>
      <c r="N52" s="76">
        <v>5930.2001953125</v>
      </c>
      <c r="O52" s="77"/>
      <c r="P52" s="78"/>
      <c r="Q52" s="78"/>
      <c r="R52" s="82"/>
      <c r="S52" s="48">
        <v>13</v>
      </c>
      <c r="T52" s="48">
        <v>0</v>
      </c>
      <c r="U52" s="49">
        <v>60.023338</v>
      </c>
      <c r="V52" s="49">
        <v>0.001712</v>
      </c>
      <c r="W52" s="49">
        <v>0.005287</v>
      </c>
      <c r="X52" s="49">
        <v>0.971845</v>
      </c>
      <c r="Y52" s="49">
        <v>0.5512820512820513</v>
      </c>
      <c r="Z52" s="49">
        <v>0</v>
      </c>
      <c r="AA52" s="73">
        <v>52</v>
      </c>
      <c r="AB52" s="73"/>
      <c r="AC52" s="74"/>
      <c r="AD52" s="80" t="s">
        <v>1190</v>
      </c>
      <c r="AE52" s="80" t="s">
        <v>1877</v>
      </c>
      <c r="AF52" s="80" t="s">
        <v>2491</v>
      </c>
      <c r="AG52" s="80" t="s">
        <v>2907</v>
      </c>
      <c r="AH52" s="80" t="s">
        <v>3602</v>
      </c>
      <c r="AI52" s="80">
        <v>29720</v>
      </c>
      <c r="AJ52" s="80">
        <v>24</v>
      </c>
      <c r="AK52" s="80">
        <v>117</v>
      </c>
      <c r="AL52" s="80">
        <v>1</v>
      </c>
      <c r="AM52" s="80" t="s">
        <v>4098</v>
      </c>
      <c r="AN52" s="96" t="str">
        <f>HYPERLINK("https://www.youtube.com/watch?v=tmfuHTSUKs4")</f>
        <v>https://www.youtube.com/watch?v=tmfuHTSUKs4</v>
      </c>
      <c r="AO52" s="80" t="str">
        <f>REPLACE(INDEX(GroupVertices[Group],MATCH(Vertices[[#This Row],[Vertex]],GroupVertices[Vertex],0)),1,1,"")</f>
        <v>3</v>
      </c>
      <c r="AP52" s="48">
        <v>0</v>
      </c>
      <c r="AQ52" s="49">
        <v>0</v>
      </c>
      <c r="AR52" s="48">
        <v>0</v>
      </c>
      <c r="AS52" s="49">
        <v>0</v>
      </c>
      <c r="AT52" s="48">
        <v>0</v>
      </c>
      <c r="AU52" s="49">
        <v>0</v>
      </c>
      <c r="AV52" s="48">
        <v>14</v>
      </c>
      <c r="AW52" s="49">
        <v>100</v>
      </c>
      <c r="AX52" s="48">
        <v>14</v>
      </c>
      <c r="AY52" s="48"/>
      <c r="AZ52" s="48"/>
      <c r="BA52" s="48"/>
      <c r="BB52" s="48"/>
      <c r="BC52" s="2"/>
      <c r="BD52" s="3"/>
      <c r="BE52" s="3"/>
      <c r="BF52" s="3"/>
      <c r="BG52" s="3"/>
    </row>
    <row r="53" spans="1:59" ht="15">
      <c r="A53" s="66" t="s">
        <v>485</v>
      </c>
      <c r="B53" s="67" t="s">
        <v>4456</v>
      </c>
      <c r="C53" s="67" t="s">
        <v>64</v>
      </c>
      <c r="D53" s="68">
        <v>318</v>
      </c>
      <c r="E53" s="70"/>
      <c r="F53" s="97" t="str">
        <f>HYPERLINK("https://i.ytimg.com/vi/HJ4Hcq3YX4k/default.jpg")</f>
        <v>https://i.ytimg.com/vi/HJ4Hcq3YX4k/default.jpg</v>
      </c>
      <c r="G53" s="67"/>
      <c r="H53" s="71" t="s">
        <v>1199</v>
      </c>
      <c r="I53" s="72"/>
      <c r="J53" s="72" t="s">
        <v>75</v>
      </c>
      <c r="K53" s="71" t="s">
        <v>1199</v>
      </c>
      <c r="L53" s="75">
        <v>3111.488888888889</v>
      </c>
      <c r="M53" s="76">
        <v>2703.240478515625</v>
      </c>
      <c r="N53" s="76">
        <v>6548.3671875</v>
      </c>
      <c r="O53" s="77"/>
      <c r="P53" s="78"/>
      <c r="Q53" s="78"/>
      <c r="R53" s="82"/>
      <c r="S53" s="48">
        <v>14</v>
      </c>
      <c r="T53" s="48">
        <v>0</v>
      </c>
      <c r="U53" s="49">
        <v>58.930828</v>
      </c>
      <c r="V53" s="49">
        <v>0.001779</v>
      </c>
      <c r="W53" s="49">
        <v>0.005604</v>
      </c>
      <c r="X53" s="49">
        <v>1.048301</v>
      </c>
      <c r="Y53" s="49">
        <v>0.5054945054945055</v>
      </c>
      <c r="Z53" s="49">
        <v>0</v>
      </c>
      <c r="AA53" s="73">
        <v>53</v>
      </c>
      <c r="AB53" s="73"/>
      <c r="AC53" s="74"/>
      <c r="AD53" s="80" t="s">
        <v>1199</v>
      </c>
      <c r="AE53" s="80" t="s">
        <v>1884</v>
      </c>
      <c r="AF53" s="80" t="s">
        <v>2499</v>
      </c>
      <c r="AG53" s="80" t="s">
        <v>2912</v>
      </c>
      <c r="AH53" s="80" t="s">
        <v>3611</v>
      </c>
      <c r="AI53" s="80">
        <v>102430</v>
      </c>
      <c r="AJ53" s="80">
        <v>50</v>
      </c>
      <c r="AK53" s="80">
        <v>798</v>
      </c>
      <c r="AL53" s="80">
        <v>11</v>
      </c>
      <c r="AM53" s="80" t="s">
        <v>4098</v>
      </c>
      <c r="AN53" s="96" t="str">
        <f>HYPERLINK("https://www.youtube.com/watch?v=HJ4Hcq3YX4k")</f>
        <v>https://www.youtube.com/watch?v=HJ4Hcq3YX4k</v>
      </c>
      <c r="AO53" s="80" t="str">
        <f>REPLACE(INDEX(GroupVertices[Group],MATCH(Vertices[[#This Row],[Vertex]],GroupVertices[Vertex],0)),1,1,"")</f>
        <v>1</v>
      </c>
      <c r="AP53" s="48">
        <v>0</v>
      </c>
      <c r="AQ53" s="49">
        <v>0</v>
      </c>
      <c r="AR53" s="48">
        <v>0</v>
      </c>
      <c r="AS53" s="49">
        <v>0</v>
      </c>
      <c r="AT53" s="48">
        <v>0</v>
      </c>
      <c r="AU53" s="49">
        <v>0</v>
      </c>
      <c r="AV53" s="48">
        <v>6</v>
      </c>
      <c r="AW53" s="49">
        <v>100</v>
      </c>
      <c r="AX53" s="48">
        <v>6</v>
      </c>
      <c r="AY53" s="48"/>
      <c r="AZ53" s="48"/>
      <c r="BA53" s="48"/>
      <c r="BB53" s="48"/>
      <c r="BC53" s="2"/>
      <c r="BD53" s="3"/>
      <c r="BE53" s="3"/>
      <c r="BF53" s="3"/>
      <c r="BG53" s="3"/>
    </row>
    <row r="54" spans="1:59" ht="15">
      <c r="A54" s="66" t="s">
        <v>510</v>
      </c>
      <c r="B54" s="67" t="s">
        <v>4456</v>
      </c>
      <c r="C54" s="67" t="s">
        <v>64</v>
      </c>
      <c r="D54" s="68">
        <v>780</v>
      </c>
      <c r="E54" s="70"/>
      <c r="F54" s="97" t="str">
        <f>HYPERLINK("https://i.ytimg.com/vi/vp7VXgvVAPg/default.jpg")</f>
        <v>https://i.ytimg.com/vi/vp7VXgvVAPg/default.jpg</v>
      </c>
      <c r="G54" s="67"/>
      <c r="H54" s="71" t="s">
        <v>1232</v>
      </c>
      <c r="I54" s="72"/>
      <c r="J54" s="72" t="s">
        <v>75</v>
      </c>
      <c r="K54" s="71" t="s">
        <v>1232</v>
      </c>
      <c r="L54" s="75">
        <v>7777.222222222223</v>
      </c>
      <c r="M54" s="76">
        <v>2923.183349609375</v>
      </c>
      <c r="N54" s="76">
        <v>1903.55615234375</v>
      </c>
      <c r="O54" s="77"/>
      <c r="P54" s="78"/>
      <c r="Q54" s="78"/>
      <c r="R54" s="82"/>
      <c r="S54" s="48">
        <v>35</v>
      </c>
      <c r="T54" s="48">
        <v>0</v>
      </c>
      <c r="U54" s="49">
        <v>55.257625</v>
      </c>
      <c r="V54" s="49">
        <v>0.001946</v>
      </c>
      <c r="W54" s="49">
        <v>0.013981</v>
      </c>
      <c r="X54" s="49">
        <v>2.268894</v>
      </c>
      <c r="Y54" s="49">
        <v>0.5756302521008403</v>
      </c>
      <c r="Z54" s="49">
        <v>0</v>
      </c>
      <c r="AA54" s="73">
        <v>54</v>
      </c>
      <c r="AB54" s="73"/>
      <c r="AC54" s="74"/>
      <c r="AD54" s="80" t="s">
        <v>1232</v>
      </c>
      <c r="AE54" s="80" t="s">
        <v>1915</v>
      </c>
      <c r="AF54" s="80" t="s">
        <v>2525</v>
      </c>
      <c r="AG54" s="80" t="s">
        <v>2907</v>
      </c>
      <c r="AH54" s="80" t="s">
        <v>3644</v>
      </c>
      <c r="AI54" s="80">
        <v>16941</v>
      </c>
      <c r="AJ54" s="80">
        <v>16</v>
      </c>
      <c r="AK54" s="80">
        <v>71</v>
      </c>
      <c r="AL54" s="80">
        <v>1</v>
      </c>
      <c r="AM54" s="80" t="s">
        <v>4098</v>
      </c>
      <c r="AN54" s="96" t="str">
        <f>HYPERLINK("https://www.youtube.com/watch?v=vp7VXgvVAPg")</f>
        <v>https://www.youtube.com/watch?v=vp7VXgvVAPg</v>
      </c>
      <c r="AO54" s="80" t="str">
        <f>REPLACE(INDEX(GroupVertices[Group],MATCH(Vertices[[#This Row],[Vertex]],GroupVertices[Vertex],0)),1,1,"")</f>
        <v>2</v>
      </c>
      <c r="AP54" s="48">
        <v>0</v>
      </c>
      <c r="AQ54" s="49">
        <v>0</v>
      </c>
      <c r="AR54" s="48">
        <v>0</v>
      </c>
      <c r="AS54" s="49">
        <v>0</v>
      </c>
      <c r="AT54" s="48">
        <v>0</v>
      </c>
      <c r="AU54" s="49">
        <v>0</v>
      </c>
      <c r="AV54" s="48">
        <v>16</v>
      </c>
      <c r="AW54" s="49">
        <v>100</v>
      </c>
      <c r="AX54" s="48">
        <v>16</v>
      </c>
      <c r="AY54" s="48"/>
      <c r="AZ54" s="48"/>
      <c r="BA54" s="48"/>
      <c r="BB54" s="48"/>
      <c r="BC54" s="2"/>
      <c r="BD54" s="3"/>
      <c r="BE54" s="3"/>
      <c r="BF54" s="3"/>
      <c r="BG54" s="3"/>
    </row>
    <row r="55" spans="1:59" ht="15">
      <c r="A55" s="66" t="s">
        <v>484</v>
      </c>
      <c r="B55" s="67" t="s">
        <v>4456</v>
      </c>
      <c r="C55" s="67" t="s">
        <v>64</v>
      </c>
      <c r="D55" s="68">
        <v>274</v>
      </c>
      <c r="E55" s="70"/>
      <c r="F55" s="97" t="str">
        <f>HYPERLINK("https://i.ytimg.com/vi/5L8oGi6sPy4/default.jpg")</f>
        <v>https://i.ytimg.com/vi/5L8oGi6sPy4/default.jpg</v>
      </c>
      <c r="G55" s="67"/>
      <c r="H55" s="71" t="s">
        <v>1196</v>
      </c>
      <c r="I55" s="72"/>
      <c r="J55" s="72" t="s">
        <v>75</v>
      </c>
      <c r="K55" s="71" t="s">
        <v>1196</v>
      </c>
      <c r="L55" s="75">
        <v>2667.133333333333</v>
      </c>
      <c r="M55" s="76">
        <v>4425.18701171875</v>
      </c>
      <c r="N55" s="76">
        <v>6673.60546875</v>
      </c>
      <c r="O55" s="77"/>
      <c r="P55" s="78"/>
      <c r="Q55" s="78"/>
      <c r="R55" s="82"/>
      <c r="S55" s="48">
        <v>12</v>
      </c>
      <c r="T55" s="48">
        <v>0</v>
      </c>
      <c r="U55" s="49">
        <v>53.034976</v>
      </c>
      <c r="V55" s="49">
        <v>0.001718</v>
      </c>
      <c r="W55" s="49">
        <v>0.004851</v>
      </c>
      <c r="X55" s="49">
        <v>0.927579</v>
      </c>
      <c r="Y55" s="49">
        <v>0.5075757575757576</v>
      </c>
      <c r="Z55" s="49">
        <v>0</v>
      </c>
      <c r="AA55" s="73">
        <v>55</v>
      </c>
      <c r="AB55" s="73"/>
      <c r="AC55" s="74"/>
      <c r="AD55" s="80" t="s">
        <v>1196</v>
      </c>
      <c r="AE55" s="80"/>
      <c r="AF55" s="80" t="s">
        <v>2496</v>
      </c>
      <c r="AG55" s="80" t="s">
        <v>3028</v>
      </c>
      <c r="AH55" s="80" t="s">
        <v>3608</v>
      </c>
      <c r="AI55" s="80">
        <v>14663</v>
      </c>
      <c r="AJ55" s="80">
        <v>6</v>
      </c>
      <c r="AK55" s="80">
        <v>67</v>
      </c>
      <c r="AL55" s="80">
        <v>6</v>
      </c>
      <c r="AM55" s="80" t="s">
        <v>4098</v>
      </c>
      <c r="AN55" s="96" t="str">
        <f>HYPERLINK("https://www.youtube.com/watch?v=5L8oGi6sPy4")</f>
        <v>https://www.youtube.com/watch?v=5L8oGi6sPy4</v>
      </c>
      <c r="AO55" s="80" t="str">
        <f>REPLACE(INDEX(GroupVertices[Group],MATCH(Vertices[[#This Row],[Vertex]],GroupVertices[Vertex],0)),1,1,"")</f>
        <v>1</v>
      </c>
      <c r="AP55" s="48">
        <v>0</v>
      </c>
      <c r="AQ55" s="49">
        <v>0</v>
      </c>
      <c r="AR55" s="48">
        <v>0</v>
      </c>
      <c r="AS55" s="49">
        <v>0</v>
      </c>
      <c r="AT55" s="48">
        <v>0</v>
      </c>
      <c r="AU55" s="49">
        <v>0</v>
      </c>
      <c r="AV55" s="48">
        <v>3</v>
      </c>
      <c r="AW55" s="49">
        <v>100</v>
      </c>
      <c r="AX55" s="48">
        <v>3</v>
      </c>
      <c r="AY55" s="48"/>
      <c r="AZ55" s="48"/>
      <c r="BA55" s="48"/>
      <c r="BB55" s="48"/>
      <c r="BC55" s="2"/>
      <c r="BD55" s="3"/>
      <c r="BE55" s="3"/>
      <c r="BF55" s="3"/>
      <c r="BG55" s="3"/>
    </row>
    <row r="56" spans="1:59" ht="15">
      <c r="A56" s="66" t="s">
        <v>486</v>
      </c>
      <c r="B56" s="67" t="s">
        <v>4456</v>
      </c>
      <c r="C56" s="67" t="s">
        <v>64</v>
      </c>
      <c r="D56" s="68">
        <v>186</v>
      </c>
      <c r="E56" s="70"/>
      <c r="F56" s="97" t="str">
        <f>HYPERLINK("https://i.ytimg.com/vi/rY8KZhzI5I8/default.jpg")</f>
        <v>https://i.ytimg.com/vi/rY8KZhzI5I8/default.jpg</v>
      </c>
      <c r="G56" s="67"/>
      <c r="H56" s="71" t="s">
        <v>1200</v>
      </c>
      <c r="I56" s="72"/>
      <c r="J56" s="72" t="s">
        <v>75</v>
      </c>
      <c r="K56" s="71" t="s">
        <v>1200</v>
      </c>
      <c r="L56" s="75">
        <v>1778.4222222222222</v>
      </c>
      <c r="M56" s="76">
        <v>695.3230590820312</v>
      </c>
      <c r="N56" s="76">
        <v>2404.738525390625</v>
      </c>
      <c r="O56" s="77"/>
      <c r="P56" s="78"/>
      <c r="Q56" s="78"/>
      <c r="R56" s="82"/>
      <c r="S56" s="48">
        <v>8</v>
      </c>
      <c r="T56" s="48">
        <v>0</v>
      </c>
      <c r="U56" s="49">
        <v>46.332687</v>
      </c>
      <c r="V56" s="49">
        <v>0.001595</v>
      </c>
      <c r="W56" s="49">
        <v>0.002668</v>
      </c>
      <c r="X56" s="49">
        <v>0.671751</v>
      </c>
      <c r="Y56" s="49">
        <v>0.3392857142857143</v>
      </c>
      <c r="Z56" s="49">
        <v>0</v>
      </c>
      <c r="AA56" s="73">
        <v>56</v>
      </c>
      <c r="AB56" s="73"/>
      <c r="AC56" s="74"/>
      <c r="AD56" s="80" t="s">
        <v>1200</v>
      </c>
      <c r="AE56" s="80" t="s">
        <v>1885</v>
      </c>
      <c r="AF56" s="80" t="s">
        <v>2395</v>
      </c>
      <c r="AG56" s="80" t="s">
        <v>2905</v>
      </c>
      <c r="AH56" s="80" t="s">
        <v>3612</v>
      </c>
      <c r="AI56" s="80">
        <v>102</v>
      </c>
      <c r="AJ56" s="80">
        <v>0</v>
      </c>
      <c r="AK56" s="80">
        <v>2</v>
      </c>
      <c r="AL56" s="80">
        <v>0</v>
      </c>
      <c r="AM56" s="80" t="s">
        <v>4098</v>
      </c>
      <c r="AN56" s="96" t="str">
        <f>HYPERLINK("https://www.youtube.com/watch?v=rY8KZhzI5I8")</f>
        <v>https://www.youtube.com/watch?v=rY8KZhzI5I8</v>
      </c>
      <c r="AO56" s="80" t="str">
        <f>REPLACE(INDEX(GroupVertices[Group],MATCH(Vertices[[#This Row],[Vertex]],GroupVertices[Vertex],0)),1,1,"")</f>
        <v>2</v>
      </c>
      <c r="AP56" s="48">
        <v>0</v>
      </c>
      <c r="AQ56" s="49">
        <v>0</v>
      </c>
      <c r="AR56" s="48">
        <v>0</v>
      </c>
      <c r="AS56" s="49">
        <v>0</v>
      </c>
      <c r="AT56" s="48">
        <v>0</v>
      </c>
      <c r="AU56" s="49">
        <v>0</v>
      </c>
      <c r="AV56" s="48">
        <v>11</v>
      </c>
      <c r="AW56" s="49">
        <v>100</v>
      </c>
      <c r="AX56" s="48">
        <v>11</v>
      </c>
      <c r="AY56" s="48"/>
      <c r="AZ56" s="48"/>
      <c r="BA56" s="48"/>
      <c r="BB56" s="48"/>
      <c r="BC56" s="2"/>
      <c r="BD56" s="3"/>
      <c r="BE56" s="3"/>
      <c r="BF56" s="3"/>
      <c r="BG56" s="3"/>
    </row>
    <row r="57" spans="1:59" ht="15">
      <c r="A57" s="66" t="s">
        <v>616</v>
      </c>
      <c r="B57" s="67" t="s">
        <v>4456</v>
      </c>
      <c r="C57" s="67" t="s">
        <v>64</v>
      </c>
      <c r="D57" s="68">
        <v>362</v>
      </c>
      <c r="E57" s="70"/>
      <c r="F57" s="97" t="str">
        <f>HYPERLINK("https://i.ytimg.com/vi/FLiv3xnEepw/default.jpg")</f>
        <v>https://i.ytimg.com/vi/FLiv3xnEepw/default.jpg</v>
      </c>
      <c r="G57" s="67"/>
      <c r="H57" s="71" t="s">
        <v>1356</v>
      </c>
      <c r="I57" s="72"/>
      <c r="J57" s="72" t="s">
        <v>75</v>
      </c>
      <c r="K57" s="71" t="s">
        <v>1356</v>
      </c>
      <c r="L57" s="75">
        <v>3555.8444444444444</v>
      </c>
      <c r="M57" s="76">
        <v>2902.066162109375</v>
      </c>
      <c r="N57" s="76">
        <v>7369.51171875</v>
      </c>
      <c r="O57" s="77"/>
      <c r="P57" s="78"/>
      <c r="Q57" s="78"/>
      <c r="R57" s="82"/>
      <c r="S57" s="48">
        <v>16</v>
      </c>
      <c r="T57" s="48">
        <v>0</v>
      </c>
      <c r="U57" s="49">
        <v>39.943929</v>
      </c>
      <c r="V57" s="49">
        <v>0.001789</v>
      </c>
      <c r="W57" s="49">
        <v>0.005853</v>
      </c>
      <c r="X57" s="49">
        <v>1.157536</v>
      </c>
      <c r="Y57" s="49">
        <v>0.42916666666666664</v>
      </c>
      <c r="Z57" s="49">
        <v>0</v>
      </c>
      <c r="AA57" s="73">
        <v>57</v>
      </c>
      <c r="AB57" s="73"/>
      <c r="AC57" s="74"/>
      <c r="AD57" s="80" t="s">
        <v>1356</v>
      </c>
      <c r="AE57" s="80" t="s">
        <v>2022</v>
      </c>
      <c r="AF57" s="80" t="s">
        <v>2620</v>
      </c>
      <c r="AG57" s="80" t="s">
        <v>3162</v>
      </c>
      <c r="AH57" s="80" t="s">
        <v>3768</v>
      </c>
      <c r="AI57" s="80">
        <v>136794</v>
      </c>
      <c r="AJ57" s="80">
        <v>62</v>
      </c>
      <c r="AK57" s="80">
        <v>440</v>
      </c>
      <c r="AL57" s="80">
        <v>32</v>
      </c>
      <c r="AM57" s="80" t="s">
        <v>4098</v>
      </c>
      <c r="AN57" s="96" t="str">
        <f>HYPERLINK("https://www.youtube.com/watch?v=FLiv3xnEepw")</f>
        <v>https://www.youtube.com/watch?v=FLiv3xnEepw</v>
      </c>
      <c r="AO57" s="80" t="str">
        <f>REPLACE(INDEX(GroupVertices[Group],MATCH(Vertices[[#This Row],[Vertex]],GroupVertices[Vertex],0)),1,1,"")</f>
        <v>1</v>
      </c>
      <c r="AP57" s="48">
        <v>0</v>
      </c>
      <c r="AQ57" s="49">
        <v>0</v>
      </c>
      <c r="AR57" s="48">
        <v>0</v>
      </c>
      <c r="AS57" s="49">
        <v>0</v>
      </c>
      <c r="AT57" s="48">
        <v>0</v>
      </c>
      <c r="AU57" s="49">
        <v>0</v>
      </c>
      <c r="AV57" s="48">
        <v>38</v>
      </c>
      <c r="AW57" s="49">
        <v>100</v>
      </c>
      <c r="AX57" s="48">
        <v>38</v>
      </c>
      <c r="AY57" s="48"/>
      <c r="AZ57" s="48"/>
      <c r="BA57" s="48"/>
      <c r="BB57" s="48"/>
      <c r="BC57" s="2"/>
      <c r="BD57" s="3"/>
      <c r="BE57" s="3"/>
      <c r="BF57" s="3"/>
      <c r="BG57" s="3"/>
    </row>
    <row r="58" spans="1:59" ht="15">
      <c r="A58" s="66" t="s">
        <v>482</v>
      </c>
      <c r="B58" s="67" t="s">
        <v>4456</v>
      </c>
      <c r="C58" s="67" t="s">
        <v>64</v>
      </c>
      <c r="D58" s="68">
        <v>208</v>
      </c>
      <c r="E58" s="70"/>
      <c r="F58" s="97" t="str">
        <f>HYPERLINK("https://i.ytimg.com/vi/PRrKo0maZ8Y/default.jpg")</f>
        <v>https://i.ytimg.com/vi/PRrKo0maZ8Y/default.jpg</v>
      </c>
      <c r="G58" s="67"/>
      <c r="H58" s="71" t="s">
        <v>1194</v>
      </c>
      <c r="I58" s="72"/>
      <c r="J58" s="72" t="s">
        <v>75</v>
      </c>
      <c r="K58" s="71" t="s">
        <v>1194</v>
      </c>
      <c r="L58" s="75">
        <v>2000.6</v>
      </c>
      <c r="M58" s="76">
        <v>2970.25634765625</v>
      </c>
      <c r="N58" s="76">
        <v>7069.29052734375</v>
      </c>
      <c r="O58" s="77"/>
      <c r="P58" s="78"/>
      <c r="Q58" s="78"/>
      <c r="R58" s="82"/>
      <c r="S58" s="48">
        <v>9</v>
      </c>
      <c r="T58" s="48">
        <v>0</v>
      </c>
      <c r="U58" s="49">
        <v>32.024832</v>
      </c>
      <c r="V58" s="49">
        <v>0.00161</v>
      </c>
      <c r="W58" s="49">
        <v>0.003203</v>
      </c>
      <c r="X58" s="49">
        <v>0.738788</v>
      </c>
      <c r="Y58" s="49">
        <v>0.4583333333333333</v>
      </c>
      <c r="Z58" s="49">
        <v>0</v>
      </c>
      <c r="AA58" s="73">
        <v>58</v>
      </c>
      <c r="AB58" s="73"/>
      <c r="AC58" s="74"/>
      <c r="AD58" s="80" t="s">
        <v>1194</v>
      </c>
      <c r="AE58" s="80" t="s">
        <v>1880</v>
      </c>
      <c r="AF58" s="80" t="s">
        <v>2494</v>
      </c>
      <c r="AG58" s="80" t="s">
        <v>3054</v>
      </c>
      <c r="AH58" s="80" t="s">
        <v>3606</v>
      </c>
      <c r="AI58" s="80">
        <v>29536</v>
      </c>
      <c r="AJ58" s="80">
        <v>3</v>
      </c>
      <c r="AK58" s="80">
        <v>66</v>
      </c>
      <c r="AL58" s="80">
        <v>2</v>
      </c>
      <c r="AM58" s="80" t="s">
        <v>4098</v>
      </c>
      <c r="AN58" s="96" t="str">
        <f>HYPERLINK("https://www.youtube.com/watch?v=PRrKo0maZ8Y")</f>
        <v>https://www.youtube.com/watch?v=PRrKo0maZ8Y</v>
      </c>
      <c r="AO58" s="80" t="str">
        <f>REPLACE(INDEX(GroupVertices[Group],MATCH(Vertices[[#This Row],[Vertex]],GroupVertices[Vertex],0)),1,1,"")</f>
        <v>1</v>
      </c>
      <c r="AP58" s="48">
        <v>0</v>
      </c>
      <c r="AQ58" s="49">
        <v>0</v>
      </c>
      <c r="AR58" s="48">
        <v>0</v>
      </c>
      <c r="AS58" s="49">
        <v>0</v>
      </c>
      <c r="AT58" s="48">
        <v>0</v>
      </c>
      <c r="AU58" s="49">
        <v>0</v>
      </c>
      <c r="AV58" s="48">
        <v>4</v>
      </c>
      <c r="AW58" s="49">
        <v>100</v>
      </c>
      <c r="AX58" s="48">
        <v>4</v>
      </c>
      <c r="AY58" s="48"/>
      <c r="AZ58" s="48"/>
      <c r="BA58" s="48"/>
      <c r="BB58" s="48"/>
      <c r="BC58" s="2"/>
      <c r="BD58" s="3"/>
      <c r="BE58" s="3"/>
      <c r="BF58" s="3"/>
      <c r="BG58" s="3"/>
    </row>
    <row r="59" spans="1:59" ht="15">
      <c r="A59" s="66" t="s">
        <v>479</v>
      </c>
      <c r="B59" s="67" t="s">
        <v>4456</v>
      </c>
      <c r="C59" s="67" t="s">
        <v>56</v>
      </c>
      <c r="D59" s="68">
        <v>120</v>
      </c>
      <c r="E59" s="70"/>
      <c r="F59" s="97" t="str">
        <f>HYPERLINK("https://i.ytimg.com/vi/xYZjID5mFD4/default.jpg")</f>
        <v>https://i.ytimg.com/vi/xYZjID5mFD4/default.jpg</v>
      </c>
      <c r="G59" s="67"/>
      <c r="H59" s="71" t="s">
        <v>1191</v>
      </c>
      <c r="I59" s="72"/>
      <c r="J59" s="72" t="s">
        <v>159</v>
      </c>
      <c r="K59" s="71" t="s">
        <v>1191</v>
      </c>
      <c r="L59" s="75">
        <v>1111.888888888889</v>
      </c>
      <c r="M59" s="76">
        <v>5865.79052734375</v>
      </c>
      <c r="N59" s="76">
        <v>2078.3134765625</v>
      </c>
      <c r="O59" s="77"/>
      <c r="P59" s="78"/>
      <c r="Q59" s="78"/>
      <c r="R59" s="82"/>
      <c r="S59" s="48">
        <v>5</v>
      </c>
      <c r="T59" s="48">
        <v>0</v>
      </c>
      <c r="U59" s="49">
        <v>28.995016</v>
      </c>
      <c r="V59" s="49">
        <v>0.001508</v>
      </c>
      <c r="W59" s="49">
        <v>0.001431</v>
      </c>
      <c r="X59" s="49">
        <v>0.493819</v>
      </c>
      <c r="Y59" s="49">
        <v>0.4</v>
      </c>
      <c r="Z59" s="49">
        <v>0</v>
      </c>
      <c r="AA59" s="73">
        <v>59</v>
      </c>
      <c r="AB59" s="73"/>
      <c r="AC59" s="74"/>
      <c r="AD59" s="80" t="s">
        <v>1191</v>
      </c>
      <c r="AE59" s="80" t="s">
        <v>1878</v>
      </c>
      <c r="AF59" s="80" t="s">
        <v>2492</v>
      </c>
      <c r="AG59" s="80" t="s">
        <v>3052</v>
      </c>
      <c r="AH59" s="80" t="s">
        <v>3603</v>
      </c>
      <c r="AI59" s="80">
        <v>825</v>
      </c>
      <c r="AJ59" s="80">
        <v>0</v>
      </c>
      <c r="AK59" s="80">
        <v>0</v>
      </c>
      <c r="AL59" s="80">
        <v>0</v>
      </c>
      <c r="AM59" s="80" t="s">
        <v>4098</v>
      </c>
      <c r="AN59" s="96" t="str">
        <f>HYPERLINK("https://www.youtube.com/watch?v=xYZjID5mFD4")</f>
        <v>https://www.youtube.com/watch?v=xYZjID5mFD4</v>
      </c>
      <c r="AO59" s="80" t="str">
        <f>REPLACE(INDEX(GroupVertices[Group],MATCH(Vertices[[#This Row],[Vertex]],GroupVertices[Vertex],0)),1,1,"")</f>
        <v>2</v>
      </c>
      <c r="AP59" s="48">
        <v>0</v>
      </c>
      <c r="AQ59" s="49">
        <v>0</v>
      </c>
      <c r="AR59" s="48">
        <v>0</v>
      </c>
      <c r="AS59" s="49">
        <v>0</v>
      </c>
      <c r="AT59" s="48">
        <v>0</v>
      </c>
      <c r="AU59" s="49">
        <v>0</v>
      </c>
      <c r="AV59" s="48">
        <v>4</v>
      </c>
      <c r="AW59" s="49">
        <v>100</v>
      </c>
      <c r="AX59" s="48">
        <v>4</v>
      </c>
      <c r="AY59" s="48"/>
      <c r="AZ59" s="48"/>
      <c r="BA59" s="48"/>
      <c r="BB59" s="48"/>
      <c r="BC59" s="2"/>
      <c r="BD59" s="3"/>
      <c r="BE59" s="3"/>
      <c r="BF59" s="3"/>
      <c r="BG59" s="3"/>
    </row>
    <row r="60" spans="1:59" ht="15">
      <c r="A60" s="66" t="s">
        <v>483</v>
      </c>
      <c r="B60" s="67" t="s">
        <v>4456</v>
      </c>
      <c r="C60" s="67" t="s">
        <v>56</v>
      </c>
      <c r="D60" s="68">
        <v>98</v>
      </c>
      <c r="E60" s="70"/>
      <c r="F60" s="97" t="str">
        <f>HYPERLINK("https://i.ytimg.com/vi/Qj2uWpYsdcM/default.jpg")</f>
        <v>https://i.ytimg.com/vi/Qj2uWpYsdcM/default.jpg</v>
      </c>
      <c r="G60" s="67"/>
      <c r="H60" s="71" t="s">
        <v>1195</v>
      </c>
      <c r="I60" s="72"/>
      <c r="J60" s="72" t="s">
        <v>159</v>
      </c>
      <c r="K60" s="71" t="s">
        <v>1195</v>
      </c>
      <c r="L60" s="75">
        <v>889.7111111111111</v>
      </c>
      <c r="M60" s="76">
        <v>8258.228515625</v>
      </c>
      <c r="N60" s="76">
        <v>3660.327392578125</v>
      </c>
      <c r="O60" s="77"/>
      <c r="P60" s="78"/>
      <c r="Q60" s="78"/>
      <c r="R60" s="82"/>
      <c r="S60" s="48">
        <v>4</v>
      </c>
      <c r="T60" s="48">
        <v>0</v>
      </c>
      <c r="U60" s="49">
        <v>20.534709</v>
      </c>
      <c r="V60" s="49">
        <v>0.001508</v>
      </c>
      <c r="W60" s="49">
        <v>0.001368</v>
      </c>
      <c r="X60" s="49">
        <v>0.426283</v>
      </c>
      <c r="Y60" s="49">
        <v>0.4166666666666667</v>
      </c>
      <c r="Z60" s="49">
        <v>0</v>
      </c>
      <c r="AA60" s="73">
        <v>60</v>
      </c>
      <c r="AB60" s="73"/>
      <c r="AC60" s="74"/>
      <c r="AD60" s="80" t="s">
        <v>1195</v>
      </c>
      <c r="AE60" s="80" t="s">
        <v>1881</v>
      </c>
      <c r="AF60" s="80" t="s">
        <v>2495</v>
      </c>
      <c r="AG60" s="80" t="s">
        <v>3055</v>
      </c>
      <c r="AH60" s="80" t="s">
        <v>3607</v>
      </c>
      <c r="AI60" s="80">
        <v>17422</v>
      </c>
      <c r="AJ60" s="80">
        <v>0</v>
      </c>
      <c r="AK60" s="80">
        <v>81</v>
      </c>
      <c r="AL60" s="80">
        <v>1</v>
      </c>
      <c r="AM60" s="80" t="s">
        <v>4098</v>
      </c>
      <c r="AN60" s="96" t="str">
        <f>HYPERLINK("https://www.youtube.com/watch?v=Qj2uWpYsdcM")</f>
        <v>https://www.youtube.com/watch?v=Qj2uWpYsdcM</v>
      </c>
      <c r="AO60" s="80" t="str">
        <f>REPLACE(INDEX(GroupVertices[Group],MATCH(Vertices[[#This Row],[Vertex]],GroupVertices[Vertex],0)),1,1,"")</f>
        <v>4</v>
      </c>
      <c r="AP60" s="48">
        <v>0</v>
      </c>
      <c r="AQ60" s="49">
        <v>0</v>
      </c>
      <c r="AR60" s="48">
        <v>0</v>
      </c>
      <c r="AS60" s="49">
        <v>0</v>
      </c>
      <c r="AT60" s="48">
        <v>0</v>
      </c>
      <c r="AU60" s="49">
        <v>0</v>
      </c>
      <c r="AV60" s="48">
        <v>27</v>
      </c>
      <c r="AW60" s="49">
        <v>100</v>
      </c>
      <c r="AX60" s="48">
        <v>27</v>
      </c>
      <c r="AY60" s="48"/>
      <c r="AZ60" s="48"/>
      <c r="BA60" s="48"/>
      <c r="BB60" s="48"/>
      <c r="BC60" s="2"/>
      <c r="BD60" s="3"/>
      <c r="BE60" s="3"/>
      <c r="BF60" s="3"/>
      <c r="BG60" s="3"/>
    </row>
    <row r="61" spans="1:59" ht="15">
      <c r="A61" s="66" t="s">
        <v>673</v>
      </c>
      <c r="B61" s="67" t="s">
        <v>4456</v>
      </c>
      <c r="C61" s="67" t="s">
        <v>64</v>
      </c>
      <c r="D61" s="68">
        <v>208</v>
      </c>
      <c r="E61" s="70"/>
      <c r="F61" s="97" t="str">
        <f>HYPERLINK("https://i.ytimg.com/vi/Csb30yCbYqs/default.jpg")</f>
        <v>https://i.ytimg.com/vi/Csb30yCbYqs/default.jpg</v>
      </c>
      <c r="G61" s="67"/>
      <c r="H61" s="71" t="s">
        <v>1414</v>
      </c>
      <c r="I61" s="72"/>
      <c r="J61" s="72" t="s">
        <v>75</v>
      </c>
      <c r="K61" s="71" t="s">
        <v>1414</v>
      </c>
      <c r="L61" s="75">
        <v>2000.6</v>
      </c>
      <c r="M61" s="76">
        <v>1433.57177734375</v>
      </c>
      <c r="N61" s="76">
        <v>6599.25048828125</v>
      </c>
      <c r="O61" s="77"/>
      <c r="P61" s="78"/>
      <c r="Q61" s="78"/>
      <c r="R61" s="82"/>
      <c r="S61" s="48">
        <v>9</v>
      </c>
      <c r="T61" s="48">
        <v>0</v>
      </c>
      <c r="U61" s="49">
        <v>17.903675</v>
      </c>
      <c r="V61" s="49">
        <v>0.00161</v>
      </c>
      <c r="W61" s="49">
        <v>0.003155</v>
      </c>
      <c r="X61" s="49">
        <v>0.712667</v>
      </c>
      <c r="Y61" s="49">
        <v>0.4305555555555556</v>
      </c>
      <c r="Z61" s="49">
        <v>0</v>
      </c>
      <c r="AA61" s="73">
        <v>61</v>
      </c>
      <c r="AB61" s="73"/>
      <c r="AC61" s="74"/>
      <c r="AD61" s="80" t="s">
        <v>1414</v>
      </c>
      <c r="AE61" s="80" t="s">
        <v>2074</v>
      </c>
      <c r="AF61" s="80" t="s">
        <v>2664</v>
      </c>
      <c r="AG61" s="80" t="s">
        <v>2956</v>
      </c>
      <c r="AH61" s="80" t="s">
        <v>3826</v>
      </c>
      <c r="AI61" s="80">
        <v>435</v>
      </c>
      <c r="AJ61" s="80">
        <v>1</v>
      </c>
      <c r="AK61" s="80">
        <v>2</v>
      </c>
      <c r="AL61" s="80">
        <v>0</v>
      </c>
      <c r="AM61" s="80" t="s">
        <v>4098</v>
      </c>
      <c r="AN61" s="96" t="str">
        <f>HYPERLINK("https://www.youtube.com/watch?v=Csb30yCbYqs")</f>
        <v>https://www.youtube.com/watch?v=Csb30yCbYqs</v>
      </c>
      <c r="AO61" s="80" t="str">
        <f>REPLACE(INDEX(GroupVertices[Group],MATCH(Vertices[[#This Row],[Vertex]],GroupVertices[Vertex],0)),1,1,"")</f>
        <v>1</v>
      </c>
      <c r="AP61" s="48">
        <v>1</v>
      </c>
      <c r="AQ61" s="49">
        <v>9.090909090909092</v>
      </c>
      <c r="AR61" s="48">
        <v>0</v>
      </c>
      <c r="AS61" s="49">
        <v>0</v>
      </c>
      <c r="AT61" s="48">
        <v>0</v>
      </c>
      <c r="AU61" s="49">
        <v>0</v>
      </c>
      <c r="AV61" s="48">
        <v>10</v>
      </c>
      <c r="AW61" s="49">
        <v>90.9090909090909</v>
      </c>
      <c r="AX61" s="48">
        <v>11</v>
      </c>
      <c r="AY61" s="48"/>
      <c r="AZ61" s="48"/>
      <c r="BA61" s="48"/>
      <c r="BB61" s="48"/>
      <c r="BC61" s="2"/>
      <c r="BD61" s="3"/>
      <c r="BE61" s="3"/>
      <c r="BF61" s="3"/>
      <c r="BG61" s="3"/>
    </row>
    <row r="62" spans="1:59" ht="15">
      <c r="A62" s="66" t="s">
        <v>512</v>
      </c>
      <c r="B62" s="67" t="s">
        <v>4456</v>
      </c>
      <c r="C62" s="67" t="s">
        <v>64</v>
      </c>
      <c r="D62" s="68">
        <v>318</v>
      </c>
      <c r="E62" s="70"/>
      <c r="F62" s="97" t="str">
        <f>HYPERLINK("https://i.ytimg.com/vi/PT99WF1VEws/default.jpg")</f>
        <v>https://i.ytimg.com/vi/PT99WF1VEws/default.jpg</v>
      </c>
      <c r="G62" s="67"/>
      <c r="H62" s="71" t="s">
        <v>1238</v>
      </c>
      <c r="I62" s="72"/>
      <c r="J62" s="72" t="s">
        <v>75</v>
      </c>
      <c r="K62" s="71" t="s">
        <v>1238</v>
      </c>
      <c r="L62" s="75">
        <v>3111.488888888889</v>
      </c>
      <c r="M62" s="76">
        <v>3656.166748046875</v>
      </c>
      <c r="N62" s="76">
        <v>3402.345703125</v>
      </c>
      <c r="O62" s="77"/>
      <c r="P62" s="78"/>
      <c r="Q62" s="78"/>
      <c r="R62" s="82"/>
      <c r="S62" s="48">
        <v>14</v>
      </c>
      <c r="T62" s="48">
        <v>0</v>
      </c>
      <c r="U62" s="49">
        <v>17.304952</v>
      </c>
      <c r="V62" s="49">
        <v>0.001748</v>
      </c>
      <c r="W62" s="49">
        <v>0.005376</v>
      </c>
      <c r="X62" s="49">
        <v>1.026949</v>
      </c>
      <c r="Y62" s="49">
        <v>0.46153846153846156</v>
      </c>
      <c r="Z62" s="49">
        <v>0</v>
      </c>
      <c r="AA62" s="73">
        <v>62</v>
      </c>
      <c r="AB62" s="73"/>
      <c r="AC62" s="74"/>
      <c r="AD62" s="80" t="s">
        <v>1238</v>
      </c>
      <c r="AE62" s="80" t="s">
        <v>1920</v>
      </c>
      <c r="AF62" s="80" t="s">
        <v>2529</v>
      </c>
      <c r="AG62" s="80" t="s">
        <v>3080</v>
      </c>
      <c r="AH62" s="80" t="s">
        <v>3650</v>
      </c>
      <c r="AI62" s="80">
        <v>51086</v>
      </c>
      <c r="AJ62" s="80">
        <v>7</v>
      </c>
      <c r="AK62" s="80">
        <v>265</v>
      </c>
      <c r="AL62" s="80">
        <v>11</v>
      </c>
      <c r="AM62" s="80" t="s">
        <v>4098</v>
      </c>
      <c r="AN62" s="96" t="str">
        <f>HYPERLINK("https://www.youtube.com/watch?v=PT99WF1VEws")</f>
        <v>https://www.youtube.com/watch?v=PT99WF1VEws</v>
      </c>
      <c r="AO62" s="80" t="str">
        <f>REPLACE(INDEX(GroupVertices[Group],MATCH(Vertices[[#This Row],[Vertex]],GroupVertices[Vertex],0)),1,1,"")</f>
        <v>2</v>
      </c>
      <c r="AP62" s="48">
        <v>0</v>
      </c>
      <c r="AQ62" s="49">
        <v>0</v>
      </c>
      <c r="AR62" s="48">
        <v>0</v>
      </c>
      <c r="AS62" s="49">
        <v>0</v>
      </c>
      <c r="AT62" s="48">
        <v>0</v>
      </c>
      <c r="AU62" s="49">
        <v>0</v>
      </c>
      <c r="AV62" s="48">
        <v>11</v>
      </c>
      <c r="AW62" s="49">
        <v>100</v>
      </c>
      <c r="AX62" s="48">
        <v>11</v>
      </c>
      <c r="AY62" s="48"/>
      <c r="AZ62" s="48"/>
      <c r="BA62" s="48"/>
      <c r="BB62" s="48"/>
      <c r="BC62" s="2"/>
      <c r="BD62" s="3"/>
      <c r="BE62" s="3"/>
      <c r="BF62" s="3"/>
      <c r="BG62" s="3"/>
    </row>
    <row r="63" spans="1:59" ht="15">
      <c r="A63" s="66" t="s">
        <v>514</v>
      </c>
      <c r="B63" s="67" t="s">
        <v>4456</v>
      </c>
      <c r="C63" s="67" t="s">
        <v>64</v>
      </c>
      <c r="D63" s="68">
        <v>296</v>
      </c>
      <c r="E63" s="70"/>
      <c r="F63" s="97" t="str">
        <f>HYPERLINK("https://i.ytimg.com/vi/WVnevZMSLDY/default_live.jpg")</f>
        <v>https://i.ytimg.com/vi/WVnevZMSLDY/default_live.jpg</v>
      </c>
      <c r="G63" s="67"/>
      <c r="H63" s="71" t="s">
        <v>1243</v>
      </c>
      <c r="I63" s="72"/>
      <c r="J63" s="72" t="s">
        <v>75</v>
      </c>
      <c r="K63" s="71" t="s">
        <v>1243</v>
      </c>
      <c r="L63" s="75">
        <v>2889.311111111111</v>
      </c>
      <c r="M63" s="76">
        <v>7265.4140625</v>
      </c>
      <c r="N63" s="76">
        <v>7100.388671875</v>
      </c>
      <c r="O63" s="77"/>
      <c r="P63" s="78"/>
      <c r="Q63" s="78"/>
      <c r="R63" s="82"/>
      <c r="S63" s="48">
        <v>13</v>
      </c>
      <c r="T63" s="48">
        <v>0</v>
      </c>
      <c r="U63" s="49">
        <v>16.572478</v>
      </c>
      <c r="V63" s="49">
        <v>0.001658</v>
      </c>
      <c r="W63" s="49">
        <v>0.004486</v>
      </c>
      <c r="X63" s="49">
        <v>0.95655</v>
      </c>
      <c r="Y63" s="49">
        <v>0.3717948717948718</v>
      </c>
      <c r="Z63" s="49">
        <v>0</v>
      </c>
      <c r="AA63" s="73">
        <v>63</v>
      </c>
      <c r="AB63" s="73"/>
      <c r="AC63" s="74"/>
      <c r="AD63" s="80" t="s">
        <v>1243</v>
      </c>
      <c r="AE63" s="80" t="s">
        <v>1925</v>
      </c>
      <c r="AF63" s="80"/>
      <c r="AG63" s="80" t="s">
        <v>3081</v>
      </c>
      <c r="AH63" s="80" t="s">
        <v>3655</v>
      </c>
      <c r="AI63" s="80">
        <v>990</v>
      </c>
      <c r="AJ63" s="80">
        <v>0</v>
      </c>
      <c r="AK63" s="80">
        <v>99</v>
      </c>
      <c r="AL63" s="80">
        <v>0</v>
      </c>
      <c r="AM63" s="80" t="s">
        <v>4098</v>
      </c>
      <c r="AN63" s="96" t="str">
        <f>HYPERLINK("https://www.youtube.com/watch?v=WVnevZMSLDY")</f>
        <v>https://www.youtube.com/watch?v=WVnevZMSLDY</v>
      </c>
      <c r="AO63" s="80" t="str">
        <f>REPLACE(INDEX(GroupVertices[Group],MATCH(Vertices[[#This Row],[Vertex]],GroupVertices[Vertex],0)),1,1,"")</f>
        <v>3</v>
      </c>
      <c r="AP63" s="48"/>
      <c r="AQ63" s="49"/>
      <c r="AR63" s="48"/>
      <c r="AS63" s="49"/>
      <c r="AT63" s="48"/>
      <c r="AU63" s="49"/>
      <c r="AV63" s="48"/>
      <c r="AW63" s="49"/>
      <c r="AX63" s="48"/>
      <c r="AY63" s="48"/>
      <c r="AZ63" s="48"/>
      <c r="BA63" s="48"/>
      <c r="BB63" s="48"/>
      <c r="BC63" s="2"/>
      <c r="BD63" s="3"/>
      <c r="BE63" s="3"/>
      <c r="BF63" s="3"/>
      <c r="BG63" s="3"/>
    </row>
    <row r="64" spans="1:59" ht="15">
      <c r="A64" s="66" t="s">
        <v>737</v>
      </c>
      <c r="B64" s="67" t="s">
        <v>4456</v>
      </c>
      <c r="C64" s="67" t="s">
        <v>64</v>
      </c>
      <c r="D64" s="68">
        <v>274</v>
      </c>
      <c r="E64" s="70"/>
      <c r="F64" s="97" t="str">
        <f>HYPERLINK("https://i.ytimg.com/vi/bXCBh6QH5W0/default.jpg")</f>
        <v>https://i.ytimg.com/vi/bXCBh6QH5W0/default.jpg</v>
      </c>
      <c r="G64" s="67"/>
      <c r="H64" s="71" t="s">
        <v>1478</v>
      </c>
      <c r="I64" s="72"/>
      <c r="J64" s="72" t="s">
        <v>75</v>
      </c>
      <c r="K64" s="71" t="s">
        <v>1478</v>
      </c>
      <c r="L64" s="75">
        <v>2667.133333333333</v>
      </c>
      <c r="M64" s="76">
        <v>4227.515625</v>
      </c>
      <c r="N64" s="76">
        <v>6367.3173828125</v>
      </c>
      <c r="O64" s="77"/>
      <c r="P64" s="78"/>
      <c r="Q64" s="78"/>
      <c r="R64" s="82"/>
      <c r="S64" s="48">
        <v>12</v>
      </c>
      <c r="T64" s="48">
        <v>0</v>
      </c>
      <c r="U64" s="49">
        <v>16.181271</v>
      </c>
      <c r="V64" s="49">
        <v>0.001706</v>
      </c>
      <c r="W64" s="49">
        <v>0.004933</v>
      </c>
      <c r="X64" s="49">
        <v>0.902606</v>
      </c>
      <c r="Y64" s="49">
        <v>0.4772727272727273</v>
      </c>
      <c r="Z64" s="49">
        <v>0</v>
      </c>
      <c r="AA64" s="73">
        <v>64</v>
      </c>
      <c r="AB64" s="73"/>
      <c r="AC64" s="74"/>
      <c r="AD64" s="80" t="s">
        <v>1478</v>
      </c>
      <c r="AE64" s="80" t="s">
        <v>2134</v>
      </c>
      <c r="AF64" s="80" t="s">
        <v>2722</v>
      </c>
      <c r="AG64" s="80" t="s">
        <v>3247</v>
      </c>
      <c r="AH64" s="80" t="s">
        <v>3891</v>
      </c>
      <c r="AI64" s="80">
        <v>74706</v>
      </c>
      <c r="AJ64" s="80">
        <v>10</v>
      </c>
      <c r="AK64" s="80">
        <v>193</v>
      </c>
      <c r="AL64" s="80">
        <v>9</v>
      </c>
      <c r="AM64" s="80" t="s">
        <v>4098</v>
      </c>
      <c r="AN64" s="96" t="str">
        <f>HYPERLINK("https://www.youtube.com/watch?v=bXCBh6QH5W0")</f>
        <v>https://www.youtube.com/watch?v=bXCBh6QH5W0</v>
      </c>
      <c r="AO64" s="80" t="str">
        <f>REPLACE(INDEX(GroupVertices[Group],MATCH(Vertices[[#This Row],[Vertex]],GroupVertices[Vertex],0)),1,1,"")</f>
        <v>1</v>
      </c>
      <c r="AP64" s="48">
        <v>0</v>
      </c>
      <c r="AQ64" s="49">
        <v>0</v>
      </c>
      <c r="AR64" s="48">
        <v>1</v>
      </c>
      <c r="AS64" s="49">
        <v>5.555555555555555</v>
      </c>
      <c r="AT64" s="48">
        <v>0</v>
      </c>
      <c r="AU64" s="49">
        <v>0</v>
      </c>
      <c r="AV64" s="48">
        <v>17</v>
      </c>
      <c r="AW64" s="49">
        <v>94.44444444444444</v>
      </c>
      <c r="AX64" s="48">
        <v>18</v>
      </c>
      <c r="AY64" s="48"/>
      <c r="AZ64" s="48"/>
      <c r="BA64" s="48"/>
      <c r="BB64" s="48"/>
      <c r="BC64" s="2"/>
      <c r="BD64" s="3"/>
      <c r="BE64" s="3"/>
      <c r="BF64" s="3"/>
      <c r="BG64" s="3"/>
    </row>
    <row r="65" spans="1:59" ht="15">
      <c r="A65" s="66" t="s">
        <v>812</v>
      </c>
      <c r="B65" s="67" t="s">
        <v>4456</v>
      </c>
      <c r="C65" s="67" t="s">
        <v>64</v>
      </c>
      <c r="D65" s="68">
        <v>252</v>
      </c>
      <c r="E65" s="70"/>
      <c r="F65" s="97" t="str">
        <f>HYPERLINK("https://i.ytimg.com/vi/-QnXj5_BUbo/default.jpg")</f>
        <v>https://i.ytimg.com/vi/-QnXj5_BUbo/default.jpg</v>
      </c>
      <c r="G65" s="67"/>
      <c r="H65" s="71" t="s">
        <v>1552</v>
      </c>
      <c r="I65" s="72"/>
      <c r="J65" s="72" t="s">
        <v>75</v>
      </c>
      <c r="K65" s="71" t="s">
        <v>1552</v>
      </c>
      <c r="L65" s="75">
        <v>2444.9555555555557</v>
      </c>
      <c r="M65" s="76">
        <v>8852.67578125</v>
      </c>
      <c r="N65" s="76">
        <v>6641.6611328125</v>
      </c>
      <c r="O65" s="77"/>
      <c r="P65" s="78"/>
      <c r="Q65" s="78"/>
      <c r="R65" s="82"/>
      <c r="S65" s="48">
        <v>11</v>
      </c>
      <c r="T65" s="48">
        <v>0</v>
      </c>
      <c r="U65" s="49">
        <v>14.683202</v>
      </c>
      <c r="V65" s="49">
        <v>0.001675</v>
      </c>
      <c r="W65" s="49">
        <v>0.004048</v>
      </c>
      <c r="X65" s="49">
        <v>0.84451</v>
      </c>
      <c r="Y65" s="49">
        <v>0.43636363636363634</v>
      </c>
      <c r="Z65" s="49">
        <v>0</v>
      </c>
      <c r="AA65" s="73">
        <v>65</v>
      </c>
      <c r="AB65" s="73"/>
      <c r="AC65" s="74"/>
      <c r="AD65" s="80" t="s">
        <v>1552</v>
      </c>
      <c r="AE65" s="80" t="s">
        <v>2200</v>
      </c>
      <c r="AF65" s="80" t="s">
        <v>2785</v>
      </c>
      <c r="AG65" s="80" t="s">
        <v>2907</v>
      </c>
      <c r="AH65" s="80" t="s">
        <v>3966</v>
      </c>
      <c r="AI65" s="80">
        <v>5996</v>
      </c>
      <c r="AJ65" s="80">
        <v>7</v>
      </c>
      <c r="AK65" s="80">
        <v>18</v>
      </c>
      <c r="AL65" s="80">
        <v>0</v>
      </c>
      <c r="AM65" s="80" t="s">
        <v>4098</v>
      </c>
      <c r="AN65" s="96" t="str">
        <f>HYPERLINK("https://www.youtube.com/watch?v=-QnXj5_BUbo")</f>
        <v>https://www.youtube.com/watch?v=-QnXj5_BUbo</v>
      </c>
      <c r="AO65" s="80" t="str">
        <f>REPLACE(INDEX(GroupVertices[Group],MATCH(Vertices[[#This Row],[Vertex]],GroupVertices[Vertex],0)),1,1,"")</f>
        <v>3</v>
      </c>
      <c r="AP65" s="48">
        <v>0</v>
      </c>
      <c r="AQ65" s="49">
        <v>0</v>
      </c>
      <c r="AR65" s="48">
        <v>0</v>
      </c>
      <c r="AS65" s="49">
        <v>0</v>
      </c>
      <c r="AT65" s="48">
        <v>0</v>
      </c>
      <c r="AU65" s="49">
        <v>0</v>
      </c>
      <c r="AV65" s="48">
        <v>7</v>
      </c>
      <c r="AW65" s="49">
        <v>100</v>
      </c>
      <c r="AX65" s="48">
        <v>7</v>
      </c>
      <c r="AY65" s="48"/>
      <c r="AZ65" s="48"/>
      <c r="BA65" s="48"/>
      <c r="BB65" s="48"/>
      <c r="BC65" s="2"/>
      <c r="BD65" s="3"/>
      <c r="BE65" s="3"/>
      <c r="BF65" s="3"/>
      <c r="BG65" s="3"/>
    </row>
    <row r="66" spans="1:59" ht="15">
      <c r="A66" s="66" t="s">
        <v>869</v>
      </c>
      <c r="B66" s="67" t="s">
        <v>4456</v>
      </c>
      <c r="C66" s="67" t="s">
        <v>64</v>
      </c>
      <c r="D66" s="68">
        <v>208</v>
      </c>
      <c r="E66" s="70"/>
      <c r="F66" s="97" t="str">
        <f>HYPERLINK("https://i.ytimg.com/vi/ti-98tIzfEk/default.jpg")</f>
        <v>https://i.ytimg.com/vi/ti-98tIzfEk/default.jpg</v>
      </c>
      <c r="G66" s="67"/>
      <c r="H66" s="71" t="s">
        <v>1608</v>
      </c>
      <c r="I66" s="72"/>
      <c r="J66" s="72" t="s">
        <v>75</v>
      </c>
      <c r="K66" s="71" t="s">
        <v>1608</v>
      </c>
      <c r="L66" s="75">
        <v>2000.6</v>
      </c>
      <c r="M66" s="76">
        <v>2764.93994140625</v>
      </c>
      <c r="N66" s="76">
        <v>6206.22412109375</v>
      </c>
      <c r="O66" s="77"/>
      <c r="P66" s="78"/>
      <c r="Q66" s="78"/>
      <c r="R66" s="82"/>
      <c r="S66" s="48">
        <v>9</v>
      </c>
      <c r="T66" s="48">
        <v>0</v>
      </c>
      <c r="U66" s="49">
        <v>14.580751</v>
      </c>
      <c r="V66" s="49">
        <v>0.001675</v>
      </c>
      <c r="W66" s="49">
        <v>0.003292</v>
      </c>
      <c r="X66" s="49">
        <v>0.740834</v>
      </c>
      <c r="Y66" s="49">
        <v>0.4722222222222222</v>
      </c>
      <c r="Z66" s="49">
        <v>0</v>
      </c>
      <c r="AA66" s="73">
        <v>66</v>
      </c>
      <c r="AB66" s="73"/>
      <c r="AC66" s="74"/>
      <c r="AD66" s="80" t="s">
        <v>1608</v>
      </c>
      <c r="AE66" s="80" t="s">
        <v>2247</v>
      </c>
      <c r="AF66" s="80" t="s">
        <v>2829</v>
      </c>
      <c r="AG66" s="80" t="s">
        <v>3327</v>
      </c>
      <c r="AH66" s="80" t="s">
        <v>4023</v>
      </c>
      <c r="AI66" s="80">
        <v>11084</v>
      </c>
      <c r="AJ66" s="80">
        <v>5</v>
      </c>
      <c r="AK66" s="80">
        <v>38</v>
      </c>
      <c r="AL66" s="80">
        <v>5</v>
      </c>
      <c r="AM66" s="80" t="s">
        <v>4098</v>
      </c>
      <c r="AN66" s="96" t="str">
        <f>HYPERLINK("https://www.youtube.com/watch?v=ti-98tIzfEk")</f>
        <v>https://www.youtube.com/watch?v=ti-98tIzfEk</v>
      </c>
      <c r="AO66" s="80" t="str">
        <f>REPLACE(INDEX(GroupVertices[Group],MATCH(Vertices[[#This Row],[Vertex]],GroupVertices[Vertex],0)),1,1,"")</f>
        <v>1</v>
      </c>
      <c r="AP66" s="48">
        <v>0</v>
      </c>
      <c r="AQ66" s="49">
        <v>0</v>
      </c>
      <c r="AR66" s="48">
        <v>0</v>
      </c>
      <c r="AS66" s="49">
        <v>0</v>
      </c>
      <c r="AT66" s="48">
        <v>0</v>
      </c>
      <c r="AU66" s="49">
        <v>0</v>
      </c>
      <c r="AV66" s="48">
        <v>5</v>
      </c>
      <c r="AW66" s="49">
        <v>100</v>
      </c>
      <c r="AX66" s="48">
        <v>5</v>
      </c>
      <c r="AY66" s="48"/>
      <c r="AZ66" s="48"/>
      <c r="BA66" s="48"/>
      <c r="BB66" s="48"/>
      <c r="BC66" s="2"/>
      <c r="BD66" s="3"/>
      <c r="BE66" s="3"/>
      <c r="BF66" s="3"/>
      <c r="BG66" s="3"/>
    </row>
    <row r="67" spans="1:59" ht="15">
      <c r="A67" s="66" t="s">
        <v>663</v>
      </c>
      <c r="B67" s="67" t="s">
        <v>4456</v>
      </c>
      <c r="C67" s="67" t="s">
        <v>64</v>
      </c>
      <c r="D67" s="68">
        <v>274</v>
      </c>
      <c r="E67" s="70"/>
      <c r="F67" s="97" t="str">
        <f>HYPERLINK("https://i.ytimg.com/vi/JqQFnCQHVx4/default.jpg")</f>
        <v>https://i.ytimg.com/vi/JqQFnCQHVx4/default.jpg</v>
      </c>
      <c r="G67" s="67"/>
      <c r="H67" s="71" t="s">
        <v>1403</v>
      </c>
      <c r="I67" s="72"/>
      <c r="J67" s="72" t="s">
        <v>75</v>
      </c>
      <c r="K67" s="71" t="s">
        <v>1403</v>
      </c>
      <c r="L67" s="75">
        <v>2667.133333333333</v>
      </c>
      <c r="M67" s="76">
        <v>3262.379150390625</v>
      </c>
      <c r="N67" s="76">
        <v>7905.0947265625</v>
      </c>
      <c r="O67" s="77"/>
      <c r="P67" s="78"/>
      <c r="Q67" s="78"/>
      <c r="R67" s="82"/>
      <c r="S67" s="48">
        <v>12</v>
      </c>
      <c r="T67" s="48">
        <v>0</v>
      </c>
      <c r="U67" s="49">
        <v>12.560566</v>
      </c>
      <c r="V67" s="49">
        <v>0.001684</v>
      </c>
      <c r="W67" s="49">
        <v>0.004629</v>
      </c>
      <c r="X67" s="49">
        <v>0.899138</v>
      </c>
      <c r="Y67" s="49">
        <v>0.5075757575757576</v>
      </c>
      <c r="Z67" s="49">
        <v>0</v>
      </c>
      <c r="AA67" s="73">
        <v>67</v>
      </c>
      <c r="AB67" s="73"/>
      <c r="AC67" s="74"/>
      <c r="AD67" s="80" t="s">
        <v>1403</v>
      </c>
      <c r="AE67" s="80" t="s">
        <v>2064</v>
      </c>
      <c r="AF67" s="80" t="s">
        <v>2656</v>
      </c>
      <c r="AG67" s="80" t="s">
        <v>3195</v>
      </c>
      <c r="AH67" s="80" t="s">
        <v>3815</v>
      </c>
      <c r="AI67" s="80">
        <v>45832</v>
      </c>
      <c r="AJ67" s="80">
        <v>12</v>
      </c>
      <c r="AK67" s="80">
        <v>104</v>
      </c>
      <c r="AL67" s="80">
        <v>8</v>
      </c>
      <c r="AM67" s="80" t="s">
        <v>4098</v>
      </c>
      <c r="AN67" s="96" t="str">
        <f>HYPERLINK("https://www.youtube.com/watch?v=JqQFnCQHVx4")</f>
        <v>https://www.youtube.com/watch?v=JqQFnCQHVx4</v>
      </c>
      <c r="AO67" s="80" t="str">
        <f>REPLACE(INDEX(GroupVertices[Group],MATCH(Vertices[[#This Row],[Vertex]],GroupVertices[Vertex],0)),1,1,"")</f>
        <v>1</v>
      </c>
      <c r="AP67" s="48">
        <v>0</v>
      </c>
      <c r="AQ67" s="49">
        <v>0</v>
      </c>
      <c r="AR67" s="48">
        <v>0</v>
      </c>
      <c r="AS67" s="49">
        <v>0</v>
      </c>
      <c r="AT67" s="48">
        <v>0</v>
      </c>
      <c r="AU67" s="49">
        <v>0</v>
      </c>
      <c r="AV67" s="48">
        <v>8</v>
      </c>
      <c r="AW67" s="49">
        <v>100</v>
      </c>
      <c r="AX67" s="48">
        <v>8</v>
      </c>
      <c r="AY67" s="48"/>
      <c r="AZ67" s="48"/>
      <c r="BA67" s="48"/>
      <c r="BB67" s="48"/>
      <c r="BC67" s="2"/>
      <c r="BD67" s="3"/>
      <c r="BE67" s="3"/>
      <c r="BF67" s="3"/>
      <c r="BG67" s="3"/>
    </row>
    <row r="68" spans="1:59" ht="15">
      <c r="A68" s="66" t="s">
        <v>470</v>
      </c>
      <c r="B68" s="67" t="s">
        <v>4456</v>
      </c>
      <c r="C68" s="67" t="s">
        <v>56</v>
      </c>
      <c r="D68" s="68">
        <v>76</v>
      </c>
      <c r="E68" s="70"/>
      <c r="F68" s="97" t="str">
        <f>HYPERLINK("https://i.ytimg.com/vi/sB8ff2AYCvI/default.jpg")</f>
        <v>https://i.ytimg.com/vi/sB8ff2AYCvI/default.jpg</v>
      </c>
      <c r="G68" s="67"/>
      <c r="H68" s="71" t="s">
        <v>1181</v>
      </c>
      <c r="I68" s="72"/>
      <c r="J68" s="72" t="s">
        <v>159</v>
      </c>
      <c r="K68" s="71" t="s">
        <v>1181</v>
      </c>
      <c r="L68" s="75">
        <v>667.5333333333333</v>
      </c>
      <c r="M68" s="76">
        <v>1801.1195068359375</v>
      </c>
      <c r="N68" s="76">
        <v>4964.2666015625</v>
      </c>
      <c r="O68" s="77"/>
      <c r="P68" s="78"/>
      <c r="Q68" s="78"/>
      <c r="R68" s="82"/>
      <c r="S68" s="48">
        <v>3</v>
      </c>
      <c r="T68" s="48">
        <v>0</v>
      </c>
      <c r="U68" s="49">
        <v>9.150838</v>
      </c>
      <c r="V68" s="49">
        <v>0.00142</v>
      </c>
      <c r="W68" s="49">
        <v>0.000507</v>
      </c>
      <c r="X68" s="49">
        <v>0.380536</v>
      </c>
      <c r="Y68" s="49">
        <v>0.3333333333333333</v>
      </c>
      <c r="Z68" s="49">
        <v>0</v>
      </c>
      <c r="AA68" s="73">
        <v>68</v>
      </c>
      <c r="AB68" s="73"/>
      <c r="AC68" s="74"/>
      <c r="AD68" s="80" t="s">
        <v>1181</v>
      </c>
      <c r="AE68" s="80" t="s">
        <v>1870</v>
      </c>
      <c r="AF68" s="80" t="s">
        <v>2422</v>
      </c>
      <c r="AG68" s="80" t="s">
        <v>2992</v>
      </c>
      <c r="AH68" s="80" t="s">
        <v>3594</v>
      </c>
      <c r="AI68" s="80">
        <v>4829</v>
      </c>
      <c r="AJ68" s="80">
        <v>3</v>
      </c>
      <c r="AK68" s="80">
        <v>5</v>
      </c>
      <c r="AL68" s="80">
        <v>1</v>
      </c>
      <c r="AM68" s="80" t="s">
        <v>4098</v>
      </c>
      <c r="AN68" s="96" t="str">
        <f>HYPERLINK("https://www.youtube.com/watch?v=sB8ff2AYCvI")</f>
        <v>https://www.youtube.com/watch?v=sB8ff2AYCvI</v>
      </c>
      <c r="AO68" s="80" t="str">
        <f>REPLACE(INDEX(GroupVertices[Group],MATCH(Vertices[[#This Row],[Vertex]],GroupVertices[Vertex],0)),1,1,"")</f>
        <v>1</v>
      </c>
      <c r="AP68" s="48">
        <v>0</v>
      </c>
      <c r="AQ68" s="49">
        <v>0</v>
      </c>
      <c r="AR68" s="48">
        <v>0</v>
      </c>
      <c r="AS68" s="49">
        <v>0</v>
      </c>
      <c r="AT68" s="48">
        <v>0</v>
      </c>
      <c r="AU68" s="49">
        <v>0</v>
      </c>
      <c r="AV68" s="48">
        <v>3</v>
      </c>
      <c r="AW68" s="49">
        <v>100</v>
      </c>
      <c r="AX68" s="48">
        <v>3</v>
      </c>
      <c r="AY68" s="48"/>
      <c r="AZ68" s="48"/>
      <c r="BA68" s="48"/>
      <c r="BB68" s="48"/>
      <c r="BC68" s="2"/>
      <c r="BD68" s="3"/>
      <c r="BE68" s="3"/>
      <c r="BF68" s="3"/>
      <c r="BG68" s="3"/>
    </row>
    <row r="69" spans="1:59" ht="15">
      <c r="A69" s="66" t="s">
        <v>599</v>
      </c>
      <c r="B69" s="67" t="s">
        <v>4456</v>
      </c>
      <c r="C69" s="67" t="s">
        <v>64</v>
      </c>
      <c r="D69" s="68">
        <v>230</v>
      </c>
      <c r="E69" s="70"/>
      <c r="F69" s="97" t="str">
        <f>HYPERLINK("https://i.ytimg.com/vi/Axw0hU71zQw/default.jpg")</f>
        <v>https://i.ytimg.com/vi/Axw0hU71zQw/default.jpg</v>
      </c>
      <c r="G69" s="67"/>
      <c r="H69" s="71" t="s">
        <v>1335</v>
      </c>
      <c r="I69" s="72"/>
      <c r="J69" s="72" t="s">
        <v>75</v>
      </c>
      <c r="K69" s="71" t="s">
        <v>1335</v>
      </c>
      <c r="L69" s="75">
        <v>2222.777777777778</v>
      </c>
      <c r="M69" s="76">
        <v>2844.373291015625</v>
      </c>
      <c r="N69" s="76">
        <v>8319.9150390625</v>
      </c>
      <c r="O69" s="77"/>
      <c r="P69" s="78"/>
      <c r="Q69" s="78"/>
      <c r="R69" s="82"/>
      <c r="S69" s="48">
        <v>10</v>
      </c>
      <c r="T69" s="48">
        <v>0</v>
      </c>
      <c r="U69" s="49">
        <v>9.011264</v>
      </c>
      <c r="V69" s="49">
        <v>0.001661</v>
      </c>
      <c r="W69" s="49">
        <v>0.003684</v>
      </c>
      <c r="X69" s="49">
        <v>0.787149</v>
      </c>
      <c r="Y69" s="49">
        <v>0.45555555555555555</v>
      </c>
      <c r="Z69" s="49">
        <v>0</v>
      </c>
      <c r="AA69" s="73">
        <v>69</v>
      </c>
      <c r="AB69" s="73"/>
      <c r="AC69" s="74"/>
      <c r="AD69" s="80" t="s">
        <v>1335</v>
      </c>
      <c r="AE69" s="80" t="s">
        <v>2002</v>
      </c>
      <c r="AF69" s="80" t="s">
        <v>2603</v>
      </c>
      <c r="AG69" s="80" t="s">
        <v>3147</v>
      </c>
      <c r="AH69" s="80" t="s">
        <v>3746</v>
      </c>
      <c r="AI69" s="80">
        <v>2473</v>
      </c>
      <c r="AJ69" s="80">
        <v>0</v>
      </c>
      <c r="AK69" s="80">
        <v>14</v>
      </c>
      <c r="AL69" s="80">
        <v>0</v>
      </c>
      <c r="AM69" s="80" t="s">
        <v>4098</v>
      </c>
      <c r="AN69" s="96" t="str">
        <f>HYPERLINK("https://www.youtube.com/watch?v=Axw0hU71zQw")</f>
        <v>https://www.youtube.com/watch?v=Axw0hU71zQw</v>
      </c>
      <c r="AO69" s="80" t="str">
        <f>REPLACE(INDEX(GroupVertices[Group],MATCH(Vertices[[#This Row],[Vertex]],GroupVertices[Vertex],0)),1,1,"")</f>
        <v>1</v>
      </c>
      <c r="AP69" s="48">
        <v>5</v>
      </c>
      <c r="AQ69" s="49">
        <v>9.615384615384615</v>
      </c>
      <c r="AR69" s="48">
        <v>0</v>
      </c>
      <c r="AS69" s="49">
        <v>0</v>
      </c>
      <c r="AT69" s="48">
        <v>0</v>
      </c>
      <c r="AU69" s="49">
        <v>0</v>
      </c>
      <c r="AV69" s="48">
        <v>47</v>
      </c>
      <c r="AW69" s="49">
        <v>90.38461538461539</v>
      </c>
      <c r="AX69" s="48">
        <v>52</v>
      </c>
      <c r="AY69" s="48"/>
      <c r="AZ69" s="48"/>
      <c r="BA69" s="48"/>
      <c r="BB69" s="48"/>
      <c r="BC69" s="2"/>
      <c r="BD69" s="3"/>
      <c r="BE69" s="3"/>
      <c r="BF69" s="3"/>
      <c r="BG69" s="3"/>
    </row>
    <row r="70" spans="1:59" ht="15">
      <c r="A70" s="66" t="s">
        <v>872</v>
      </c>
      <c r="B70" s="67" t="s">
        <v>4456</v>
      </c>
      <c r="C70" s="67" t="s">
        <v>56</v>
      </c>
      <c r="D70" s="68">
        <v>98</v>
      </c>
      <c r="E70" s="70"/>
      <c r="F70" s="97" t="str">
        <f>HYPERLINK("https://i.ytimg.com/vi/N_mMXvNPE8Y/default.jpg")</f>
        <v>https://i.ytimg.com/vi/N_mMXvNPE8Y/default.jpg</v>
      </c>
      <c r="G70" s="67"/>
      <c r="H70" s="71" t="s">
        <v>1611</v>
      </c>
      <c r="I70" s="72"/>
      <c r="J70" s="72" t="s">
        <v>159</v>
      </c>
      <c r="K70" s="71" t="s">
        <v>1611</v>
      </c>
      <c r="L70" s="75">
        <v>889.7111111111111</v>
      </c>
      <c r="M70" s="76">
        <v>6762.27001953125</v>
      </c>
      <c r="N70" s="76">
        <v>3864.03076171875</v>
      </c>
      <c r="O70" s="77"/>
      <c r="P70" s="78"/>
      <c r="Q70" s="78"/>
      <c r="R70" s="82"/>
      <c r="S70" s="48">
        <v>4</v>
      </c>
      <c r="T70" s="48">
        <v>0</v>
      </c>
      <c r="U70" s="49">
        <v>8.563101</v>
      </c>
      <c r="V70" s="49">
        <v>0.001527</v>
      </c>
      <c r="W70" s="49">
        <v>0.001454</v>
      </c>
      <c r="X70" s="49">
        <v>0.410095</v>
      </c>
      <c r="Y70" s="49">
        <v>0.3333333333333333</v>
      </c>
      <c r="Z70" s="49">
        <v>0</v>
      </c>
      <c r="AA70" s="73">
        <v>70</v>
      </c>
      <c r="AB70" s="73"/>
      <c r="AC70" s="74"/>
      <c r="AD70" s="80" t="s">
        <v>1611</v>
      </c>
      <c r="AE70" s="80" t="s">
        <v>2250</v>
      </c>
      <c r="AF70" s="80" t="s">
        <v>2832</v>
      </c>
      <c r="AG70" s="80" t="s">
        <v>2907</v>
      </c>
      <c r="AH70" s="80" t="s">
        <v>4026</v>
      </c>
      <c r="AI70" s="80">
        <v>11899</v>
      </c>
      <c r="AJ70" s="80">
        <v>13</v>
      </c>
      <c r="AK70" s="80">
        <v>134</v>
      </c>
      <c r="AL70" s="80">
        <v>2</v>
      </c>
      <c r="AM70" s="80" t="s">
        <v>4098</v>
      </c>
      <c r="AN70" s="96" t="str">
        <f>HYPERLINK("https://www.youtube.com/watch?v=N_mMXvNPE8Y")</f>
        <v>https://www.youtube.com/watch?v=N_mMXvNPE8Y</v>
      </c>
      <c r="AO70" s="80" t="str">
        <f>REPLACE(INDEX(GroupVertices[Group],MATCH(Vertices[[#This Row],[Vertex]],GroupVertices[Vertex],0)),1,1,"")</f>
        <v>4</v>
      </c>
      <c r="AP70" s="48">
        <v>0</v>
      </c>
      <c r="AQ70" s="49">
        <v>0</v>
      </c>
      <c r="AR70" s="48">
        <v>0</v>
      </c>
      <c r="AS70" s="49">
        <v>0</v>
      </c>
      <c r="AT70" s="48">
        <v>0</v>
      </c>
      <c r="AU70" s="49">
        <v>0</v>
      </c>
      <c r="AV70" s="48">
        <v>17</v>
      </c>
      <c r="AW70" s="49">
        <v>100</v>
      </c>
      <c r="AX70" s="48">
        <v>17</v>
      </c>
      <c r="AY70" s="48"/>
      <c r="AZ70" s="48"/>
      <c r="BA70" s="48"/>
      <c r="BB70" s="48"/>
      <c r="BC70" s="2"/>
      <c r="BD70" s="3"/>
      <c r="BE70" s="3"/>
      <c r="BF70" s="3"/>
      <c r="BG70" s="3"/>
    </row>
    <row r="71" spans="1:59" ht="15">
      <c r="A71" s="66" t="s">
        <v>505</v>
      </c>
      <c r="B71" s="67" t="s">
        <v>4456</v>
      </c>
      <c r="C71" s="67" t="s">
        <v>64</v>
      </c>
      <c r="D71" s="68">
        <v>142</v>
      </c>
      <c r="E71" s="70"/>
      <c r="F71" s="97" t="str">
        <f>HYPERLINK("https://i.ytimg.com/vi/ByE9IG1PtOs/default.jpg")</f>
        <v>https://i.ytimg.com/vi/ByE9IG1PtOs/default.jpg</v>
      </c>
      <c r="G71" s="67"/>
      <c r="H71" s="71" t="s">
        <v>1221</v>
      </c>
      <c r="I71" s="72"/>
      <c r="J71" s="72" t="s">
        <v>75</v>
      </c>
      <c r="K71" s="71" t="s">
        <v>1221</v>
      </c>
      <c r="L71" s="75">
        <v>1334.0666666666666</v>
      </c>
      <c r="M71" s="76">
        <v>2786.468505859375</v>
      </c>
      <c r="N71" s="76">
        <v>5740.20166015625</v>
      </c>
      <c r="O71" s="77"/>
      <c r="P71" s="78"/>
      <c r="Q71" s="78"/>
      <c r="R71" s="82"/>
      <c r="S71" s="48">
        <v>6</v>
      </c>
      <c r="T71" s="48">
        <v>0</v>
      </c>
      <c r="U71" s="49">
        <v>8.544173</v>
      </c>
      <c r="V71" s="49">
        <v>0.001527</v>
      </c>
      <c r="W71" s="49">
        <v>0.001691</v>
      </c>
      <c r="X71" s="49">
        <v>0.53762</v>
      </c>
      <c r="Y71" s="49">
        <v>0.3333333333333333</v>
      </c>
      <c r="Z71" s="49">
        <v>0</v>
      </c>
      <c r="AA71" s="73">
        <v>71</v>
      </c>
      <c r="AB71" s="73"/>
      <c r="AC71" s="74"/>
      <c r="AD71" s="80" t="s">
        <v>1221</v>
      </c>
      <c r="AE71" s="80" t="s">
        <v>1904</v>
      </c>
      <c r="AF71" s="80"/>
      <c r="AG71" s="80" t="s">
        <v>3074</v>
      </c>
      <c r="AH71" s="80" t="s">
        <v>3633</v>
      </c>
      <c r="AI71" s="80">
        <v>121</v>
      </c>
      <c r="AJ71" s="80">
        <v>0</v>
      </c>
      <c r="AK71" s="80">
        <v>0</v>
      </c>
      <c r="AL71" s="80">
        <v>0</v>
      </c>
      <c r="AM71" s="80" t="s">
        <v>4098</v>
      </c>
      <c r="AN71" s="96" t="str">
        <f>HYPERLINK("https://www.youtube.com/watch?v=ByE9IG1PtOs")</f>
        <v>https://www.youtube.com/watch?v=ByE9IG1PtOs</v>
      </c>
      <c r="AO71" s="80" t="str">
        <f>REPLACE(INDEX(GroupVertices[Group],MATCH(Vertices[[#This Row],[Vertex]],GroupVertices[Vertex],0)),1,1,"")</f>
        <v>1</v>
      </c>
      <c r="AP71" s="48"/>
      <c r="AQ71" s="49"/>
      <c r="AR71" s="48"/>
      <c r="AS71" s="49"/>
      <c r="AT71" s="48"/>
      <c r="AU71" s="49"/>
      <c r="AV71" s="48"/>
      <c r="AW71" s="49"/>
      <c r="AX71" s="48"/>
      <c r="AY71" s="48"/>
      <c r="AZ71" s="48"/>
      <c r="BA71" s="48"/>
      <c r="BB71" s="48"/>
      <c r="BC71" s="2"/>
      <c r="BD71" s="3"/>
      <c r="BE71" s="3"/>
      <c r="BF71" s="3"/>
      <c r="BG71" s="3"/>
    </row>
    <row r="72" spans="1:59" ht="15">
      <c r="A72" s="66" t="s">
        <v>508</v>
      </c>
      <c r="B72" s="67" t="s">
        <v>4456</v>
      </c>
      <c r="C72" s="67" t="s">
        <v>64</v>
      </c>
      <c r="D72" s="68">
        <v>274</v>
      </c>
      <c r="E72" s="70"/>
      <c r="F72" s="97" t="str">
        <f>HYPERLINK("https://i.ytimg.com/vi/Ges_y5lHgsY/default.jpg")</f>
        <v>https://i.ytimg.com/vi/Ges_y5lHgsY/default.jpg</v>
      </c>
      <c r="G72" s="67"/>
      <c r="H72" s="71" t="s">
        <v>1226</v>
      </c>
      <c r="I72" s="72"/>
      <c r="J72" s="72" t="s">
        <v>75</v>
      </c>
      <c r="K72" s="71" t="s">
        <v>1226</v>
      </c>
      <c r="L72" s="75">
        <v>2667.133333333333</v>
      </c>
      <c r="M72" s="76">
        <v>4393.19580078125</v>
      </c>
      <c r="N72" s="76">
        <v>7880.74853515625</v>
      </c>
      <c r="O72" s="77"/>
      <c r="P72" s="78"/>
      <c r="Q72" s="78"/>
      <c r="R72" s="82"/>
      <c r="S72" s="48">
        <v>12</v>
      </c>
      <c r="T72" s="48">
        <v>0</v>
      </c>
      <c r="U72" s="49">
        <v>8.434563</v>
      </c>
      <c r="V72" s="49">
        <v>0.001695</v>
      </c>
      <c r="W72" s="49">
        <v>0.004801</v>
      </c>
      <c r="X72" s="49">
        <v>0.895591</v>
      </c>
      <c r="Y72" s="49">
        <v>0.5227272727272727</v>
      </c>
      <c r="Z72" s="49">
        <v>0</v>
      </c>
      <c r="AA72" s="73">
        <v>72</v>
      </c>
      <c r="AB72" s="73"/>
      <c r="AC72" s="74"/>
      <c r="AD72" s="80" t="s">
        <v>1226</v>
      </c>
      <c r="AE72" s="80" t="s">
        <v>1909</v>
      </c>
      <c r="AF72" s="80" t="s">
        <v>2520</v>
      </c>
      <c r="AG72" s="80" t="s">
        <v>3077</v>
      </c>
      <c r="AH72" s="80" t="s">
        <v>3638</v>
      </c>
      <c r="AI72" s="80">
        <v>16063</v>
      </c>
      <c r="AJ72" s="80">
        <v>0</v>
      </c>
      <c r="AK72" s="80">
        <v>31</v>
      </c>
      <c r="AL72" s="80">
        <v>8</v>
      </c>
      <c r="AM72" s="80" t="s">
        <v>4098</v>
      </c>
      <c r="AN72" s="96" t="str">
        <f>HYPERLINK("https://www.youtube.com/watch?v=Ges_y5lHgsY")</f>
        <v>https://www.youtube.com/watch?v=Ges_y5lHgsY</v>
      </c>
      <c r="AO72" s="80" t="str">
        <f>REPLACE(INDEX(GroupVertices[Group],MATCH(Vertices[[#This Row],[Vertex]],GroupVertices[Vertex],0)),1,1,"")</f>
        <v>1</v>
      </c>
      <c r="AP72" s="48">
        <v>0</v>
      </c>
      <c r="AQ72" s="49">
        <v>0</v>
      </c>
      <c r="AR72" s="48">
        <v>0</v>
      </c>
      <c r="AS72" s="49">
        <v>0</v>
      </c>
      <c r="AT72" s="48">
        <v>0</v>
      </c>
      <c r="AU72" s="49">
        <v>0</v>
      </c>
      <c r="AV72" s="48">
        <v>6</v>
      </c>
      <c r="AW72" s="49">
        <v>100</v>
      </c>
      <c r="AX72" s="48">
        <v>6</v>
      </c>
      <c r="AY72" s="48"/>
      <c r="AZ72" s="48"/>
      <c r="BA72" s="48"/>
      <c r="BB72" s="48"/>
      <c r="BC72" s="2"/>
      <c r="BD72" s="3"/>
      <c r="BE72" s="3"/>
      <c r="BF72" s="3"/>
      <c r="BG72" s="3"/>
    </row>
    <row r="73" spans="1:59" ht="15">
      <c r="A73" s="66" t="s">
        <v>809</v>
      </c>
      <c r="B73" s="67" t="s">
        <v>4456</v>
      </c>
      <c r="C73" s="67" t="s">
        <v>64</v>
      </c>
      <c r="D73" s="68">
        <v>208</v>
      </c>
      <c r="E73" s="70"/>
      <c r="F73" s="97" t="str">
        <f>HYPERLINK("https://i.ytimg.com/vi/4ae-mqDr7co/default.jpg")</f>
        <v>https://i.ytimg.com/vi/4ae-mqDr7co/default.jpg</v>
      </c>
      <c r="G73" s="67"/>
      <c r="H73" s="71" t="s">
        <v>1549</v>
      </c>
      <c r="I73" s="72"/>
      <c r="J73" s="72" t="s">
        <v>75</v>
      </c>
      <c r="K73" s="71" t="s">
        <v>1549</v>
      </c>
      <c r="L73" s="75">
        <v>2000.6</v>
      </c>
      <c r="M73" s="76">
        <v>7369.94140625</v>
      </c>
      <c r="N73" s="76">
        <v>2558.240966796875</v>
      </c>
      <c r="O73" s="77"/>
      <c r="P73" s="78"/>
      <c r="Q73" s="78"/>
      <c r="R73" s="82"/>
      <c r="S73" s="48">
        <v>9</v>
      </c>
      <c r="T73" s="48">
        <v>0</v>
      </c>
      <c r="U73" s="49">
        <v>8.200659</v>
      </c>
      <c r="V73" s="49">
        <v>0.001629</v>
      </c>
      <c r="W73" s="49">
        <v>0.003515</v>
      </c>
      <c r="X73" s="49">
        <v>0.708015</v>
      </c>
      <c r="Y73" s="49">
        <v>0.5138888888888888</v>
      </c>
      <c r="Z73" s="49">
        <v>0</v>
      </c>
      <c r="AA73" s="73">
        <v>73</v>
      </c>
      <c r="AB73" s="73"/>
      <c r="AC73" s="74"/>
      <c r="AD73" s="80" t="s">
        <v>1549</v>
      </c>
      <c r="AE73" s="80" t="s">
        <v>2197</v>
      </c>
      <c r="AF73" s="80" t="s">
        <v>2395</v>
      </c>
      <c r="AG73" s="80" t="s">
        <v>2905</v>
      </c>
      <c r="AH73" s="80" t="s">
        <v>3963</v>
      </c>
      <c r="AI73" s="80">
        <v>274</v>
      </c>
      <c r="AJ73" s="80">
        <v>0</v>
      </c>
      <c r="AK73" s="80">
        <v>0</v>
      </c>
      <c r="AL73" s="80">
        <v>0</v>
      </c>
      <c r="AM73" s="80" t="s">
        <v>4098</v>
      </c>
      <c r="AN73" s="96" t="str">
        <f>HYPERLINK("https://www.youtube.com/watch?v=4ae-mqDr7co")</f>
        <v>https://www.youtube.com/watch?v=4ae-mqDr7co</v>
      </c>
      <c r="AO73" s="80" t="str">
        <f>REPLACE(INDEX(GroupVertices[Group],MATCH(Vertices[[#This Row],[Vertex]],GroupVertices[Vertex],0)),1,1,"")</f>
        <v>4</v>
      </c>
      <c r="AP73" s="48">
        <v>0</v>
      </c>
      <c r="AQ73" s="49">
        <v>0</v>
      </c>
      <c r="AR73" s="48">
        <v>0</v>
      </c>
      <c r="AS73" s="49">
        <v>0</v>
      </c>
      <c r="AT73" s="48">
        <v>0</v>
      </c>
      <c r="AU73" s="49">
        <v>0</v>
      </c>
      <c r="AV73" s="48">
        <v>11</v>
      </c>
      <c r="AW73" s="49">
        <v>100</v>
      </c>
      <c r="AX73" s="48">
        <v>11</v>
      </c>
      <c r="AY73" s="48"/>
      <c r="AZ73" s="48"/>
      <c r="BA73" s="48"/>
      <c r="BB73" s="48"/>
      <c r="BC73" s="2"/>
      <c r="BD73" s="3"/>
      <c r="BE73" s="3"/>
      <c r="BF73" s="3"/>
      <c r="BG73" s="3"/>
    </row>
    <row r="74" spans="1:59" ht="15">
      <c r="A74" s="66" t="s">
        <v>504</v>
      </c>
      <c r="B74" s="67" t="s">
        <v>4456</v>
      </c>
      <c r="C74" s="67" t="s">
        <v>64</v>
      </c>
      <c r="D74" s="68">
        <v>186</v>
      </c>
      <c r="E74" s="70"/>
      <c r="F74" s="97" t="str">
        <f>HYPERLINK("https://i.ytimg.com/vi/JJv74IJUp4E/default_live.jpg")</f>
        <v>https://i.ytimg.com/vi/JJv74IJUp4E/default_live.jpg</v>
      </c>
      <c r="G74" s="67"/>
      <c r="H74" s="71" t="s">
        <v>1220</v>
      </c>
      <c r="I74" s="72"/>
      <c r="J74" s="72" t="s">
        <v>75</v>
      </c>
      <c r="K74" s="71" t="s">
        <v>1220</v>
      </c>
      <c r="L74" s="75">
        <v>1778.4222222222222</v>
      </c>
      <c r="M74" s="76">
        <v>7250.1337890625</v>
      </c>
      <c r="N74" s="76">
        <v>7825.55224609375</v>
      </c>
      <c r="O74" s="77"/>
      <c r="P74" s="78"/>
      <c r="Q74" s="78"/>
      <c r="R74" s="82"/>
      <c r="S74" s="48">
        <v>8</v>
      </c>
      <c r="T74" s="48">
        <v>0</v>
      </c>
      <c r="U74" s="49">
        <v>8.19871</v>
      </c>
      <c r="V74" s="49">
        <v>0.001575</v>
      </c>
      <c r="W74" s="49">
        <v>0.002487</v>
      </c>
      <c r="X74" s="49">
        <v>0.652738</v>
      </c>
      <c r="Y74" s="49">
        <v>0.30357142857142855</v>
      </c>
      <c r="Z74" s="49">
        <v>0</v>
      </c>
      <c r="AA74" s="73">
        <v>74</v>
      </c>
      <c r="AB74" s="73"/>
      <c r="AC74" s="74"/>
      <c r="AD74" s="80" t="s">
        <v>1220</v>
      </c>
      <c r="AE74" s="80" t="s">
        <v>1903</v>
      </c>
      <c r="AF74" s="80"/>
      <c r="AG74" s="80" t="s">
        <v>3073</v>
      </c>
      <c r="AH74" s="80" t="s">
        <v>3632</v>
      </c>
      <c r="AI74" s="80">
        <v>369</v>
      </c>
      <c r="AJ74" s="80">
        <v>0</v>
      </c>
      <c r="AK74" s="80">
        <v>38</v>
      </c>
      <c r="AL74" s="80">
        <v>3</v>
      </c>
      <c r="AM74" s="80" t="s">
        <v>4098</v>
      </c>
      <c r="AN74" s="96" t="str">
        <f>HYPERLINK("https://www.youtube.com/watch?v=JJv74IJUp4E")</f>
        <v>https://www.youtube.com/watch?v=JJv74IJUp4E</v>
      </c>
      <c r="AO74" s="80" t="str">
        <f>REPLACE(INDEX(GroupVertices[Group],MATCH(Vertices[[#This Row],[Vertex]],GroupVertices[Vertex],0)),1,1,"")</f>
        <v>3</v>
      </c>
      <c r="AP74" s="48"/>
      <c r="AQ74" s="49"/>
      <c r="AR74" s="48"/>
      <c r="AS74" s="49"/>
      <c r="AT74" s="48"/>
      <c r="AU74" s="49"/>
      <c r="AV74" s="48"/>
      <c r="AW74" s="49"/>
      <c r="AX74" s="48"/>
      <c r="AY74" s="48"/>
      <c r="AZ74" s="48"/>
      <c r="BA74" s="48"/>
      <c r="BB74" s="48"/>
      <c r="BC74" s="2"/>
      <c r="BD74" s="3"/>
      <c r="BE74" s="3"/>
      <c r="BF74" s="3"/>
      <c r="BG74" s="3"/>
    </row>
    <row r="75" spans="1:59" ht="15">
      <c r="A75" s="66" t="s">
        <v>849</v>
      </c>
      <c r="B75" s="67" t="s">
        <v>4456</v>
      </c>
      <c r="C75" s="67" t="s">
        <v>64</v>
      </c>
      <c r="D75" s="68">
        <v>186</v>
      </c>
      <c r="E75" s="70"/>
      <c r="F75" s="97" t="str">
        <f>HYPERLINK("https://i.ytimg.com/vi/SWGABcUJpOM/default.jpg")</f>
        <v>https://i.ytimg.com/vi/SWGABcUJpOM/default.jpg</v>
      </c>
      <c r="G75" s="67"/>
      <c r="H75" s="71" t="s">
        <v>1588</v>
      </c>
      <c r="I75" s="72"/>
      <c r="J75" s="72" t="s">
        <v>75</v>
      </c>
      <c r="K75" s="71" t="s">
        <v>1588</v>
      </c>
      <c r="L75" s="75">
        <v>1778.4222222222222</v>
      </c>
      <c r="M75" s="76">
        <v>2090.05126953125</v>
      </c>
      <c r="N75" s="76">
        <v>6740.65087890625</v>
      </c>
      <c r="O75" s="77"/>
      <c r="P75" s="78"/>
      <c r="Q75" s="78"/>
      <c r="R75" s="82"/>
      <c r="S75" s="48">
        <v>8</v>
      </c>
      <c r="T75" s="48">
        <v>0</v>
      </c>
      <c r="U75" s="49">
        <v>7.518761</v>
      </c>
      <c r="V75" s="49">
        <v>0.001667</v>
      </c>
      <c r="W75" s="49">
        <v>0.003053</v>
      </c>
      <c r="X75" s="49">
        <v>0.667397</v>
      </c>
      <c r="Y75" s="49">
        <v>0.48214285714285715</v>
      </c>
      <c r="Z75" s="49">
        <v>0</v>
      </c>
      <c r="AA75" s="73">
        <v>75</v>
      </c>
      <c r="AB75" s="73"/>
      <c r="AC75" s="74"/>
      <c r="AD75" s="80" t="s">
        <v>1588</v>
      </c>
      <c r="AE75" s="80" t="s">
        <v>2231</v>
      </c>
      <c r="AF75" s="80"/>
      <c r="AG75" s="80" t="s">
        <v>2947</v>
      </c>
      <c r="AH75" s="80" t="s">
        <v>4003</v>
      </c>
      <c r="AI75" s="80">
        <v>23294</v>
      </c>
      <c r="AJ75" s="80">
        <v>9</v>
      </c>
      <c r="AK75" s="80">
        <v>81</v>
      </c>
      <c r="AL75" s="80">
        <v>6</v>
      </c>
      <c r="AM75" s="80" t="s">
        <v>4098</v>
      </c>
      <c r="AN75" s="96" t="str">
        <f>HYPERLINK("https://www.youtube.com/watch?v=SWGABcUJpOM")</f>
        <v>https://www.youtube.com/watch?v=SWGABcUJpOM</v>
      </c>
      <c r="AO75" s="80" t="str">
        <f>REPLACE(INDEX(GroupVertices[Group],MATCH(Vertices[[#This Row],[Vertex]],GroupVertices[Vertex],0)),1,1,"")</f>
        <v>1</v>
      </c>
      <c r="AP75" s="48"/>
      <c r="AQ75" s="49"/>
      <c r="AR75" s="48"/>
      <c r="AS75" s="49"/>
      <c r="AT75" s="48"/>
      <c r="AU75" s="49"/>
      <c r="AV75" s="48"/>
      <c r="AW75" s="49"/>
      <c r="AX75" s="48"/>
      <c r="AY75" s="48"/>
      <c r="AZ75" s="48"/>
      <c r="BA75" s="48"/>
      <c r="BB75" s="48"/>
      <c r="BC75" s="2"/>
      <c r="BD75" s="3"/>
      <c r="BE75" s="3"/>
      <c r="BF75" s="3"/>
      <c r="BG75" s="3"/>
    </row>
    <row r="76" spans="1:59" ht="15">
      <c r="A76" s="66" t="s">
        <v>724</v>
      </c>
      <c r="B76" s="67" t="s">
        <v>4456</v>
      </c>
      <c r="C76" s="67" t="s">
        <v>64</v>
      </c>
      <c r="D76" s="68">
        <v>164</v>
      </c>
      <c r="E76" s="70"/>
      <c r="F76" s="97" t="str">
        <f>HYPERLINK("https://i.ytimg.com/vi/PmDKuAnKiGA/default.jpg")</f>
        <v>https://i.ytimg.com/vi/PmDKuAnKiGA/default.jpg</v>
      </c>
      <c r="G76" s="67"/>
      <c r="H76" s="71" t="s">
        <v>1465</v>
      </c>
      <c r="I76" s="72"/>
      <c r="J76" s="72" t="s">
        <v>75</v>
      </c>
      <c r="K76" s="71" t="s">
        <v>1465</v>
      </c>
      <c r="L76" s="75">
        <v>1556.2444444444445</v>
      </c>
      <c r="M76" s="76">
        <v>8145.732421875</v>
      </c>
      <c r="N76" s="76">
        <v>790.2151489257812</v>
      </c>
      <c r="O76" s="77"/>
      <c r="P76" s="78"/>
      <c r="Q76" s="78"/>
      <c r="R76" s="82"/>
      <c r="S76" s="48">
        <v>7</v>
      </c>
      <c r="T76" s="48">
        <v>0</v>
      </c>
      <c r="U76" s="49">
        <v>7.442996</v>
      </c>
      <c r="V76" s="49">
        <v>0.001572</v>
      </c>
      <c r="W76" s="49">
        <v>0.002239</v>
      </c>
      <c r="X76" s="49">
        <v>0.594997</v>
      </c>
      <c r="Y76" s="49">
        <v>0.2857142857142857</v>
      </c>
      <c r="Z76" s="49">
        <v>0</v>
      </c>
      <c r="AA76" s="73">
        <v>76</v>
      </c>
      <c r="AB76" s="73"/>
      <c r="AC76" s="74"/>
      <c r="AD76" s="80" t="s">
        <v>1465</v>
      </c>
      <c r="AE76" s="80" t="s">
        <v>2122</v>
      </c>
      <c r="AF76" s="80" t="s">
        <v>2712</v>
      </c>
      <c r="AG76" s="80" t="s">
        <v>2905</v>
      </c>
      <c r="AH76" s="80" t="s">
        <v>3878</v>
      </c>
      <c r="AI76" s="80">
        <v>301</v>
      </c>
      <c r="AJ76" s="80">
        <v>2</v>
      </c>
      <c r="AK76" s="80">
        <v>2</v>
      </c>
      <c r="AL76" s="80">
        <v>0</v>
      </c>
      <c r="AM76" s="80" t="s">
        <v>4098</v>
      </c>
      <c r="AN76" s="96" t="str">
        <f>HYPERLINK("https://www.youtube.com/watch?v=PmDKuAnKiGA")</f>
        <v>https://www.youtube.com/watch?v=PmDKuAnKiGA</v>
      </c>
      <c r="AO76" s="80" t="str">
        <f>REPLACE(INDEX(GroupVertices[Group],MATCH(Vertices[[#This Row],[Vertex]],GroupVertices[Vertex],0)),1,1,"")</f>
        <v>4</v>
      </c>
      <c r="AP76" s="48">
        <v>0</v>
      </c>
      <c r="AQ76" s="49">
        <v>0</v>
      </c>
      <c r="AR76" s="48">
        <v>0</v>
      </c>
      <c r="AS76" s="49">
        <v>0</v>
      </c>
      <c r="AT76" s="48">
        <v>0</v>
      </c>
      <c r="AU76" s="49">
        <v>0</v>
      </c>
      <c r="AV76" s="48">
        <v>16</v>
      </c>
      <c r="AW76" s="49">
        <v>100</v>
      </c>
      <c r="AX76" s="48">
        <v>16</v>
      </c>
      <c r="AY76" s="48"/>
      <c r="AZ76" s="48"/>
      <c r="BA76" s="48"/>
      <c r="BB76" s="48"/>
      <c r="BC76" s="2"/>
      <c r="BD76" s="3"/>
      <c r="BE76" s="3"/>
      <c r="BF76" s="3"/>
      <c r="BG76" s="3"/>
    </row>
    <row r="77" spans="1:59" ht="15">
      <c r="A77" s="66" t="s">
        <v>481</v>
      </c>
      <c r="B77" s="67" t="s">
        <v>4456</v>
      </c>
      <c r="C77" s="67" t="s">
        <v>56</v>
      </c>
      <c r="D77" s="68">
        <v>54</v>
      </c>
      <c r="E77" s="70"/>
      <c r="F77" s="97" t="str">
        <f>HYPERLINK("https://i.ytimg.com/vi/DeCGKF3r-m8/default.jpg")</f>
        <v>https://i.ytimg.com/vi/DeCGKF3r-m8/default.jpg</v>
      </c>
      <c r="G77" s="67"/>
      <c r="H77" s="71" t="s">
        <v>1193</v>
      </c>
      <c r="I77" s="72"/>
      <c r="J77" s="72" t="s">
        <v>159</v>
      </c>
      <c r="K77" s="71" t="s">
        <v>1193</v>
      </c>
      <c r="L77" s="75">
        <v>445.35555555555555</v>
      </c>
      <c r="M77" s="76">
        <v>1932.012451171875</v>
      </c>
      <c r="N77" s="76">
        <v>4537.11865234375</v>
      </c>
      <c r="O77" s="77"/>
      <c r="P77" s="78"/>
      <c r="Q77" s="78"/>
      <c r="R77" s="82"/>
      <c r="S77" s="48">
        <v>2</v>
      </c>
      <c r="T77" s="48">
        <v>0</v>
      </c>
      <c r="U77" s="49">
        <v>6.701621</v>
      </c>
      <c r="V77" s="49">
        <v>0.001433</v>
      </c>
      <c r="W77" s="49">
        <v>0.000525</v>
      </c>
      <c r="X77" s="49">
        <v>0.30362</v>
      </c>
      <c r="Y77" s="49">
        <v>0</v>
      </c>
      <c r="Z77" s="49">
        <v>0</v>
      </c>
      <c r="AA77" s="73">
        <v>77</v>
      </c>
      <c r="AB77" s="73"/>
      <c r="AC77" s="74"/>
      <c r="AD77" s="80" t="s">
        <v>1193</v>
      </c>
      <c r="AE77" s="80"/>
      <c r="AF77" s="80" t="s">
        <v>2493</v>
      </c>
      <c r="AG77" s="80" t="s">
        <v>3053</v>
      </c>
      <c r="AH77" s="80" t="s">
        <v>3605</v>
      </c>
      <c r="AI77" s="80">
        <v>1725</v>
      </c>
      <c r="AJ77" s="80">
        <v>0</v>
      </c>
      <c r="AK77" s="80">
        <v>4</v>
      </c>
      <c r="AL77" s="80">
        <v>0</v>
      </c>
      <c r="AM77" s="80" t="s">
        <v>4098</v>
      </c>
      <c r="AN77" s="96" t="str">
        <f>HYPERLINK("https://www.youtube.com/watch?v=DeCGKF3r-m8")</f>
        <v>https://www.youtube.com/watch?v=DeCGKF3r-m8</v>
      </c>
      <c r="AO77" s="80" t="str">
        <f>REPLACE(INDEX(GroupVertices[Group],MATCH(Vertices[[#This Row],[Vertex]],GroupVertices[Vertex],0)),1,1,"")</f>
        <v>1</v>
      </c>
      <c r="AP77" s="48">
        <v>0</v>
      </c>
      <c r="AQ77" s="49">
        <v>0</v>
      </c>
      <c r="AR77" s="48">
        <v>0</v>
      </c>
      <c r="AS77" s="49">
        <v>0</v>
      </c>
      <c r="AT77" s="48">
        <v>0</v>
      </c>
      <c r="AU77" s="49">
        <v>0</v>
      </c>
      <c r="AV77" s="48">
        <v>15</v>
      </c>
      <c r="AW77" s="49">
        <v>100</v>
      </c>
      <c r="AX77" s="48">
        <v>15</v>
      </c>
      <c r="AY77" s="48"/>
      <c r="AZ77" s="48"/>
      <c r="BA77" s="48"/>
      <c r="BB77" s="48"/>
      <c r="BC77" s="2"/>
      <c r="BD77" s="3"/>
      <c r="BE77" s="3"/>
      <c r="BF77" s="3"/>
      <c r="BG77" s="3"/>
    </row>
    <row r="78" spans="1:59" ht="15">
      <c r="A78" s="66" t="s">
        <v>440</v>
      </c>
      <c r="B78" s="67" t="s">
        <v>4456</v>
      </c>
      <c r="C78" s="67" t="s">
        <v>56</v>
      </c>
      <c r="D78" s="68">
        <v>54</v>
      </c>
      <c r="E78" s="70"/>
      <c r="F78" s="97" t="str">
        <f>HYPERLINK("https://i.ytimg.com/vi/Vtwkm6Qtiz0/default.jpg")</f>
        <v>https://i.ytimg.com/vi/Vtwkm6Qtiz0/default.jpg</v>
      </c>
      <c r="G78" s="67"/>
      <c r="H78" s="71" t="s">
        <v>1148</v>
      </c>
      <c r="I78" s="72"/>
      <c r="J78" s="72" t="s">
        <v>159</v>
      </c>
      <c r="K78" s="71" t="s">
        <v>1148</v>
      </c>
      <c r="L78" s="75">
        <v>445.35555555555555</v>
      </c>
      <c r="M78" s="76">
        <v>9344.568359375</v>
      </c>
      <c r="N78" s="76">
        <v>8482.8427734375</v>
      </c>
      <c r="O78" s="77"/>
      <c r="P78" s="78"/>
      <c r="Q78" s="78"/>
      <c r="R78" s="82"/>
      <c r="S78" s="48">
        <v>2</v>
      </c>
      <c r="T78" s="48">
        <v>0</v>
      </c>
      <c r="U78" s="49">
        <v>6.271125</v>
      </c>
      <c r="V78" s="49">
        <v>0.001362</v>
      </c>
      <c r="W78" s="49">
        <v>0.000351</v>
      </c>
      <c r="X78" s="49">
        <v>0.307062</v>
      </c>
      <c r="Y78" s="49">
        <v>0</v>
      </c>
      <c r="Z78" s="49">
        <v>0</v>
      </c>
      <c r="AA78" s="73">
        <v>78</v>
      </c>
      <c r="AB78" s="73"/>
      <c r="AC78" s="74"/>
      <c r="AD78" s="80" t="s">
        <v>1148</v>
      </c>
      <c r="AE78" s="80" t="s">
        <v>1840</v>
      </c>
      <c r="AF78" s="80" t="s">
        <v>2418</v>
      </c>
      <c r="AG78" s="80" t="s">
        <v>2992</v>
      </c>
      <c r="AH78" s="80" t="s">
        <v>3561</v>
      </c>
      <c r="AI78" s="80">
        <v>2354</v>
      </c>
      <c r="AJ78" s="80">
        <v>1</v>
      </c>
      <c r="AK78" s="80">
        <v>4</v>
      </c>
      <c r="AL78" s="80">
        <v>0</v>
      </c>
      <c r="AM78" s="80" t="s">
        <v>4098</v>
      </c>
      <c r="AN78" s="96" t="str">
        <f>HYPERLINK("https://www.youtube.com/watch?v=Vtwkm6Qtiz0")</f>
        <v>https://www.youtube.com/watch?v=Vtwkm6Qtiz0</v>
      </c>
      <c r="AO78" s="80" t="str">
        <f>REPLACE(INDEX(GroupVertices[Group],MATCH(Vertices[[#This Row],[Vertex]],GroupVertices[Vertex],0)),1,1,"")</f>
        <v>3</v>
      </c>
      <c r="AP78" s="48">
        <v>0</v>
      </c>
      <c r="AQ78" s="49">
        <v>0</v>
      </c>
      <c r="AR78" s="48">
        <v>0</v>
      </c>
      <c r="AS78" s="49">
        <v>0</v>
      </c>
      <c r="AT78" s="48">
        <v>0</v>
      </c>
      <c r="AU78" s="49">
        <v>0</v>
      </c>
      <c r="AV78" s="48">
        <v>4</v>
      </c>
      <c r="AW78" s="49">
        <v>100</v>
      </c>
      <c r="AX78" s="48">
        <v>4</v>
      </c>
      <c r="AY78" s="48"/>
      <c r="AZ78" s="48"/>
      <c r="BA78" s="48"/>
      <c r="BB78" s="48"/>
      <c r="BC78" s="2"/>
      <c r="BD78" s="3"/>
      <c r="BE78" s="3"/>
      <c r="BF78" s="3"/>
      <c r="BG78" s="3"/>
    </row>
    <row r="79" spans="1:59" ht="15">
      <c r="A79" s="66" t="s">
        <v>602</v>
      </c>
      <c r="B79" s="67" t="s">
        <v>4456</v>
      </c>
      <c r="C79" s="67" t="s">
        <v>64</v>
      </c>
      <c r="D79" s="68">
        <v>406</v>
      </c>
      <c r="E79" s="70"/>
      <c r="F79" s="97" t="str">
        <f>HYPERLINK("https://i.ytimg.com/vi/kbLFMObmLNQ/default.jpg")</f>
        <v>https://i.ytimg.com/vi/kbLFMObmLNQ/default.jpg</v>
      </c>
      <c r="G79" s="67"/>
      <c r="H79" s="71" t="s">
        <v>1342</v>
      </c>
      <c r="I79" s="72"/>
      <c r="J79" s="72" t="s">
        <v>75</v>
      </c>
      <c r="K79" s="71" t="s">
        <v>1342</v>
      </c>
      <c r="L79" s="75">
        <v>4000.2</v>
      </c>
      <c r="M79" s="76">
        <v>2209.94775390625</v>
      </c>
      <c r="N79" s="76">
        <v>2680.10791015625</v>
      </c>
      <c r="O79" s="77"/>
      <c r="P79" s="78"/>
      <c r="Q79" s="78"/>
      <c r="R79" s="82"/>
      <c r="S79" s="48">
        <v>18</v>
      </c>
      <c r="T79" s="48">
        <v>0</v>
      </c>
      <c r="U79" s="49">
        <v>5.896184</v>
      </c>
      <c r="V79" s="49">
        <v>0.001709</v>
      </c>
      <c r="W79" s="49">
        <v>0.00765</v>
      </c>
      <c r="X79" s="49">
        <v>1.220977</v>
      </c>
      <c r="Y79" s="49">
        <v>0.7450980392156863</v>
      </c>
      <c r="Z79" s="49">
        <v>0</v>
      </c>
      <c r="AA79" s="73">
        <v>79</v>
      </c>
      <c r="AB79" s="73"/>
      <c r="AC79" s="74"/>
      <c r="AD79" s="80" t="s">
        <v>1342</v>
      </c>
      <c r="AE79" s="80" t="s">
        <v>2008</v>
      </c>
      <c r="AF79" s="80" t="s">
        <v>2607</v>
      </c>
      <c r="AG79" s="80" t="s">
        <v>3150</v>
      </c>
      <c r="AH79" s="80" t="s">
        <v>3754</v>
      </c>
      <c r="AI79" s="80">
        <v>128755</v>
      </c>
      <c r="AJ79" s="80">
        <v>49</v>
      </c>
      <c r="AK79" s="80">
        <v>599</v>
      </c>
      <c r="AL79" s="80">
        <v>14</v>
      </c>
      <c r="AM79" s="80" t="s">
        <v>4098</v>
      </c>
      <c r="AN79" s="96" t="str">
        <f>HYPERLINK("https://www.youtube.com/watch?v=kbLFMObmLNQ")</f>
        <v>https://www.youtube.com/watch?v=kbLFMObmLNQ</v>
      </c>
      <c r="AO79" s="80" t="str">
        <f>REPLACE(INDEX(GroupVertices[Group],MATCH(Vertices[[#This Row],[Vertex]],GroupVertices[Vertex],0)),1,1,"")</f>
        <v>2</v>
      </c>
      <c r="AP79" s="48">
        <v>0</v>
      </c>
      <c r="AQ79" s="49">
        <v>0</v>
      </c>
      <c r="AR79" s="48">
        <v>0</v>
      </c>
      <c r="AS79" s="49">
        <v>0</v>
      </c>
      <c r="AT79" s="48">
        <v>0</v>
      </c>
      <c r="AU79" s="49">
        <v>0</v>
      </c>
      <c r="AV79" s="48">
        <v>15</v>
      </c>
      <c r="AW79" s="49">
        <v>100</v>
      </c>
      <c r="AX79" s="48">
        <v>15</v>
      </c>
      <c r="AY79" s="48"/>
      <c r="AZ79" s="48"/>
      <c r="BA79" s="48"/>
      <c r="BB79" s="48"/>
      <c r="BC79" s="2"/>
      <c r="BD79" s="3"/>
      <c r="BE79" s="3"/>
      <c r="BF79" s="3"/>
      <c r="BG79" s="3"/>
    </row>
    <row r="80" spans="1:59" ht="15">
      <c r="A80" s="66" t="s">
        <v>383</v>
      </c>
      <c r="B80" s="67" t="s">
        <v>4456</v>
      </c>
      <c r="C80" s="67" t="s">
        <v>56</v>
      </c>
      <c r="D80" s="68">
        <v>54</v>
      </c>
      <c r="E80" s="70"/>
      <c r="F80" s="97" t="str">
        <f>HYPERLINK("https://i.ytimg.com/vi/l4fIOXPOJsU/default.jpg")</f>
        <v>https://i.ytimg.com/vi/l4fIOXPOJsU/default.jpg</v>
      </c>
      <c r="G80" s="67"/>
      <c r="H80" s="71" t="s">
        <v>1090</v>
      </c>
      <c r="I80" s="72"/>
      <c r="J80" s="72" t="s">
        <v>159</v>
      </c>
      <c r="K80" s="71" t="s">
        <v>1090</v>
      </c>
      <c r="L80" s="75">
        <v>445.35555555555555</v>
      </c>
      <c r="M80" s="76">
        <v>6324.4521484375</v>
      </c>
      <c r="N80" s="76">
        <v>1586.3426513671875</v>
      </c>
      <c r="O80" s="77"/>
      <c r="P80" s="78"/>
      <c r="Q80" s="78"/>
      <c r="R80" s="82"/>
      <c r="S80" s="48">
        <v>2</v>
      </c>
      <c r="T80" s="48">
        <v>0</v>
      </c>
      <c r="U80" s="49">
        <v>5.79827</v>
      </c>
      <c r="V80" s="49">
        <v>0.001422</v>
      </c>
      <c r="W80" s="49">
        <v>0.000454</v>
      </c>
      <c r="X80" s="49">
        <v>0.307809</v>
      </c>
      <c r="Y80" s="49">
        <v>0</v>
      </c>
      <c r="Z80" s="49">
        <v>0</v>
      </c>
      <c r="AA80" s="73">
        <v>80</v>
      </c>
      <c r="AB80" s="73"/>
      <c r="AC80" s="74"/>
      <c r="AD80" s="80" t="s">
        <v>1090</v>
      </c>
      <c r="AE80" s="80" t="s">
        <v>1796</v>
      </c>
      <c r="AF80" s="80" t="s">
        <v>2423</v>
      </c>
      <c r="AG80" s="80" t="s">
        <v>2996</v>
      </c>
      <c r="AH80" s="80" t="s">
        <v>3504</v>
      </c>
      <c r="AI80" s="80">
        <v>4183</v>
      </c>
      <c r="AJ80" s="80">
        <v>1</v>
      </c>
      <c r="AK80" s="80">
        <v>3</v>
      </c>
      <c r="AL80" s="80">
        <v>0</v>
      </c>
      <c r="AM80" s="80" t="s">
        <v>4098</v>
      </c>
      <c r="AN80" s="96" t="str">
        <f>HYPERLINK("https://www.youtube.com/watch?v=l4fIOXPOJsU")</f>
        <v>https://www.youtube.com/watch?v=l4fIOXPOJsU</v>
      </c>
      <c r="AO80" s="80" t="str">
        <f>REPLACE(INDEX(GroupVertices[Group],MATCH(Vertices[[#This Row],[Vertex]],GroupVertices[Vertex],0)),1,1,"")</f>
        <v>4</v>
      </c>
      <c r="AP80" s="48">
        <v>0</v>
      </c>
      <c r="AQ80" s="49">
        <v>0</v>
      </c>
      <c r="AR80" s="48">
        <v>0</v>
      </c>
      <c r="AS80" s="49">
        <v>0</v>
      </c>
      <c r="AT80" s="48">
        <v>0</v>
      </c>
      <c r="AU80" s="49">
        <v>0</v>
      </c>
      <c r="AV80" s="48">
        <v>4</v>
      </c>
      <c r="AW80" s="49">
        <v>100</v>
      </c>
      <c r="AX80" s="48">
        <v>4</v>
      </c>
      <c r="AY80" s="48"/>
      <c r="AZ80" s="48"/>
      <c r="BA80" s="48"/>
      <c r="BB80" s="48"/>
      <c r="BC80" s="2"/>
      <c r="BD80" s="3"/>
      <c r="BE80" s="3"/>
      <c r="BF80" s="3"/>
      <c r="BG80" s="3"/>
    </row>
    <row r="81" spans="1:59" ht="15">
      <c r="A81" s="66" t="s">
        <v>738</v>
      </c>
      <c r="B81" s="67" t="s">
        <v>4456</v>
      </c>
      <c r="C81" s="67" t="s">
        <v>64</v>
      </c>
      <c r="D81" s="68">
        <v>164</v>
      </c>
      <c r="E81" s="70"/>
      <c r="F81" s="97" t="str">
        <f>HYPERLINK("https://i.ytimg.com/vi/zARRhp4pUlw/default.jpg")</f>
        <v>https://i.ytimg.com/vi/zARRhp4pUlw/default.jpg</v>
      </c>
      <c r="G81" s="67"/>
      <c r="H81" s="71" t="s">
        <v>1479</v>
      </c>
      <c r="I81" s="72"/>
      <c r="J81" s="72" t="s">
        <v>75</v>
      </c>
      <c r="K81" s="71" t="s">
        <v>1479</v>
      </c>
      <c r="L81" s="75">
        <v>1556.2444444444445</v>
      </c>
      <c r="M81" s="76">
        <v>1143.90380859375</v>
      </c>
      <c r="N81" s="76">
        <v>6374.47314453125</v>
      </c>
      <c r="O81" s="77"/>
      <c r="P81" s="78"/>
      <c r="Q81" s="78"/>
      <c r="R81" s="82"/>
      <c r="S81" s="48">
        <v>7</v>
      </c>
      <c r="T81" s="48">
        <v>0</v>
      </c>
      <c r="U81" s="49">
        <v>5.471036</v>
      </c>
      <c r="V81" s="49">
        <v>0.001595</v>
      </c>
      <c r="W81" s="49">
        <v>0.002147</v>
      </c>
      <c r="X81" s="49">
        <v>0.60473</v>
      </c>
      <c r="Y81" s="49">
        <v>0.42857142857142855</v>
      </c>
      <c r="Z81" s="49">
        <v>0</v>
      </c>
      <c r="AA81" s="73">
        <v>81</v>
      </c>
      <c r="AB81" s="73"/>
      <c r="AC81" s="74"/>
      <c r="AD81" s="80" t="s">
        <v>1479</v>
      </c>
      <c r="AE81" s="80"/>
      <c r="AF81" s="80" t="s">
        <v>1479</v>
      </c>
      <c r="AG81" s="80" t="s">
        <v>3248</v>
      </c>
      <c r="AH81" s="80" t="s">
        <v>3892</v>
      </c>
      <c r="AI81" s="80">
        <v>249</v>
      </c>
      <c r="AJ81" s="80">
        <v>0</v>
      </c>
      <c r="AK81" s="80">
        <v>0</v>
      </c>
      <c r="AL81" s="80">
        <v>0</v>
      </c>
      <c r="AM81" s="80" t="s">
        <v>4098</v>
      </c>
      <c r="AN81" s="96" t="str">
        <f>HYPERLINK("https://www.youtube.com/watch?v=zARRhp4pUlw")</f>
        <v>https://www.youtube.com/watch?v=zARRhp4pUlw</v>
      </c>
      <c r="AO81" s="80" t="str">
        <f>REPLACE(INDEX(GroupVertices[Group],MATCH(Vertices[[#This Row],[Vertex]],GroupVertices[Vertex],0)),1,1,"")</f>
        <v>1</v>
      </c>
      <c r="AP81" s="48">
        <v>0</v>
      </c>
      <c r="AQ81" s="49">
        <v>0</v>
      </c>
      <c r="AR81" s="48">
        <v>0</v>
      </c>
      <c r="AS81" s="49">
        <v>0</v>
      </c>
      <c r="AT81" s="48">
        <v>0</v>
      </c>
      <c r="AU81" s="49">
        <v>0</v>
      </c>
      <c r="AV81" s="48">
        <v>3</v>
      </c>
      <c r="AW81" s="49">
        <v>100</v>
      </c>
      <c r="AX81" s="48">
        <v>3</v>
      </c>
      <c r="AY81" s="48"/>
      <c r="AZ81" s="48"/>
      <c r="BA81" s="48"/>
      <c r="BB81" s="48"/>
      <c r="BC81" s="2"/>
      <c r="BD81" s="3"/>
      <c r="BE81" s="3"/>
      <c r="BF81" s="3"/>
      <c r="BG81" s="3"/>
    </row>
    <row r="82" spans="1:59" ht="15">
      <c r="A82" s="66" t="s">
        <v>846</v>
      </c>
      <c r="B82" s="67" t="s">
        <v>4456</v>
      </c>
      <c r="C82" s="67" t="s">
        <v>64</v>
      </c>
      <c r="D82" s="68">
        <v>252</v>
      </c>
      <c r="E82" s="70"/>
      <c r="F82" s="97" t="str">
        <f>HYPERLINK("https://i.ytimg.com/vi/NX0QBphzG-s/default.jpg")</f>
        <v>https://i.ytimg.com/vi/NX0QBphzG-s/default.jpg</v>
      </c>
      <c r="G82" s="67"/>
      <c r="H82" s="71" t="s">
        <v>1585</v>
      </c>
      <c r="I82" s="72"/>
      <c r="J82" s="72" t="s">
        <v>75</v>
      </c>
      <c r="K82" s="71" t="s">
        <v>1585</v>
      </c>
      <c r="L82" s="75">
        <v>2444.9555555555557</v>
      </c>
      <c r="M82" s="76">
        <v>3782.81201171875</v>
      </c>
      <c r="N82" s="76">
        <v>7646.69775390625</v>
      </c>
      <c r="O82" s="77"/>
      <c r="P82" s="78"/>
      <c r="Q82" s="78"/>
      <c r="R82" s="82"/>
      <c r="S82" s="48">
        <v>11</v>
      </c>
      <c r="T82" s="48">
        <v>0</v>
      </c>
      <c r="U82" s="49">
        <v>5.451367</v>
      </c>
      <c r="V82" s="49">
        <v>0.001692</v>
      </c>
      <c r="W82" s="49">
        <v>0.004712</v>
      </c>
      <c r="X82" s="49">
        <v>0.827992</v>
      </c>
      <c r="Y82" s="49">
        <v>0.5545454545454546</v>
      </c>
      <c r="Z82" s="49">
        <v>0</v>
      </c>
      <c r="AA82" s="73">
        <v>82</v>
      </c>
      <c r="AB82" s="73"/>
      <c r="AC82" s="74"/>
      <c r="AD82" s="80" t="s">
        <v>1585</v>
      </c>
      <c r="AE82" s="80"/>
      <c r="AF82" s="80"/>
      <c r="AG82" s="80" t="s">
        <v>3316</v>
      </c>
      <c r="AH82" s="80" t="s">
        <v>4000</v>
      </c>
      <c r="AI82" s="80">
        <v>19222</v>
      </c>
      <c r="AJ82" s="80">
        <v>5</v>
      </c>
      <c r="AK82" s="80">
        <v>80</v>
      </c>
      <c r="AL82" s="80">
        <v>2</v>
      </c>
      <c r="AM82" s="80" t="s">
        <v>4098</v>
      </c>
      <c r="AN82" s="96" t="str">
        <f>HYPERLINK("https://www.youtube.com/watch?v=NX0QBphzG-s")</f>
        <v>https://www.youtube.com/watch?v=NX0QBphzG-s</v>
      </c>
      <c r="AO82" s="80" t="str">
        <f>REPLACE(INDEX(GroupVertices[Group],MATCH(Vertices[[#This Row],[Vertex]],GroupVertices[Vertex],0)),1,1,"")</f>
        <v>1</v>
      </c>
      <c r="AP82" s="48"/>
      <c r="AQ82" s="49"/>
      <c r="AR82" s="48"/>
      <c r="AS82" s="49"/>
      <c r="AT82" s="48"/>
      <c r="AU82" s="49"/>
      <c r="AV82" s="48"/>
      <c r="AW82" s="49"/>
      <c r="AX82" s="48"/>
      <c r="AY82" s="48"/>
      <c r="AZ82" s="48"/>
      <c r="BA82" s="48"/>
      <c r="BB82" s="48"/>
      <c r="BC82" s="2"/>
      <c r="BD82" s="3"/>
      <c r="BE82" s="3"/>
      <c r="BF82" s="3"/>
      <c r="BG82" s="3"/>
    </row>
    <row r="83" spans="1:59" ht="15">
      <c r="A83" s="66" t="s">
        <v>615</v>
      </c>
      <c r="B83" s="67" t="s">
        <v>4456</v>
      </c>
      <c r="C83" s="67" t="s">
        <v>56</v>
      </c>
      <c r="D83" s="68">
        <v>98</v>
      </c>
      <c r="E83" s="70"/>
      <c r="F83" s="97" t="str">
        <f>HYPERLINK("https://i.ytimg.com/vi/mZ6sTb1JphI/default.jpg")</f>
        <v>https://i.ytimg.com/vi/mZ6sTb1JphI/default.jpg</v>
      </c>
      <c r="G83" s="67"/>
      <c r="H83" s="71" t="s">
        <v>1355</v>
      </c>
      <c r="I83" s="72"/>
      <c r="J83" s="72" t="s">
        <v>159</v>
      </c>
      <c r="K83" s="71" t="s">
        <v>1355</v>
      </c>
      <c r="L83" s="75">
        <v>889.7111111111111</v>
      </c>
      <c r="M83" s="76">
        <v>1830.172119140625</v>
      </c>
      <c r="N83" s="76">
        <v>8616.5126953125</v>
      </c>
      <c r="O83" s="77"/>
      <c r="P83" s="78"/>
      <c r="Q83" s="78"/>
      <c r="R83" s="82"/>
      <c r="S83" s="48">
        <v>4</v>
      </c>
      <c r="T83" s="48">
        <v>0</v>
      </c>
      <c r="U83" s="49">
        <v>4.267328</v>
      </c>
      <c r="V83" s="49">
        <v>0.001524</v>
      </c>
      <c r="W83" s="49">
        <v>0.001209</v>
      </c>
      <c r="X83" s="49">
        <v>0.416632</v>
      </c>
      <c r="Y83" s="49">
        <v>0.3333333333333333</v>
      </c>
      <c r="Z83" s="49">
        <v>0</v>
      </c>
      <c r="AA83" s="73">
        <v>83</v>
      </c>
      <c r="AB83" s="73"/>
      <c r="AC83" s="74"/>
      <c r="AD83" s="80" t="s">
        <v>1355</v>
      </c>
      <c r="AE83" s="80" t="s">
        <v>2021</v>
      </c>
      <c r="AF83" s="80" t="s">
        <v>2619</v>
      </c>
      <c r="AG83" s="80" t="s">
        <v>3161</v>
      </c>
      <c r="AH83" s="80" t="s">
        <v>3767</v>
      </c>
      <c r="AI83" s="80">
        <v>5427</v>
      </c>
      <c r="AJ83" s="80">
        <v>2</v>
      </c>
      <c r="AK83" s="80">
        <v>9</v>
      </c>
      <c r="AL83" s="80">
        <v>3</v>
      </c>
      <c r="AM83" s="80" t="s">
        <v>4098</v>
      </c>
      <c r="AN83" s="96" t="str">
        <f>HYPERLINK("https://www.youtube.com/watch?v=mZ6sTb1JphI")</f>
        <v>https://www.youtube.com/watch?v=mZ6sTb1JphI</v>
      </c>
      <c r="AO83" s="80" t="str">
        <f>REPLACE(INDEX(GroupVertices[Group],MATCH(Vertices[[#This Row],[Vertex]],GroupVertices[Vertex],0)),1,1,"")</f>
        <v>1</v>
      </c>
      <c r="AP83" s="48">
        <v>0</v>
      </c>
      <c r="AQ83" s="49">
        <v>0</v>
      </c>
      <c r="AR83" s="48">
        <v>0</v>
      </c>
      <c r="AS83" s="49">
        <v>0</v>
      </c>
      <c r="AT83" s="48">
        <v>0</v>
      </c>
      <c r="AU83" s="49">
        <v>0</v>
      </c>
      <c r="AV83" s="48">
        <v>14</v>
      </c>
      <c r="AW83" s="49">
        <v>100</v>
      </c>
      <c r="AX83" s="48">
        <v>14</v>
      </c>
      <c r="AY83" s="48"/>
      <c r="AZ83" s="48"/>
      <c r="BA83" s="48"/>
      <c r="BB83" s="48"/>
      <c r="BC83" s="2"/>
      <c r="BD83" s="3"/>
      <c r="BE83" s="3"/>
      <c r="BF83" s="3"/>
      <c r="BG83" s="3"/>
    </row>
    <row r="84" spans="1:59" ht="15">
      <c r="A84" s="66" t="s">
        <v>605</v>
      </c>
      <c r="B84" s="67" t="s">
        <v>4456</v>
      </c>
      <c r="C84" s="67" t="s">
        <v>56</v>
      </c>
      <c r="D84" s="68">
        <v>120</v>
      </c>
      <c r="E84" s="70"/>
      <c r="F84" s="97" t="str">
        <f>HYPERLINK("https://i.ytimg.com/vi/0v4PPnAX8Lo/default.jpg")</f>
        <v>https://i.ytimg.com/vi/0v4PPnAX8Lo/default.jpg</v>
      </c>
      <c r="G84" s="67"/>
      <c r="H84" s="71" t="s">
        <v>1345</v>
      </c>
      <c r="I84" s="72"/>
      <c r="J84" s="72" t="s">
        <v>159</v>
      </c>
      <c r="K84" s="71" t="s">
        <v>1345</v>
      </c>
      <c r="L84" s="75">
        <v>1111.888888888889</v>
      </c>
      <c r="M84" s="76">
        <v>1626.27294921875</v>
      </c>
      <c r="N84" s="76">
        <v>8242.736328125</v>
      </c>
      <c r="O84" s="77"/>
      <c r="P84" s="78"/>
      <c r="Q84" s="78"/>
      <c r="R84" s="82"/>
      <c r="S84" s="48">
        <v>5</v>
      </c>
      <c r="T84" s="48">
        <v>0</v>
      </c>
      <c r="U84" s="49">
        <v>4.002514</v>
      </c>
      <c r="V84" s="49">
        <v>0.001524</v>
      </c>
      <c r="W84" s="49">
        <v>0.001905</v>
      </c>
      <c r="X84" s="49">
        <v>0.467181</v>
      </c>
      <c r="Y84" s="49">
        <v>0.35</v>
      </c>
      <c r="Z84" s="49">
        <v>0</v>
      </c>
      <c r="AA84" s="73">
        <v>84</v>
      </c>
      <c r="AB84" s="73"/>
      <c r="AC84" s="74"/>
      <c r="AD84" s="80" t="s">
        <v>1345</v>
      </c>
      <c r="AE84" s="80" t="s">
        <v>2011</v>
      </c>
      <c r="AF84" s="80" t="s">
        <v>2609</v>
      </c>
      <c r="AG84" s="80" t="s">
        <v>3152</v>
      </c>
      <c r="AH84" s="80" t="s">
        <v>3757</v>
      </c>
      <c r="AI84" s="80">
        <v>21708</v>
      </c>
      <c r="AJ84" s="80">
        <v>20</v>
      </c>
      <c r="AK84" s="80">
        <v>120</v>
      </c>
      <c r="AL84" s="80">
        <v>3</v>
      </c>
      <c r="AM84" s="80" t="s">
        <v>4098</v>
      </c>
      <c r="AN84" s="96" t="str">
        <f>HYPERLINK("https://www.youtube.com/watch?v=0v4PPnAX8Lo")</f>
        <v>https://www.youtube.com/watch?v=0v4PPnAX8Lo</v>
      </c>
      <c r="AO84" s="80" t="str">
        <f>REPLACE(INDEX(GroupVertices[Group],MATCH(Vertices[[#This Row],[Vertex]],GroupVertices[Vertex],0)),1,1,"")</f>
        <v>1</v>
      </c>
      <c r="AP84" s="48">
        <v>1</v>
      </c>
      <c r="AQ84" s="49">
        <v>7.142857142857143</v>
      </c>
      <c r="AR84" s="48">
        <v>0</v>
      </c>
      <c r="AS84" s="49">
        <v>0</v>
      </c>
      <c r="AT84" s="48">
        <v>0</v>
      </c>
      <c r="AU84" s="49">
        <v>0</v>
      </c>
      <c r="AV84" s="48">
        <v>13</v>
      </c>
      <c r="AW84" s="49">
        <v>92.85714285714286</v>
      </c>
      <c r="AX84" s="48">
        <v>14</v>
      </c>
      <c r="AY84" s="48"/>
      <c r="AZ84" s="48"/>
      <c r="BA84" s="48"/>
      <c r="BB84" s="48"/>
      <c r="BC84" s="2"/>
      <c r="BD84" s="3"/>
      <c r="BE84" s="3"/>
      <c r="BF84" s="3"/>
      <c r="BG84" s="3"/>
    </row>
    <row r="85" spans="1:59" ht="15">
      <c r="A85" s="66" t="s">
        <v>565</v>
      </c>
      <c r="B85" s="67" t="s">
        <v>4456</v>
      </c>
      <c r="C85" s="67" t="s">
        <v>56</v>
      </c>
      <c r="D85" s="68">
        <v>98</v>
      </c>
      <c r="E85" s="70"/>
      <c r="F85" s="97" t="str">
        <f>HYPERLINK("https://i.ytimg.com/vi/Js5dgnhHIMQ/default.jpg")</f>
        <v>https://i.ytimg.com/vi/Js5dgnhHIMQ/default.jpg</v>
      </c>
      <c r="G85" s="67"/>
      <c r="H85" s="71" t="s">
        <v>1300</v>
      </c>
      <c r="I85" s="72"/>
      <c r="J85" s="72" t="s">
        <v>159</v>
      </c>
      <c r="K85" s="71" t="s">
        <v>1300</v>
      </c>
      <c r="L85" s="75">
        <v>889.7111111111111</v>
      </c>
      <c r="M85" s="76">
        <v>1954.3790283203125</v>
      </c>
      <c r="N85" s="76">
        <v>9059.439453125</v>
      </c>
      <c r="O85" s="77"/>
      <c r="P85" s="78"/>
      <c r="Q85" s="78"/>
      <c r="R85" s="82"/>
      <c r="S85" s="48">
        <v>4</v>
      </c>
      <c r="T85" s="48">
        <v>0</v>
      </c>
      <c r="U85" s="49">
        <v>3.711847</v>
      </c>
      <c r="V85" s="49">
        <v>0.001458</v>
      </c>
      <c r="W85" s="49">
        <v>0.000892</v>
      </c>
      <c r="X85" s="49">
        <v>0.418395</v>
      </c>
      <c r="Y85" s="49">
        <v>0.16666666666666666</v>
      </c>
      <c r="Z85" s="49">
        <v>0</v>
      </c>
      <c r="AA85" s="73">
        <v>85</v>
      </c>
      <c r="AB85" s="73"/>
      <c r="AC85" s="74"/>
      <c r="AD85" s="80" t="s">
        <v>1300</v>
      </c>
      <c r="AE85" s="80"/>
      <c r="AF85" s="80" t="s">
        <v>2577</v>
      </c>
      <c r="AG85" s="80" t="s">
        <v>3119</v>
      </c>
      <c r="AH85" s="80" t="s">
        <v>3712</v>
      </c>
      <c r="AI85" s="80">
        <v>76</v>
      </c>
      <c r="AJ85" s="80">
        <v>0</v>
      </c>
      <c r="AK85" s="80">
        <v>0</v>
      </c>
      <c r="AL85" s="80">
        <v>0</v>
      </c>
      <c r="AM85" s="80" t="s">
        <v>4098</v>
      </c>
      <c r="AN85" s="96" t="str">
        <f>HYPERLINK("https://www.youtube.com/watch?v=Js5dgnhHIMQ")</f>
        <v>https://www.youtube.com/watch?v=Js5dgnhHIMQ</v>
      </c>
      <c r="AO85" s="80" t="str">
        <f>REPLACE(INDEX(GroupVertices[Group],MATCH(Vertices[[#This Row],[Vertex]],GroupVertices[Vertex],0)),1,1,"")</f>
        <v>1</v>
      </c>
      <c r="AP85" s="48">
        <v>0</v>
      </c>
      <c r="AQ85" s="49">
        <v>0</v>
      </c>
      <c r="AR85" s="48">
        <v>0</v>
      </c>
      <c r="AS85" s="49">
        <v>0</v>
      </c>
      <c r="AT85" s="48">
        <v>0</v>
      </c>
      <c r="AU85" s="49">
        <v>0</v>
      </c>
      <c r="AV85" s="48">
        <v>7</v>
      </c>
      <c r="AW85" s="49">
        <v>100</v>
      </c>
      <c r="AX85" s="48">
        <v>7</v>
      </c>
      <c r="AY85" s="48"/>
      <c r="AZ85" s="48"/>
      <c r="BA85" s="48"/>
      <c r="BB85" s="48"/>
      <c r="BC85" s="2"/>
      <c r="BD85" s="3"/>
      <c r="BE85" s="3"/>
      <c r="BF85" s="3"/>
      <c r="BG85" s="3"/>
    </row>
    <row r="86" spans="1:59" ht="15">
      <c r="A86" s="66" t="s">
        <v>736</v>
      </c>
      <c r="B86" s="67" t="s">
        <v>4456</v>
      </c>
      <c r="C86" s="67" t="s">
        <v>64</v>
      </c>
      <c r="D86" s="68">
        <v>164</v>
      </c>
      <c r="E86" s="70"/>
      <c r="F86" s="97" t="str">
        <f>HYPERLINK("https://i.ytimg.com/vi/uMBPsEAm7VU/default.jpg")</f>
        <v>https://i.ytimg.com/vi/uMBPsEAm7VU/default.jpg</v>
      </c>
      <c r="G86" s="67"/>
      <c r="H86" s="71" t="s">
        <v>1477</v>
      </c>
      <c r="I86" s="72"/>
      <c r="J86" s="72" t="s">
        <v>75</v>
      </c>
      <c r="K86" s="71" t="s">
        <v>1477</v>
      </c>
      <c r="L86" s="75">
        <v>1556.2444444444445</v>
      </c>
      <c r="M86" s="76">
        <v>4590.333984375</v>
      </c>
      <c r="N86" s="76">
        <v>7568.9501953125</v>
      </c>
      <c r="O86" s="77"/>
      <c r="P86" s="78"/>
      <c r="Q86" s="78"/>
      <c r="R86" s="82"/>
      <c r="S86" s="48">
        <v>7</v>
      </c>
      <c r="T86" s="48">
        <v>0</v>
      </c>
      <c r="U86" s="49">
        <v>3.654417</v>
      </c>
      <c r="V86" s="49">
        <v>0.00159</v>
      </c>
      <c r="W86" s="49">
        <v>0.002776</v>
      </c>
      <c r="X86" s="49">
        <v>0.590967</v>
      </c>
      <c r="Y86" s="49">
        <v>0.47619047619047616</v>
      </c>
      <c r="Z86" s="49">
        <v>0</v>
      </c>
      <c r="AA86" s="73">
        <v>86</v>
      </c>
      <c r="AB86" s="73"/>
      <c r="AC86" s="74"/>
      <c r="AD86" s="80" t="s">
        <v>1477</v>
      </c>
      <c r="AE86" s="80" t="s">
        <v>2133</v>
      </c>
      <c r="AF86" s="80" t="s">
        <v>2721</v>
      </c>
      <c r="AG86" s="80" t="s">
        <v>3246</v>
      </c>
      <c r="AH86" s="80" t="s">
        <v>3890</v>
      </c>
      <c r="AI86" s="80">
        <v>21359</v>
      </c>
      <c r="AJ86" s="80">
        <v>5</v>
      </c>
      <c r="AK86" s="80">
        <v>30</v>
      </c>
      <c r="AL86" s="80">
        <v>10</v>
      </c>
      <c r="AM86" s="80" t="s">
        <v>4098</v>
      </c>
      <c r="AN86" s="96" t="str">
        <f>HYPERLINK("https://www.youtube.com/watch?v=uMBPsEAm7VU")</f>
        <v>https://www.youtube.com/watch?v=uMBPsEAm7VU</v>
      </c>
      <c r="AO86" s="80" t="str">
        <f>REPLACE(INDEX(GroupVertices[Group],MATCH(Vertices[[#This Row],[Vertex]],GroupVertices[Vertex],0)),1,1,"")</f>
        <v>1</v>
      </c>
      <c r="AP86" s="48">
        <v>0</v>
      </c>
      <c r="AQ86" s="49">
        <v>0</v>
      </c>
      <c r="AR86" s="48">
        <v>0</v>
      </c>
      <c r="AS86" s="49">
        <v>0</v>
      </c>
      <c r="AT86" s="48">
        <v>0</v>
      </c>
      <c r="AU86" s="49">
        <v>0</v>
      </c>
      <c r="AV86" s="48">
        <v>6</v>
      </c>
      <c r="AW86" s="49">
        <v>100</v>
      </c>
      <c r="AX86" s="48">
        <v>6</v>
      </c>
      <c r="AY86" s="48"/>
      <c r="AZ86" s="48"/>
      <c r="BA86" s="48"/>
      <c r="BB86" s="48"/>
      <c r="BC86" s="2"/>
      <c r="BD86" s="3"/>
      <c r="BE86" s="3"/>
      <c r="BF86" s="3"/>
      <c r="BG86" s="3"/>
    </row>
    <row r="87" spans="1:59" ht="15">
      <c r="A87" s="66" t="s">
        <v>876</v>
      </c>
      <c r="B87" s="67" t="s">
        <v>4456</v>
      </c>
      <c r="C87" s="67" t="s">
        <v>64</v>
      </c>
      <c r="D87" s="68">
        <v>186</v>
      </c>
      <c r="E87" s="70"/>
      <c r="F87" s="97" t="str">
        <f>HYPERLINK("https://i.ytimg.com/vi/ei3YEn8xUnI/default.jpg")</f>
        <v>https://i.ytimg.com/vi/ei3YEn8xUnI/default.jpg</v>
      </c>
      <c r="G87" s="67"/>
      <c r="H87" s="71" t="s">
        <v>1615</v>
      </c>
      <c r="I87" s="72"/>
      <c r="J87" s="72" t="s">
        <v>75</v>
      </c>
      <c r="K87" s="71" t="s">
        <v>1615</v>
      </c>
      <c r="L87" s="75">
        <v>1778.4222222222222</v>
      </c>
      <c r="M87" s="76">
        <v>8650.5693359375</v>
      </c>
      <c r="N87" s="76">
        <v>1787.2056884765625</v>
      </c>
      <c r="O87" s="77"/>
      <c r="P87" s="78"/>
      <c r="Q87" s="78"/>
      <c r="R87" s="82"/>
      <c r="S87" s="48">
        <v>8</v>
      </c>
      <c r="T87" s="48">
        <v>0</v>
      </c>
      <c r="U87" s="49">
        <v>3.253975</v>
      </c>
      <c r="V87" s="49">
        <v>0.001637</v>
      </c>
      <c r="W87" s="49">
        <v>0.003079</v>
      </c>
      <c r="X87" s="49">
        <v>0.65891</v>
      </c>
      <c r="Y87" s="49">
        <v>0.4642857142857143</v>
      </c>
      <c r="Z87" s="49">
        <v>0</v>
      </c>
      <c r="AA87" s="73">
        <v>87</v>
      </c>
      <c r="AB87" s="73"/>
      <c r="AC87" s="74"/>
      <c r="AD87" s="80" t="s">
        <v>1615</v>
      </c>
      <c r="AE87" s="80" t="s">
        <v>2254</v>
      </c>
      <c r="AF87" s="80" t="s">
        <v>1636</v>
      </c>
      <c r="AG87" s="80" t="s">
        <v>3330</v>
      </c>
      <c r="AH87" s="80" t="s">
        <v>4030</v>
      </c>
      <c r="AI87" s="80">
        <v>17084</v>
      </c>
      <c r="AJ87" s="80">
        <v>11</v>
      </c>
      <c r="AK87" s="80">
        <v>102</v>
      </c>
      <c r="AL87" s="80">
        <v>3</v>
      </c>
      <c r="AM87" s="80" t="s">
        <v>4098</v>
      </c>
      <c r="AN87" s="96" t="str">
        <f>HYPERLINK("https://www.youtube.com/watch?v=ei3YEn8xUnI")</f>
        <v>https://www.youtube.com/watch?v=ei3YEn8xUnI</v>
      </c>
      <c r="AO87" s="80" t="str">
        <f>REPLACE(INDEX(GroupVertices[Group],MATCH(Vertices[[#This Row],[Vertex]],GroupVertices[Vertex],0)),1,1,"")</f>
        <v>4</v>
      </c>
      <c r="AP87" s="48">
        <v>0</v>
      </c>
      <c r="AQ87" s="49">
        <v>0</v>
      </c>
      <c r="AR87" s="48">
        <v>0</v>
      </c>
      <c r="AS87" s="49">
        <v>0</v>
      </c>
      <c r="AT87" s="48">
        <v>0</v>
      </c>
      <c r="AU87" s="49">
        <v>0</v>
      </c>
      <c r="AV87" s="48">
        <v>3</v>
      </c>
      <c r="AW87" s="49">
        <v>100</v>
      </c>
      <c r="AX87" s="48">
        <v>3</v>
      </c>
      <c r="AY87" s="48"/>
      <c r="AZ87" s="48"/>
      <c r="BA87" s="48"/>
      <c r="BB87" s="48"/>
      <c r="BC87" s="2"/>
      <c r="BD87" s="3"/>
      <c r="BE87" s="3"/>
      <c r="BF87" s="3"/>
      <c r="BG87" s="3"/>
    </row>
    <row r="88" spans="1:59" ht="15">
      <c r="A88" s="66" t="s">
        <v>850</v>
      </c>
      <c r="B88" s="67" t="s">
        <v>4456</v>
      </c>
      <c r="C88" s="67" t="s">
        <v>64</v>
      </c>
      <c r="D88" s="68">
        <v>296</v>
      </c>
      <c r="E88" s="70"/>
      <c r="F88" s="97" t="str">
        <f>HYPERLINK("https://i.ytimg.com/vi/3BxOkYDOst4/default.jpg")</f>
        <v>https://i.ytimg.com/vi/3BxOkYDOst4/default.jpg</v>
      </c>
      <c r="G88" s="67"/>
      <c r="H88" s="71" t="s">
        <v>1589</v>
      </c>
      <c r="I88" s="72"/>
      <c r="J88" s="72" t="s">
        <v>75</v>
      </c>
      <c r="K88" s="71" t="s">
        <v>1589</v>
      </c>
      <c r="L88" s="75">
        <v>2889.311111111111</v>
      </c>
      <c r="M88" s="76">
        <v>8470.2314453125</v>
      </c>
      <c r="N88" s="76">
        <v>6586.37451171875</v>
      </c>
      <c r="O88" s="77"/>
      <c r="P88" s="78"/>
      <c r="Q88" s="78"/>
      <c r="R88" s="82"/>
      <c r="S88" s="48">
        <v>13</v>
      </c>
      <c r="T88" s="48">
        <v>0</v>
      </c>
      <c r="U88" s="49">
        <v>3.184628</v>
      </c>
      <c r="V88" s="49">
        <v>0.001672</v>
      </c>
      <c r="W88" s="49">
        <v>0.005471</v>
      </c>
      <c r="X88" s="49">
        <v>0.936341</v>
      </c>
      <c r="Y88" s="49">
        <v>0.6410256410256411</v>
      </c>
      <c r="Z88" s="49">
        <v>0</v>
      </c>
      <c r="AA88" s="73">
        <v>88</v>
      </c>
      <c r="AB88" s="73"/>
      <c r="AC88" s="74"/>
      <c r="AD88" s="80" t="s">
        <v>1589</v>
      </c>
      <c r="AE88" s="80" t="s">
        <v>2232</v>
      </c>
      <c r="AF88" s="80"/>
      <c r="AG88" s="80" t="s">
        <v>2907</v>
      </c>
      <c r="AH88" s="80" t="s">
        <v>4004</v>
      </c>
      <c r="AI88" s="80">
        <v>459</v>
      </c>
      <c r="AJ88" s="80">
        <v>1</v>
      </c>
      <c r="AK88" s="80">
        <v>14</v>
      </c>
      <c r="AL88" s="80">
        <v>0</v>
      </c>
      <c r="AM88" s="80" t="s">
        <v>4098</v>
      </c>
      <c r="AN88" s="96" t="str">
        <f>HYPERLINK("https://www.youtube.com/watch?v=3BxOkYDOst4")</f>
        <v>https://www.youtube.com/watch?v=3BxOkYDOst4</v>
      </c>
      <c r="AO88" s="80" t="str">
        <f>REPLACE(INDEX(GroupVertices[Group],MATCH(Vertices[[#This Row],[Vertex]],GroupVertices[Vertex],0)),1,1,"")</f>
        <v>3</v>
      </c>
      <c r="AP88" s="48"/>
      <c r="AQ88" s="49"/>
      <c r="AR88" s="48"/>
      <c r="AS88" s="49"/>
      <c r="AT88" s="48"/>
      <c r="AU88" s="49"/>
      <c r="AV88" s="48"/>
      <c r="AW88" s="49"/>
      <c r="AX88" s="48"/>
      <c r="AY88" s="48"/>
      <c r="AZ88" s="48"/>
      <c r="BA88" s="48"/>
      <c r="BB88" s="48"/>
      <c r="BC88" s="2"/>
      <c r="BD88" s="3"/>
      <c r="BE88" s="3"/>
      <c r="BF88" s="3"/>
      <c r="BG88" s="3"/>
    </row>
    <row r="89" spans="1:59" ht="15">
      <c r="A89" s="66" t="s">
        <v>844</v>
      </c>
      <c r="B89" s="67" t="s">
        <v>4456</v>
      </c>
      <c r="C89" s="67" t="s">
        <v>64</v>
      </c>
      <c r="D89" s="68">
        <v>230</v>
      </c>
      <c r="E89" s="70"/>
      <c r="F89" s="97" t="str">
        <f>HYPERLINK("https://i.ytimg.com/vi/HNY2dxugho8/default.jpg")</f>
        <v>https://i.ytimg.com/vi/HNY2dxugho8/default.jpg</v>
      </c>
      <c r="G89" s="67"/>
      <c r="H89" s="71" t="s">
        <v>1583</v>
      </c>
      <c r="I89" s="72"/>
      <c r="J89" s="72" t="s">
        <v>75</v>
      </c>
      <c r="K89" s="71" t="s">
        <v>1583</v>
      </c>
      <c r="L89" s="75">
        <v>2222.777777777778</v>
      </c>
      <c r="M89" s="76">
        <v>8267.419921875</v>
      </c>
      <c r="N89" s="76">
        <v>6329.8564453125</v>
      </c>
      <c r="O89" s="77"/>
      <c r="P89" s="78"/>
      <c r="Q89" s="78"/>
      <c r="R89" s="82"/>
      <c r="S89" s="48">
        <v>10</v>
      </c>
      <c r="T89" s="48">
        <v>0</v>
      </c>
      <c r="U89" s="49">
        <v>3.131996</v>
      </c>
      <c r="V89" s="49">
        <v>0.001597</v>
      </c>
      <c r="W89" s="49">
        <v>0.004051</v>
      </c>
      <c r="X89" s="49">
        <v>0.754843</v>
      </c>
      <c r="Y89" s="49">
        <v>0.6444444444444445</v>
      </c>
      <c r="Z89" s="49">
        <v>0</v>
      </c>
      <c r="AA89" s="73">
        <v>89</v>
      </c>
      <c r="AB89" s="73"/>
      <c r="AC89" s="74"/>
      <c r="AD89" s="80" t="s">
        <v>1583</v>
      </c>
      <c r="AE89" s="80" t="s">
        <v>2227</v>
      </c>
      <c r="AF89" s="80" t="s">
        <v>2813</v>
      </c>
      <c r="AG89" s="80" t="s">
        <v>2907</v>
      </c>
      <c r="AH89" s="80" t="s">
        <v>3998</v>
      </c>
      <c r="AI89" s="80">
        <v>598</v>
      </c>
      <c r="AJ89" s="80">
        <v>0</v>
      </c>
      <c r="AK89" s="80">
        <v>20</v>
      </c>
      <c r="AL89" s="80">
        <v>1</v>
      </c>
      <c r="AM89" s="80" t="s">
        <v>4098</v>
      </c>
      <c r="AN89" s="96" t="str">
        <f>HYPERLINK("https://www.youtube.com/watch?v=HNY2dxugho8")</f>
        <v>https://www.youtube.com/watch?v=HNY2dxugho8</v>
      </c>
      <c r="AO89" s="80" t="str">
        <f>REPLACE(INDEX(GroupVertices[Group],MATCH(Vertices[[#This Row],[Vertex]],GroupVertices[Vertex],0)),1,1,"")</f>
        <v>3</v>
      </c>
      <c r="AP89" s="48">
        <v>0</v>
      </c>
      <c r="AQ89" s="49">
        <v>0</v>
      </c>
      <c r="AR89" s="48">
        <v>0</v>
      </c>
      <c r="AS89" s="49">
        <v>0</v>
      </c>
      <c r="AT89" s="48">
        <v>0</v>
      </c>
      <c r="AU89" s="49">
        <v>0</v>
      </c>
      <c r="AV89" s="48">
        <v>23</v>
      </c>
      <c r="AW89" s="49">
        <v>100</v>
      </c>
      <c r="AX89" s="48">
        <v>23</v>
      </c>
      <c r="AY89" s="48"/>
      <c r="AZ89" s="48"/>
      <c r="BA89" s="48"/>
      <c r="BB89" s="48"/>
      <c r="BC89" s="2"/>
      <c r="BD89" s="3"/>
      <c r="BE89" s="3"/>
      <c r="BF89" s="3"/>
      <c r="BG89" s="3"/>
    </row>
    <row r="90" spans="1:59" ht="15">
      <c r="A90" s="66" t="s">
        <v>780</v>
      </c>
      <c r="B90" s="67" t="s">
        <v>4456</v>
      </c>
      <c r="C90" s="67" t="s">
        <v>64</v>
      </c>
      <c r="D90" s="68">
        <v>230</v>
      </c>
      <c r="E90" s="70"/>
      <c r="F90" s="97" t="str">
        <f>HYPERLINK("https://i.ytimg.com/vi/NYEN__tMIkw/default.jpg")</f>
        <v>https://i.ytimg.com/vi/NYEN__tMIkw/default.jpg</v>
      </c>
      <c r="G90" s="67"/>
      <c r="H90" s="71" t="s">
        <v>1520</v>
      </c>
      <c r="I90" s="72"/>
      <c r="J90" s="72" t="s">
        <v>75</v>
      </c>
      <c r="K90" s="71" t="s">
        <v>1520</v>
      </c>
      <c r="L90" s="75">
        <v>2222.777777777778</v>
      </c>
      <c r="M90" s="76">
        <v>5519.3486328125</v>
      </c>
      <c r="N90" s="76">
        <v>2848.204345703125</v>
      </c>
      <c r="O90" s="77"/>
      <c r="P90" s="78"/>
      <c r="Q90" s="78"/>
      <c r="R90" s="82"/>
      <c r="S90" s="48">
        <v>10</v>
      </c>
      <c r="T90" s="48">
        <v>0</v>
      </c>
      <c r="U90" s="49">
        <v>3.131996</v>
      </c>
      <c r="V90" s="49">
        <v>0.001553</v>
      </c>
      <c r="W90" s="49">
        <v>0.00402</v>
      </c>
      <c r="X90" s="49">
        <v>0.746215</v>
      </c>
      <c r="Y90" s="49">
        <v>0.7333333333333333</v>
      </c>
      <c r="Z90" s="49">
        <v>0</v>
      </c>
      <c r="AA90" s="73">
        <v>90</v>
      </c>
      <c r="AB90" s="73"/>
      <c r="AC90" s="74"/>
      <c r="AD90" s="80" t="s">
        <v>1520</v>
      </c>
      <c r="AE90" s="80" t="s">
        <v>2170</v>
      </c>
      <c r="AF90" s="80" t="s">
        <v>2756</v>
      </c>
      <c r="AG90" s="80" t="s">
        <v>2907</v>
      </c>
      <c r="AH90" s="80" t="s">
        <v>3934</v>
      </c>
      <c r="AI90" s="80">
        <v>317</v>
      </c>
      <c r="AJ90" s="80">
        <v>3</v>
      </c>
      <c r="AK90" s="80">
        <v>14</v>
      </c>
      <c r="AL90" s="80">
        <v>0</v>
      </c>
      <c r="AM90" s="80" t="s">
        <v>4098</v>
      </c>
      <c r="AN90" s="96" t="str">
        <f>HYPERLINK("https://www.youtube.com/watch?v=NYEN__tMIkw")</f>
        <v>https://www.youtube.com/watch?v=NYEN__tMIkw</v>
      </c>
      <c r="AO90" s="80" t="str">
        <f>REPLACE(INDEX(GroupVertices[Group],MATCH(Vertices[[#This Row],[Vertex]],GroupVertices[Vertex],0)),1,1,"")</f>
        <v>2</v>
      </c>
      <c r="AP90" s="48">
        <v>0</v>
      </c>
      <c r="AQ90" s="49">
        <v>0</v>
      </c>
      <c r="AR90" s="48">
        <v>0</v>
      </c>
      <c r="AS90" s="49">
        <v>0</v>
      </c>
      <c r="AT90" s="48">
        <v>0</v>
      </c>
      <c r="AU90" s="49">
        <v>0</v>
      </c>
      <c r="AV90" s="48">
        <v>7</v>
      </c>
      <c r="AW90" s="49">
        <v>100</v>
      </c>
      <c r="AX90" s="48">
        <v>7</v>
      </c>
      <c r="AY90" s="48"/>
      <c r="AZ90" s="48"/>
      <c r="BA90" s="48"/>
      <c r="BB90" s="48"/>
      <c r="BC90" s="2"/>
      <c r="BD90" s="3"/>
      <c r="BE90" s="3"/>
      <c r="BF90" s="3"/>
      <c r="BG90" s="3"/>
    </row>
    <row r="91" spans="1:59" ht="15">
      <c r="A91" s="66" t="s">
        <v>779</v>
      </c>
      <c r="B91" s="67" t="s">
        <v>4456</v>
      </c>
      <c r="C91" s="67" t="s">
        <v>64</v>
      </c>
      <c r="D91" s="68">
        <v>208</v>
      </c>
      <c r="E91" s="70"/>
      <c r="F91" s="97" t="str">
        <f>HYPERLINK("https://i.ytimg.com/vi/uCVvMwtGRqM/default.jpg")</f>
        <v>https://i.ytimg.com/vi/uCVvMwtGRqM/default.jpg</v>
      </c>
      <c r="G91" s="67"/>
      <c r="H91" s="71" t="s">
        <v>1519</v>
      </c>
      <c r="I91" s="72"/>
      <c r="J91" s="72" t="s">
        <v>75</v>
      </c>
      <c r="K91" s="71" t="s">
        <v>1519</v>
      </c>
      <c r="L91" s="75">
        <v>2000.6</v>
      </c>
      <c r="M91" s="76">
        <v>7493.69091796875</v>
      </c>
      <c r="N91" s="76">
        <v>6217.017578125</v>
      </c>
      <c r="O91" s="77"/>
      <c r="P91" s="78"/>
      <c r="Q91" s="78"/>
      <c r="R91" s="82"/>
      <c r="S91" s="48">
        <v>9</v>
      </c>
      <c r="T91" s="48">
        <v>0</v>
      </c>
      <c r="U91" s="49">
        <v>2.927066</v>
      </c>
      <c r="V91" s="49">
        <v>0.001546</v>
      </c>
      <c r="W91" s="49">
        <v>0.003544</v>
      </c>
      <c r="X91" s="49">
        <v>0.690881</v>
      </c>
      <c r="Y91" s="49">
        <v>0.7222222222222222</v>
      </c>
      <c r="Z91" s="49">
        <v>0</v>
      </c>
      <c r="AA91" s="73">
        <v>91</v>
      </c>
      <c r="AB91" s="73"/>
      <c r="AC91" s="74"/>
      <c r="AD91" s="80" t="s">
        <v>1519</v>
      </c>
      <c r="AE91" s="80" t="s">
        <v>2169</v>
      </c>
      <c r="AF91" s="80" t="s">
        <v>2755</v>
      </c>
      <c r="AG91" s="80" t="s">
        <v>2907</v>
      </c>
      <c r="AH91" s="80" t="s">
        <v>3933</v>
      </c>
      <c r="AI91" s="80">
        <v>44</v>
      </c>
      <c r="AJ91" s="80">
        <v>1</v>
      </c>
      <c r="AK91" s="80">
        <v>3</v>
      </c>
      <c r="AL91" s="80">
        <v>0</v>
      </c>
      <c r="AM91" s="80" t="s">
        <v>4098</v>
      </c>
      <c r="AN91" s="96" t="str">
        <f>HYPERLINK("https://www.youtube.com/watch?v=uCVvMwtGRqM")</f>
        <v>https://www.youtube.com/watch?v=uCVvMwtGRqM</v>
      </c>
      <c r="AO91" s="80" t="str">
        <f>REPLACE(INDEX(GroupVertices[Group],MATCH(Vertices[[#This Row],[Vertex]],GroupVertices[Vertex],0)),1,1,"")</f>
        <v>3</v>
      </c>
      <c r="AP91" s="48">
        <v>0</v>
      </c>
      <c r="AQ91" s="49">
        <v>0</v>
      </c>
      <c r="AR91" s="48">
        <v>1</v>
      </c>
      <c r="AS91" s="49">
        <v>10</v>
      </c>
      <c r="AT91" s="48">
        <v>0</v>
      </c>
      <c r="AU91" s="49">
        <v>0</v>
      </c>
      <c r="AV91" s="48">
        <v>9</v>
      </c>
      <c r="AW91" s="49">
        <v>90</v>
      </c>
      <c r="AX91" s="48">
        <v>10</v>
      </c>
      <c r="AY91" s="48"/>
      <c r="AZ91" s="48"/>
      <c r="BA91" s="48"/>
      <c r="BB91" s="48"/>
      <c r="BC91" s="2"/>
      <c r="BD91" s="3"/>
      <c r="BE91" s="3"/>
      <c r="BF91" s="3"/>
      <c r="BG91" s="3"/>
    </row>
    <row r="92" spans="1:59" ht="15">
      <c r="A92" s="66" t="s">
        <v>671</v>
      </c>
      <c r="B92" s="67" t="s">
        <v>4456</v>
      </c>
      <c r="C92" s="67" t="s">
        <v>56</v>
      </c>
      <c r="D92" s="68">
        <v>98</v>
      </c>
      <c r="E92" s="70"/>
      <c r="F92" s="97" t="str">
        <f>HYPERLINK("https://i.ytimg.com/vi/2guKJfvq4uI/default.jpg")</f>
        <v>https://i.ytimg.com/vi/2guKJfvq4uI/default.jpg</v>
      </c>
      <c r="G92" s="67"/>
      <c r="H92" s="71" t="s">
        <v>1412</v>
      </c>
      <c r="I92" s="72"/>
      <c r="J92" s="72" t="s">
        <v>159</v>
      </c>
      <c r="K92" s="71" t="s">
        <v>1412</v>
      </c>
      <c r="L92" s="75">
        <v>889.7111111111111</v>
      </c>
      <c r="M92" s="76">
        <v>3103.5400390625</v>
      </c>
      <c r="N92" s="76">
        <v>4964.9052734375</v>
      </c>
      <c r="O92" s="77"/>
      <c r="P92" s="78"/>
      <c r="Q92" s="78"/>
      <c r="R92" s="82"/>
      <c r="S92" s="48">
        <v>4</v>
      </c>
      <c r="T92" s="48">
        <v>0</v>
      </c>
      <c r="U92" s="49">
        <v>2.86238</v>
      </c>
      <c r="V92" s="49">
        <v>0.001499</v>
      </c>
      <c r="W92" s="49">
        <v>0.001341</v>
      </c>
      <c r="X92" s="49">
        <v>0.404777</v>
      </c>
      <c r="Y92" s="49">
        <v>0.25</v>
      </c>
      <c r="Z92" s="49">
        <v>0</v>
      </c>
      <c r="AA92" s="73">
        <v>92</v>
      </c>
      <c r="AB92" s="73"/>
      <c r="AC92" s="74"/>
      <c r="AD92" s="80" t="s">
        <v>1412</v>
      </c>
      <c r="AE92" s="80" t="s">
        <v>2072</v>
      </c>
      <c r="AF92" s="80" t="s">
        <v>2662</v>
      </c>
      <c r="AG92" s="80" t="s">
        <v>3203</v>
      </c>
      <c r="AH92" s="80" t="s">
        <v>3824</v>
      </c>
      <c r="AI92" s="80">
        <v>146830</v>
      </c>
      <c r="AJ92" s="80">
        <v>30</v>
      </c>
      <c r="AK92" s="80">
        <v>411</v>
      </c>
      <c r="AL92" s="80">
        <v>5</v>
      </c>
      <c r="AM92" s="80" t="s">
        <v>4098</v>
      </c>
      <c r="AN92" s="96" t="str">
        <f>HYPERLINK("https://www.youtube.com/watch?v=2guKJfvq4uI")</f>
        <v>https://www.youtube.com/watch?v=2guKJfvq4uI</v>
      </c>
      <c r="AO92" s="80" t="str">
        <f>REPLACE(INDEX(GroupVertices[Group],MATCH(Vertices[[#This Row],[Vertex]],GroupVertices[Vertex],0)),1,1,"")</f>
        <v>1</v>
      </c>
      <c r="AP92" s="48">
        <v>0</v>
      </c>
      <c r="AQ92" s="49">
        <v>0</v>
      </c>
      <c r="AR92" s="48">
        <v>0</v>
      </c>
      <c r="AS92" s="49">
        <v>0</v>
      </c>
      <c r="AT92" s="48">
        <v>0</v>
      </c>
      <c r="AU92" s="49">
        <v>0</v>
      </c>
      <c r="AV92" s="48">
        <v>4</v>
      </c>
      <c r="AW92" s="49">
        <v>100</v>
      </c>
      <c r="AX92" s="48">
        <v>4</v>
      </c>
      <c r="AY92" s="48"/>
      <c r="AZ92" s="48"/>
      <c r="BA92" s="48"/>
      <c r="BB92" s="48"/>
      <c r="BC92" s="2"/>
      <c r="BD92" s="3"/>
      <c r="BE92" s="3"/>
      <c r="BF92" s="3"/>
      <c r="BG92" s="3"/>
    </row>
    <row r="93" spans="1:59" ht="15">
      <c r="A93" s="66" t="s">
        <v>841</v>
      </c>
      <c r="B93" s="67" t="s">
        <v>4456</v>
      </c>
      <c r="C93" s="67" t="s">
        <v>64</v>
      </c>
      <c r="D93" s="68">
        <v>252</v>
      </c>
      <c r="E93" s="70"/>
      <c r="F93" s="97" t="str">
        <f>HYPERLINK("https://i.ytimg.com/vi/sRhTmGe2hPU/default.jpg")</f>
        <v>https://i.ytimg.com/vi/sRhTmGe2hPU/default.jpg</v>
      </c>
      <c r="G93" s="67"/>
      <c r="H93" s="71" t="s">
        <v>1580</v>
      </c>
      <c r="I93" s="72"/>
      <c r="J93" s="72" t="s">
        <v>75</v>
      </c>
      <c r="K93" s="71" t="s">
        <v>1580</v>
      </c>
      <c r="L93" s="75">
        <v>2444.9555555555557</v>
      </c>
      <c r="M93" s="76">
        <v>8615.9619140625</v>
      </c>
      <c r="N93" s="76">
        <v>6943.4619140625</v>
      </c>
      <c r="O93" s="77"/>
      <c r="P93" s="78"/>
      <c r="Q93" s="78"/>
      <c r="R93" s="82"/>
      <c r="S93" s="48">
        <v>11</v>
      </c>
      <c r="T93" s="48">
        <v>0</v>
      </c>
      <c r="U93" s="49">
        <v>2.632434</v>
      </c>
      <c r="V93" s="49">
        <v>0.001623</v>
      </c>
      <c r="W93" s="49">
        <v>0.004568</v>
      </c>
      <c r="X93" s="49">
        <v>0.81565</v>
      </c>
      <c r="Y93" s="49">
        <v>0.6545454545454545</v>
      </c>
      <c r="Z93" s="49">
        <v>0</v>
      </c>
      <c r="AA93" s="73">
        <v>93</v>
      </c>
      <c r="AB93" s="73"/>
      <c r="AC93" s="74"/>
      <c r="AD93" s="80" t="s">
        <v>1580</v>
      </c>
      <c r="AE93" s="80" t="s">
        <v>2224</v>
      </c>
      <c r="AF93" s="80" t="s">
        <v>2810</v>
      </c>
      <c r="AG93" s="80" t="s">
        <v>2907</v>
      </c>
      <c r="AH93" s="80" t="s">
        <v>3995</v>
      </c>
      <c r="AI93" s="80">
        <v>77</v>
      </c>
      <c r="AJ93" s="80">
        <v>0</v>
      </c>
      <c r="AK93" s="80">
        <v>1</v>
      </c>
      <c r="AL93" s="80">
        <v>0</v>
      </c>
      <c r="AM93" s="80" t="s">
        <v>4098</v>
      </c>
      <c r="AN93" s="96" t="str">
        <f>HYPERLINK("https://www.youtube.com/watch?v=sRhTmGe2hPU")</f>
        <v>https://www.youtube.com/watch?v=sRhTmGe2hPU</v>
      </c>
      <c r="AO93" s="80" t="str">
        <f>REPLACE(INDEX(GroupVertices[Group],MATCH(Vertices[[#This Row],[Vertex]],GroupVertices[Vertex],0)),1,1,"")</f>
        <v>3</v>
      </c>
      <c r="AP93" s="48">
        <v>0</v>
      </c>
      <c r="AQ93" s="49">
        <v>0</v>
      </c>
      <c r="AR93" s="48">
        <v>0</v>
      </c>
      <c r="AS93" s="49">
        <v>0</v>
      </c>
      <c r="AT93" s="48">
        <v>0</v>
      </c>
      <c r="AU93" s="49">
        <v>0</v>
      </c>
      <c r="AV93" s="48">
        <v>8</v>
      </c>
      <c r="AW93" s="49">
        <v>100</v>
      </c>
      <c r="AX93" s="48">
        <v>8</v>
      </c>
      <c r="AY93" s="48"/>
      <c r="AZ93" s="48"/>
      <c r="BA93" s="48"/>
      <c r="BB93" s="48"/>
      <c r="BC93" s="2"/>
      <c r="BD93" s="3"/>
      <c r="BE93" s="3"/>
      <c r="BF93" s="3"/>
      <c r="BG93" s="3"/>
    </row>
    <row r="94" spans="1:59" ht="15">
      <c r="A94" s="66" t="s">
        <v>773</v>
      </c>
      <c r="B94" s="67" t="s">
        <v>4456</v>
      </c>
      <c r="C94" s="67" t="s">
        <v>64</v>
      </c>
      <c r="D94" s="68">
        <v>208</v>
      </c>
      <c r="E94" s="70"/>
      <c r="F94" s="97" t="str">
        <f>HYPERLINK("https://i.ytimg.com/vi/rsDKfunaGSo/default.jpg")</f>
        <v>https://i.ytimg.com/vi/rsDKfunaGSo/default.jpg</v>
      </c>
      <c r="G94" s="67"/>
      <c r="H94" s="71" t="s">
        <v>1513</v>
      </c>
      <c r="I94" s="72"/>
      <c r="J94" s="72" t="s">
        <v>75</v>
      </c>
      <c r="K94" s="71" t="s">
        <v>1513</v>
      </c>
      <c r="L94" s="75">
        <v>2000.6</v>
      </c>
      <c r="M94" s="76">
        <v>7675.21337890625</v>
      </c>
      <c r="N94" s="76">
        <v>6369.9775390625</v>
      </c>
      <c r="O94" s="77"/>
      <c r="P94" s="78"/>
      <c r="Q94" s="78"/>
      <c r="R94" s="82"/>
      <c r="S94" s="48">
        <v>9</v>
      </c>
      <c r="T94" s="48">
        <v>0</v>
      </c>
      <c r="U94" s="49">
        <v>2.632434</v>
      </c>
      <c r="V94" s="49">
        <v>0.001541</v>
      </c>
      <c r="W94" s="49">
        <v>0.003573</v>
      </c>
      <c r="X94" s="49">
        <v>0.689482</v>
      </c>
      <c r="Y94" s="49">
        <v>0.7222222222222222</v>
      </c>
      <c r="Z94" s="49">
        <v>0</v>
      </c>
      <c r="AA94" s="73">
        <v>94</v>
      </c>
      <c r="AB94" s="73"/>
      <c r="AC94" s="74"/>
      <c r="AD94" s="80" t="s">
        <v>1513</v>
      </c>
      <c r="AE94" s="80" t="s">
        <v>2163</v>
      </c>
      <c r="AF94" s="80" t="s">
        <v>2749</v>
      </c>
      <c r="AG94" s="80" t="s">
        <v>2907</v>
      </c>
      <c r="AH94" s="80" t="s">
        <v>3927</v>
      </c>
      <c r="AI94" s="80">
        <v>69</v>
      </c>
      <c r="AJ94" s="80">
        <v>0</v>
      </c>
      <c r="AK94" s="80">
        <v>3</v>
      </c>
      <c r="AL94" s="80">
        <v>0</v>
      </c>
      <c r="AM94" s="80" t="s">
        <v>4098</v>
      </c>
      <c r="AN94" s="96" t="str">
        <f>HYPERLINK("https://www.youtube.com/watch?v=rsDKfunaGSo")</f>
        <v>https://www.youtube.com/watch?v=rsDKfunaGSo</v>
      </c>
      <c r="AO94" s="80" t="str">
        <f>REPLACE(INDEX(GroupVertices[Group],MATCH(Vertices[[#This Row],[Vertex]],GroupVertices[Vertex],0)),1,1,"")</f>
        <v>3</v>
      </c>
      <c r="AP94" s="48">
        <v>0</v>
      </c>
      <c r="AQ94" s="49">
        <v>0</v>
      </c>
      <c r="AR94" s="48">
        <v>0</v>
      </c>
      <c r="AS94" s="49">
        <v>0</v>
      </c>
      <c r="AT94" s="48">
        <v>0</v>
      </c>
      <c r="AU94" s="49">
        <v>0</v>
      </c>
      <c r="AV94" s="48">
        <v>12</v>
      </c>
      <c r="AW94" s="49">
        <v>100</v>
      </c>
      <c r="AX94" s="48">
        <v>12</v>
      </c>
      <c r="AY94" s="48"/>
      <c r="AZ94" s="48"/>
      <c r="BA94" s="48"/>
      <c r="BB94" s="48"/>
      <c r="BC94" s="2"/>
      <c r="BD94" s="3"/>
      <c r="BE94" s="3"/>
      <c r="BF94" s="3"/>
      <c r="BG94" s="3"/>
    </row>
    <row r="95" spans="1:59" ht="15">
      <c r="A95" s="66" t="s">
        <v>891</v>
      </c>
      <c r="B95" s="67" t="s">
        <v>4456</v>
      </c>
      <c r="C95" s="67" t="s">
        <v>56</v>
      </c>
      <c r="D95" s="68">
        <v>98</v>
      </c>
      <c r="E95" s="70"/>
      <c r="F95" s="97" t="str">
        <f>HYPERLINK("https://i.ytimg.com/vi/UrrWA_t1rjc/default.jpg")</f>
        <v>https://i.ytimg.com/vi/UrrWA_t1rjc/default.jpg</v>
      </c>
      <c r="G95" s="67"/>
      <c r="H95" s="71" t="s">
        <v>1629</v>
      </c>
      <c r="I95" s="72"/>
      <c r="J95" s="72" t="s">
        <v>159</v>
      </c>
      <c r="K95" s="71" t="s">
        <v>1629</v>
      </c>
      <c r="L95" s="75">
        <v>889.7111111111111</v>
      </c>
      <c r="M95" s="76">
        <v>2932.34423828125</v>
      </c>
      <c r="N95" s="76">
        <v>8656.615234375</v>
      </c>
      <c r="O95" s="77"/>
      <c r="P95" s="78"/>
      <c r="Q95" s="78"/>
      <c r="R95" s="82"/>
      <c r="S95" s="48">
        <v>4</v>
      </c>
      <c r="T95" s="48">
        <v>0</v>
      </c>
      <c r="U95" s="49">
        <v>2.582775</v>
      </c>
      <c r="V95" s="49">
        <v>0.001517</v>
      </c>
      <c r="W95" s="49">
        <v>0.00147</v>
      </c>
      <c r="X95" s="49">
        <v>0.409962</v>
      </c>
      <c r="Y95" s="49">
        <v>0.3333333333333333</v>
      </c>
      <c r="Z95" s="49">
        <v>0</v>
      </c>
      <c r="AA95" s="73">
        <v>95</v>
      </c>
      <c r="AB95" s="73"/>
      <c r="AC95" s="74"/>
      <c r="AD95" s="80" t="s">
        <v>1629</v>
      </c>
      <c r="AE95" s="80" t="s">
        <v>2267</v>
      </c>
      <c r="AF95" s="80" t="s">
        <v>2849</v>
      </c>
      <c r="AG95" s="80" t="s">
        <v>2912</v>
      </c>
      <c r="AH95" s="80" t="s">
        <v>4045</v>
      </c>
      <c r="AI95" s="80">
        <v>34869</v>
      </c>
      <c r="AJ95" s="80">
        <v>10</v>
      </c>
      <c r="AK95" s="80">
        <v>179</v>
      </c>
      <c r="AL95" s="80">
        <v>3</v>
      </c>
      <c r="AM95" s="80" t="s">
        <v>4098</v>
      </c>
      <c r="AN95" s="96" t="str">
        <f>HYPERLINK("https://www.youtube.com/watch?v=UrrWA_t1rjc")</f>
        <v>https://www.youtube.com/watch?v=UrrWA_t1rjc</v>
      </c>
      <c r="AO95" s="80" t="str">
        <f>REPLACE(INDEX(GroupVertices[Group],MATCH(Vertices[[#This Row],[Vertex]],GroupVertices[Vertex],0)),1,1,"")</f>
        <v>1</v>
      </c>
      <c r="AP95" s="48">
        <v>0</v>
      </c>
      <c r="AQ95" s="49">
        <v>0</v>
      </c>
      <c r="AR95" s="48">
        <v>0</v>
      </c>
      <c r="AS95" s="49">
        <v>0</v>
      </c>
      <c r="AT95" s="48">
        <v>0</v>
      </c>
      <c r="AU95" s="49">
        <v>0</v>
      </c>
      <c r="AV95" s="48">
        <v>4</v>
      </c>
      <c r="AW95" s="49">
        <v>100</v>
      </c>
      <c r="AX95" s="48">
        <v>4</v>
      </c>
      <c r="AY95" s="48"/>
      <c r="AZ95" s="48"/>
      <c r="BA95" s="48"/>
      <c r="BB95" s="48"/>
      <c r="BC95" s="2"/>
      <c r="BD95" s="3"/>
      <c r="BE95" s="3"/>
      <c r="BF95" s="3"/>
      <c r="BG95" s="3"/>
    </row>
    <row r="96" spans="1:59" ht="15">
      <c r="A96" s="66" t="s">
        <v>618</v>
      </c>
      <c r="B96" s="67" t="s">
        <v>4456</v>
      </c>
      <c r="C96" s="67" t="s">
        <v>56</v>
      </c>
      <c r="D96" s="68">
        <v>98</v>
      </c>
      <c r="E96" s="70"/>
      <c r="F96" s="97" t="str">
        <f>HYPERLINK("https://i.ytimg.com/vi/haIeimk3nZs/default.jpg")</f>
        <v>https://i.ytimg.com/vi/haIeimk3nZs/default.jpg</v>
      </c>
      <c r="G96" s="67"/>
      <c r="H96" s="71" t="s">
        <v>1358</v>
      </c>
      <c r="I96" s="72"/>
      <c r="J96" s="72" t="s">
        <v>159</v>
      </c>
      <c r="K96" s="71" t="s">
        <v>1358</v>
      </c>
      <c r="L96" s="75">
        <v>889.7111111111111</v>
      </c>
      <c r="M96" s="76">
        <v>3886.59326171875</v>
      </c>
      <c r="N96" s="76">
        <v>6340.80615234375</v>
      </c>
      <c r="O96" s="77"/>
      <c r="P96" s="78"/>
      <c r="Q96" s="78"/>
      <c r="R96" s="82"/>
      <c r="S96" s="48">
        <v>4</v>
      </c>
      <c r="T96" s="48">
        <v>0</v>
      </c>
      <c r="U96" s="49">
        <v>2.524534</v>
      </c>
      <c r="V96" s="49">
        <v>0.001541</v>
      </c>
      <c r="W96" s="49">
        <v>0.001489</v>
      </c>
      <c r="X96" s="49">
        <v>0.413512</v>
      </c>
      <c r="Y96" s="49">
        <v>0.5</v>
      </c>
      <c r="Z96" s="49">
        <v>0</v>
      </c>
      <c r="AA96" s="73">
        <v>96</v>
      </c>
      <c r="AB96" s="73"/>
      <c r="AC96" s="74"/>
      <c r="AD96" s="80" t="s">
        <v>1358</v>
      </c>
      <c r="AE96" s="80" t="s">
        <v>2024</v>
      </c>
      <c r="AF96" s="80" t="s">
        <v>2622</v>
      </c>
      <c r="AG96" s="80" t="s">
        <v>3164</v>
      </c>
      <c r="AH96" s="80" t="s">
        <v>3770</v>
      </c>
      <c r="AI96" s="80">
        <v>21438</v>
      </c>
      <c r="AJ96" s="80">
        <v>4</v>
      </c>
      <c r="AK96" s="80">
        <v>29</v>
      </c>
      <c r="AL96" s="80">
        <v>2</v>
      </c>
      <c r="AM96" s="80" t="s">
        <v>4098</v>
      </c>
      <c r="AN96" s="96" t="str">
        <f>HYPERLINK("https://www.youtube.com/watch?v=haIeimk3nZs")</f>
        <v>https://www.youtube.com/watch?v=haIeimk3nZs</v>
      </c>
      <c r="AO96" s="80" t="str">
        <f>REPLACE(INDEX(GroupVertices[Group],MATCH(Vertices[[#This Row],[Vertex]],GroupVertices[Vertex],0)),1,1,"")</f>
        <v>1</v>
      </c>
      <c r="AP96" s="48">
        <v>0</v>
      </c>
      <c r="AQ96" s="49">
        <v>0</v>
      </c>
      <c r="AR96" s="48">
        <v>0</v>
      </c>
      <c r="AS96" s="49">
        <v>0</v>
      </c>
      <c r="AT96" s="48">
        <v>0</v>
      </c>
      <c r="AU96" s="49">
        <v>0</v>
      </c>
      <c r="AV96" s="48">
        <v>1</v>
      </c>
      <c r="AW96" s="49">
        <v>100</v>
      </c>
      <c r="AX96" s="48">
        <v>1</v>
      </c>
      <c r="AY96" s="48"/>
      <c r="AZ96" s="48"/>
      <c r="BA96" s="48"/>
      <c r="BB96" s="48"/>
      <c r="BC96" s="2"/>
      <c r="BD96" s="3"/>
      <c r="BE96" s="3"/>
      <c r="BF96" s="3"/>
      <c r="BG96" s="3"/>
    </row>
    <row r="97" spans="1:59" ht="15">
      <c r="A97" s="66" t="s">
        <v>620</v>
      </c>
      <c r="B97" s="67" t="s">
        <v>4456</v>
      </c>
      <c r="C97" s="67" t="s">
        <v>56</v>
      </c>
      <c r="D97" s="68">
        <v>98</v>
      </c>
      <c r="E97" s="70"/>
      <c r="F97" s="97" t="str">
        <f>HYPERLINK("https://i.ytimg.com/vi/4tAOA7Skqtw/default.jpg")</f>
        <v>https://i.ytimg.com/vi/4tAOA7Skqtw/default.jpg</v>
      </c>
      <c r="G97" s="67"/>
      <c r="H97" s="71" t="s">
        <v>1360</v>
      </c>
      <c r="I97" s="72"/>
      <c r="J97" s="72" t="s">
        <v>159</v>
      </c>
      <c r="K97" s="71" t="s">
        <v>1360</v>
      </c>
      <c r="L97" s="75">
        <v>889.7111111111111</v>
      </c>
      <c r="M97" s="76">
        <v>1420.6492919921875</v>
      </c>
      <c r="N97" s="76">
        <v>8695.279296875</v>
      </c>
      <c r="O97" s="77"/>
      <c r="P97" s="78"/>
      <c r="Q97" s="78"/>
      <c r="R97" s="82"/>
      <c r="S97" s="48">
        <v>4</v>
      </c>
      <c r="T97" s="48">
        <v>0</v>
      </c>
      <c r="U97" s="49">
        <v>2.216971</v>
      </c>
      <c r="V97" s="49">
        <v>0.001506</v>
      </c>
      <c r="W97" s="49">
        <v>0.001328</v>
      </c>
      <c r="X97" s="49">
        <v>0.416018</v>
      </c>
      <c r="Y97" s="49">
        <v>0.4166666666666667</v>
      </c>
      <c r="Z97" s="49">
        <v>0</v>
      </c>
      <c r="AA97" s="73">
        <v>97</v>
      </c>
      <c r="AB97" s="73"/>
      <c r="AC97" s="74"/>
      <c r="AD97" s="80" t="s">
        <v>1360</v>
      </c>
      <c r="AE97" s="80" t="s">
        <v>2026</v>
      </c>
      <c r="AF97" s="80" t="s">
        <v>2624</v>
      </c>
      <c r="AG97" s="80" t="s">
        <v>3166</v>
      </c>
      <c r="AH97" s="80" t="s">
        <v>3772</v>
      </c>
      <c r="AI97" s="80">
        <v>13168</v>
      </c>
      <c r="AJ97" s="80">
        <v>8</v>
      </c>
      <c r="AK97" s="80">
        <v>130</v>
      </c>
      <c r="AL97" s="80">
        <v>3</v>
      </c>
      <c r="AM97" s="80" t="s">
        <v>4098</v>
      </c>
      <c r="AN97" s="96" t="str">
        <f>HYPERLINK("https://www.youtube.com/watch?v=4tAOA7Skqtw")</f>
        <v>https://www.youtube.com/watch?v=4tAOA7Skqtw</v>
      </c>
      <c r="AO97" s="80" t="str">
        <f>REPLACE(INDEX(GroupVertices[Group],MATCH(Vertices[[#This Row],[Vertex]],GroupVertices[Vertex],0)),1,1,"")</f>
        <v>1</v>
      </c>
      <c r="AP97" s="48">
        <v>0</v>
      </c>
      <c r="AQ97" s="49">
        <v>0</v>
      </c>
      <c r="AR97" s="48">
        <v>0</v>
      </c>
      <c r="AS97" s="49">
        <v>0</v>
      </c>
      <c r="AT97" s="48">
        <v>0</v>
      </c>
      <c r="AU97" s="49">
        <v>0</v>
      </c>
      <c r="AV97" s="48">
        <v>26</v>
      </c>
      <c r="AW97" s="49">
        <v>100</v>
      </c>
      <c r="AX97" s="48">
        <v>26</v>
      </c>
      <c r="AY97" s="48"/>
      <c r="AZ97" s="48"/>
      <c r="BA97" s="48"/>
      <c r="BB97" s="48"/>
      <c r="BC97" s="2"/>
      <c r="BD97" s="3"/>
      <c r="BE97" s="3"/>
      <c r="BF97" s="3"/>
      <c r="BG97" s="3"/>
    </row>
    <row r="98" spans="1:59" ht="15">
      <c r="A98" s="66" t="s">
        <v>831</v>
      </c>
      <c r="B98" s="67" t="s">
        <v>4456</v>
      </c>
      <c r="C98" s="67" t="s">
        <v>56</v>
      </c>
      <c r="D98" s="68">
        <v>76</v>
      </c>
      <c r="E98" s="70"/>
      <c r="F98" s="97" t="str">
        <f>HYPERLINK("https://i.ytimg.com/vi/qgKXQnMBhqI/default.jpg")</f>
        <v>https://i.ytimg.com/vi/qgKXQnMBhqI/default.jpg</v>
      </c>
      <c r="G98" s="67"/>
      <c r="H98" s="71" t="s">
        <v>1570</v>
      </c>
      <c r="I98" s="72"/>
      <c r="J98" s="72" t="s">
        <v>159</v>
      </c>
      <c r="K98" s="71" t="s">
        <v>1570</v>
      </c>
      <c r="L98" s="75">
        <v>667.5333333333333</v>
      </c>
      <c r="M98" s="76">
        <v>9456.8046875</v>
      </c>
      <c r="N98" s="76">
        <v>7153.30859375</v>
      </c>
      <c r="O98" s="77"/>
      <c r="P98" s="78"/>
      <c r="Q98" s="78"/>
      <c r="R98" s="82"/>
      <c r="S98" s="48">
        <v>3</v>
      </c>
      <c r="T98" s="48">
        <v>0</v>
      </c>
      <c r="U98" s="49">
        <v>2.215777</v>
      </c>
      <c r="V98" s="49">
        <v>0.001513</v>
      </c>
      <c r="W98" s="49">
        <v>0.000949</v>
      </c>
      <c r="X98" s="49">
        <v>0.349118</v>
      </c>
      <c r="Y98" s="49">
        <v>0.5</v>
      </c>
      <c r="Z98" s="49">
        <v>0</v>
      </c>
      <c r="AA98" s="73">
        <v>98</v>
      </c>
      <c r="AB98" s="73"/>
      <c r="AC98" s="74"/>
      <c r="AD98" s="80" t="s">
        <v>1570</v>
      </c>
      <c r="AE98" s="80" t="s">
        <v>2217</v>
      </c>
      <c r="AF98" s="80" t="s">
        <v>2800</v>
      </c>
      <c r="AG98" s="80" t="s">
        <v>2907</v>
      </c>
      <c r="AH98" s="80" t="s">
        <v>3985</v>
      </c>
      <c r="AI98" s="80">
        <v>2349</v>
      </c>
      <c r="AJ98" s="80">
        <v>1</v>
      </c>
      <c r="AK98" s="80">
        <v>9</v>
      </c>
      <c r="AL98" s="80">
        <v>0</v>
      </c>
      <c r="AM98" s="80" t="s">
        <v>4098</v>
      </c>
      <c r="AN98" s="96" t="str">
        <f>HYPERLINK("https://www.youtube.com/watch?v=qgKXQnMBhqI")</f>
        <v>https://www.youtube.com/watch?v=qgKXQnMBhqI</v>
      </c>
      <c r="AO98" s="80" t="str">
        <f>REPLACE(INDEX(GroupVertices[Group],MATCH(Vertices[[#This Row],[Vertex]],GroupVertices[Vertex],0)),1,1,"")</f>
        <v>3</v>
      </c>
      <c r="AP98" s="48">
        <v>0</v>
      </c>
      <c r="AQ98" s="49">
        <v>0</v>
      </c>
      <c r="AR98" s="48">
        <v>4</v>
      </c>
      <c r="AS98" s="49">
        <v>26.666666666666668</v>
      </c>
      <c r="AT98" s="48">
        <v>0</v>
      </c>
      <c r="AU98" s="49">
        <v>0</v>
      </c>
      <c r="AV98" s="48">
        <v>11</v>
      </c>
      <c r="AW98" s="49">
        <v>73.33333333333333</v>
      </c>
      <c r="AX98" s="48">
        <v>15</v>
      </c>
      <c r="AY98" s="48"/>
      <c r="AZ98" s="48"/>
      <c r="BA98" s="48"/>
      <c r="BB98" s="48"/>
      <c r="BC98" s="2"/>
      <c r="BD98" s="3"/>
      <c r="BE98" s="3"/>
      <c r="BF98" s="3"/>
      <c r="BG98" s="3"/>
    </row>
    <row r="99" spans="1:59" ht="15">
      <c r="A99" s="66" t="s">
        <v>665</v>
      </c>
      <c r="B99" s="67" t="s">
        <v>4456</v>
      </c>
      <c r="C99" s="67" t="s">
        <v>56</v>
      </c>
      <c r="D99" s="68">
        <v>120</v>
      </c>
      <c r="E99" s="70"/>
      <c r="F99" s="97" t="str">
        <f>HYPERLINK("https://i.ytimg.com/vi/VwVvQhhLUqc/default.jpg")</f>
        <v>https://i.ytimg.com/vi/VwVvQhhLUqc/default.jpg</v>
      </c>
      <c r="G99" s="67"/>
      <c r="H99" s="71" t="s">
        <v>1405</v>
      </c>
      <c r="I99" s="72"/>
      <c r="J99" s="72" t="s">
        <v>159</v>
      </c>
      <c r="K99" s="71" t="s">
        <v>1405</v>
      </c>
      <c r="L99" s="75">
        <v>1111.888888888889</v>
      </c>
      <c r="M99" s="76">
        <v>6702.81005859375</v>
      </c>
      <c r="N99" s="76">
        <v>7811.9306640625</v>
      </c>
      <c r="O99" s="77"/>
      <c r="P99" s="78"/>
      <c r="Q99" s="78"/>
      <c r="R99" s="82"/>
      <c r="S99" s="48">
        <v>5</v>
      </c>
      <c r="T99" s="48">
        <v>0</v>
      </c>
      <c r="U99" s="49">
        <v>2.001644</v>
      </c>
      <c r="V99" s="49">
        <v>0.001481</v>
      </c>
      <c r="W99" s="49">
        <v>0.001883</v>
      </c>
      <c r="X99" s="49">
        <v>0.453686</v>
      </c>
      <c r="Y99" s="49">
        <v>0.45</v>
      </c>
      <c r="Z99" s="49">
        <v>0</v>
      </c>
      <c r="AA99" s="73">
        <v>99</v>
      </c>
      <c r="AB99" s="73"/>
      <c r="AC99" s="74"/>
      <c r="AD99" s="80" t="s">
        <v>1405</v>
      </c>
      <c r="AE99" s="80" t="s">
        <v>2065</v>
      </c>
      <c r="AF99" s="80" t="s">
        <v>2657</v>
      </c>
      <c r="AG99" s="80" t="s">
        <v>3197</v>
      </c>
      <c r="AH99" s="80" t="s">
        <v>3817</v>
      </c>
      <c r="AI99" s="80">
        <v>3983</v>
      </c>
      <c r="AJ99" s="80">
        <v>1</v>
      </c>
      <c r="AK99" s="80">
        <v>21</v>
      </c>
      <c r="AL99" s="80">
        <v>0</v>
      </c>
      <c r="AM99" s="80" t="s">
        <v>4098</v>
      </c>
      <c r="AN99" s="96" t="str">
        <f>HYPERLINK("https://www.youtube.com/watch?v=VwVvQhhLUqc")</f>
        <v>https://www.youtube.com/watch?v=VwVvQhhLUqc</v>
      </c>
      <c r="AO99" s="80" t="str">
        <f>REPLACE(INDEX(GroupVertices[Group],MATCH(Vertices[[#This Row],[Vertex]],GroupVertices[Vertex],0)),1,1,"")</f>
        <v>3</v>
      </c>
      <c r="AP99" s="48">
        <v>1</v>
      </c>
      <c r="AQ99" s="49">
        <v>2.272727272727273</v>
      </c>
      <c r="AR99" s="48">
        <v>1</v>
      </c>
      <c r="AS99" s="49">
        <v>2.272727272727273</v>
      </c>
      <c r="AT99" s="48">
        <v>0</v>
      </c>
      <c r="AU99" s="49">
        <v>0</v>
      </c>
      <c r="AV99" s="48">
        <v>42</v>
      </c>
      <c r="AW99" s="49">
        <v>95.45454545454545</v>
      </c>
      <c r="AX99" s="48">
        <v>44</v>
      </c>
      <c r="AY99" s="48"/>
      <c r="AZ99" s="48"/>
      <c r="BA99" s="48"/>
      <c r="BB99" s="48"/>
      <c r="BC99" s="2"/>
      <c r="BD99" s="3"/>
      <c r="BE99" s="3"/>
      <c r="BF99" s="3"/>
      <c r="BG99" s="3"/>
    </row>
    <row r="100" spans="1:59" ht="15">
      <c r="A100" s="66" t="s">
        <v>438</v>
      </c>
      <c r="B100" s="67" t="s">
        <v>4456</v>
      </c>
      <c r="C100" s="67" t="s">
        <v>56</v>
      </c>
      <c r="D100" s="68">
        <v>76</v>
      </c>
      <c r="E100" s="70"/>
      <c r="F100" s="97" t="str">
        <f>HYPERLINK("https://i.ytimg.com/vi/WoFbiZxNGt4/default.jpg")</f>
        <v>https://i.ytimg.com/vi/WoFbiZxNGt4/default.jpg</v>
      </c>
      <c r="G100" s="67"/>
      <c r="H100" s="71" t="s">
        <v>1146</v>
      </c>
      <c r="I100" s="72"/>
      <c r="J100" s="72" t="s">
        <v>159</v>
      </c>
      <c r="K100" s="71" t="s">
        <v>1146</v>
      </c>
      <c r="L100" s="75">
        <v>667.5333333333333</v>
      </c>
      <c r="M100" s="76">
        <v>9892.853515625</v>
      </c>
      <c r="N100" s="76">
        <v>1397.0194091796875</v>
      </c>
      <c r="O100" s="77"/>
      <c r="P100" s="78"/>
      <c r="Q100" s="78"/>
      <c r="R100" s="82"/>
      <c r="S100" s="48">
        <v>3</v>
      </c>
      <c r="T100" s="48">
        <v>0</v>
      </c>
      <c r="U100" s="49">
        <v>1.475031</v>
      </c>
      <c r="V100" s="49">
        <v>0.001425</v>
      </c>
      <c r="W100" s="49">
        <v>0.000805</v>
      </c>
      <c r="X100" s="49">
        <v>0.341811</v>
      </c>
      <c r="Y100" s="49">
        <v>0.16666666666666666</v>
      </c>
      <c r="Z100" s="49">
        <v>0</v>
      </c>
      <c r="AA100" s="73">
        <v>100</v>
      </c>
      <c r="AB100" s="73"/>
      <c r="AC100" s="74"/>
      <c r="AD100" s="80" t="s">
        <v>1146</v>
      </c>
      <c r="AE100" s="80" t="s">
        <v>1838</v>
      </c>
      <c r="AF100" s="80" t="s">
        <v>2460</v>
      </c>
      <c r="AG100" s="80" t="s">
        <v>3025</v>
      </c>
      <c r="AH100" s="80" t="s">
        <v>3559</v>
      </c>
      <c r="AI100" s="80">
        <v>108</v>
      </c>
      <c r="AJ100" s="80">
        <v>0</v>
      </c>
      <c r="AK100" s="80">
        <v>1</v>
      </c>
      <c r="AL100" s="80">
        <v>0</v>
      </c>
      <c r="AM100" s="80" t="s">
        <v>4098</v>
      </c>
      <c r="AN100" s="96" t="str">
        <f>HYPERLINK("https://www.youtube.com/watch?v=WoFbiZxNGt4")</f>
        <v>https://www.youtube.com/watch?v=WoFbiZxNGt4</v>
      </c>
      <c r="AO100" s="80" t="str">
        <f>REPLACE(INDEX(GroupVertices[Group],MATCH(Vertices[[#This Row],[Vertex]],GroupVertices[Vertex],0)),1,1,"")</f>
        <v>4</v>
      </c>
      <c r="AP100" s="48">
        <v>0</v>
      </c>
      <c r="AQ100" s="49">
        <v>0</v>
      </c>
      <c r="AR100" s="48">
        <v>0</v>
      </c>
      <c r="AS100" s="49">
        <v>0</v>
      </c>
      <c r="AT100" s="48">
        <v>0</v>
      </c>
      <c r="AU100" s="49">
        <v>0</v>
      </c>
      <c r="AV100" s="48">
        <v>3</v>
      </c>
      <c r="AW100" s="49">
        <v>100</v>
      </c>
      <c r="AX100" s="48">
        <v>3</v>
      </c>
      <c r="AY100" s="48"/>
      <c r="AZ100" s="48"/>
      <c r="BA100" s="48"/>
      <c r="BB100" s="48"/>
      <c r="BC100" s="2"/>
      <c r="BD100" s="3"/>
      <c r="BE100" s="3"/>
      <c r="BF100" s="3"/>
      <c r="BG100" s="3"/>
    </row>
    <row r="101" spans="1:59" ht="15">
      <c r="A101" s="66" t="s">
        <v>792</v>
      </c>
      <c r="B101" s="67" t="s">
        <v>4456</v>
      </c>
      <c r="C101" s="67" t="s">
        <v>56</v>
      </c>
      <c r="D101" s="68">
        <v>98</v>
      </c>
      <c r="E101" s="70"/>
      <c r="F101" s="97" t="str">
        <f>HYPERLINK("https://i.ytimg.com/vi/EaXGdzXL0VI/default.jpg")</f>
        <v>https://i.ytimg.com/vi/EaXGdzXL0VI/default.jpg</v>
      </c>
      <c r="G101" s="67"/>
      <c r="H101" s="71" t="s">
        <v>1532</v>
      </c>
      <c r="I101" s="72"/>
      <c r="J101" s="72" t="s">
        <v>159</v>
      </c>
      <c r="K101" s="71" t="s">
        <v>1532</v>
      </c>
      <c r="L101" s="75">
        <v>889.7111111111111</v>
      </c>
      <c r="M101" s="76">
        <v>1109.034912109375</v>
      </c>
      <c r="N101" s="76">
        <v>7049.29345703125</v>
      </c>
      <c r="O101" s="77"/>
      <c r="P101" s="78"/>
      <c r="Q101" s="78"/>
      <c r="R101" s="82"/>
      <c r="S101" s="48">
        <v>4</v>
      </c>
      <c r="T101" s="48">
        <v>0</v>
      </c>
      <c r="U101" s="49">
        <v>1.375804</v>
      </c>
      <c r="V101" s="49">
        <v>0.001451</v>
      </c>
      <c r="W101" s="49">
        <v>0.000893</v>
      </c>
      <c r="X101" s="49">
        <v>0.432302</v>
      </c>
      <c r="Y101" s="49">
        <v>0.8333333333333334</v>
      </c>
      <c r="Z101" s="49">
        <v>0</v>
      </c>
      <c r="AA101" s="73">
        <v>101</v>
      </c>
      <c r="AB101" s="73"/>
      <c r="AC101" s="74"/>
      <c r="AD101" s="80" t="s">
        <v>1532</v>
      </c>
      <c r="AE101" s="80" t="s">
        <v>2181</v>
      </c>
      <c r="AF101" s="80" t="s">
        <v>2767</v>
      </c>
      <c r="AG101" s="80" t="s">
        <v>2913</v>
      </c>
      <c r="AH101" s="80" t="s">
        <v>3946</v>
      </c>
      <c r="AI101" s="80">
        <v>3215</v>
      </c>
      <c r="AJ101" s="80">
        <v>4</v>
      </c>
      <c r="AK101" s="80">
        <v>21</v>
      </c>
      <c r="AL101" s="80">
        <v>2</v>
      </c>
      <c r="AM101" s="80" t="s">
        <v>4098</v>
      </c>
      <c r="AN101" s="96" t="str">
        <f>HYPERLINK("https://www.youtube.com/watch?v=EaXGdzXL0VI")</f>
        <v>https://www.youtube.com/watch?v=EaXGdzXL0VI</v>
      </c>
      <c r="AO101" s="80" t="str">
        <f>REPLACE(INDEX(GroupVertices[Group],MATCH(Vertices[[#This Row],[Vertex]],GroupVertices[Vertex],0)),1,1,"")</f>
        <v>1</v>
      </c>
      <c r="AP101" s="48">
        <v>0</v>
      </c>
      <c r="AQ101" s="49">
        <v>0</v>
      </c>
      <c r="AR101" s="48">
        <v>0</v>
      </c>
      <c r="AS101" s="49">
        <v>0</v>
      </c>
      <c r="AT101" s="48">
        <v>0</v>
      </c>
      <c r="AU101" s="49">
        <v>0</v>
      </c>
      <c r="AV101" s="48">
        <v>9</v>
      </c>
      <c r="AW101" s="49">
        <v>100</v>
      </c>
      <c r="AX101" s="48">
        <v>9</v>
      </c>
      <c r="AY101" s="48"/>
      <c r="AZ101" s="48"/>
      <c r="BA101" s="48"/>
      <c r="BB101" s="48"/>
      <c r="BC101" s="2"/>
      <c r="BD101" s="3"/>
      <c r="BE101" s="3"/>
      <c r="BF101" s="3"/>
      <c r="BG101" s="3"/>
    </row>
    <row r="102" spans="1:59" ht="15">
      <c r="A102" s="66" t="s">
        <v>791</v>
      </c>
      <c r="B102" s="67" t="s">
        <v>4456</v>
      </c>
      <c r="C102" s="67" t="s">
        <v>56</v>
      </c>
      <c r="D102" s="68">
        <v>98</v>
      </c>
      <c r="E102" s="70"/>
      <c r="F102" s="97" t="str">
        <f>HYPERLINK("https://i.ytimg.com/vi/9yYPInY7Ctw/default.jpg")</f>
        <v>https://i.ytimg.com/vi/9yYPInY7Ctw/default.jpg</v>
      </c>
      <c r="G102" s="67"/>
      <c r="H102" s="71" t="s">
        <v>1531</v>
      </c>
      <c r="I102" s="72"/>
      <c r="J102" s="72" t="s">
        <v>159</v>
      </c>
      <c r="K102" s="71" t="s">
        <v>1531</v>
      </c>
      <c r="L102" s="75">
        <v>889.7111111111111</v>
      </c>
      <c r="M102" s="76">
        <v>987.2221069335938</v>
      </c>
      <c r="N102" s="76">
        <v>6828.91552734375</v>
      </c>
      <c r="O102" s="77"/>
      <c r="P102" s="78"/>
      <c r="Q102" s="78"/>
      <c r="R102" s="82"/>
      <c r="S102" s="48">
        <v>4</v>
      </c>
      <c r="T102" s="48">
        <v>0</v>
      </c>
      <c r="U102" s="49">
        <v>1.375804</v>
      </c>
      <c r="V102" s="49">
        <v>0.001451</v>
      </c>
      <c r="W102" s="49">
        <v>0.000893</v>
      </c>
      <c r="X102" s="49">
        <v>0.432302</v>
      </c>
      <c r="Y102" s="49">
        <v>0.8333333333333334</v>
      </c>
      <c r="Z102" s="49">
        <v>0</v>
      </c>
      <c r="AA102" s="73">
        <v>102</v>
      </c>
      <c r="AB102" s="73"/>
      <c r="AC102" s="74"/>
      <c r="AD102" s="80" t="s">
        <v>1531</v>
      </c>
      <c r="AE102" s="80" t="s">
        <v>2180</v>
      </c>
      <c r="AF102" s="80" t="s">
        <v>2766</v>
      </c>
      <c r="AG102" s="80" t="s">
        <v>3161</v>
      </c>
      <c r="AH102" s="80" t="s">
        <v>3945</v>
      </c>
      <c r="AI102" s="80">
        <v>3839</v>
      </c>
      <c r="AJ102" s="80">
        <v>2</v>
      </c>
      <c r="AK102" s="80">
        <v>9</v>
      </c>
      <c r="AL102" s="80">
        <v>1</v>
      </c>
      <c r="AM102" s="80" t="s">
        <v>4098</v>
      </c>
      <c r="AN102" s="96" t="str">
        <f>HYPERLINK("https://www.youtube.com/watch?v=9yYPInY7Ctw")</f>
        <v>https://www.youtube.com/watch?v=9yYPInY7Ctw</v>
      </c>
      <c r="AO102" s="80" t="str">
        <f>REPLACE(INDEX(GroupVertices[Group],MATCH(Vertices[[#This Row],[Vertex]],GroupVertices[Vertex],0)),1,1,"")</f>
        <v>1</v>
      </c>
      <c r="AP102" s="48">
        <v>0</v>
      </c>
      <c r="AQ102" s="49">
        <v>0</v>
      </c>
      <c r="AR102" s="48">
        <v>0</v>
      </c>
      <c r="AS102" s="49">
        <v>0</v>
      </c>
      <c r="AT102" s="48">
        <v>0</v>
      </c>
      <c r="AU102" s="49">
        <v>0</v>
      </c>
      <c r="AV102" s="48">
        <v>11</v>
      </c>
      <c r="AW102" s="49">
        <v>100</v>
      </c>
      <c r="AX102" s="48">
        <v>11</v>
      </c>
      <c r="AY102" s="48"/>
      <c r="AZ102" s="48"/>
      <c r="BA102" s="48"/>
      <c r="BB102" s="48"/>
      <c r="BC102" s="2"/>
      <c r="BD102" s="3"/>
      <c r="BE102" s="3"/>
      <c r="BF102" s="3"/>
      <c r="BG102" s="3"/>
    </row>
    <row r="103" spans="1:59" ht="15">
      <c r="A103" s="66" t="s">
        <v>674</v>
      </c>
      <c r="B103" s="67" t="s">
        <v>4456</v>
      </c>
      <c r="C103" s="67" t="s">
        <v>56</v>
      </c>
      <c r="D103" s="68">
        <v>98</v>
      </c>
      <c r="E103" s="70"/>
      <c r="F103" s="97" t="str">
        <f>HYPERLINK("https://i.ytimg.com/vi/T_1kI8erEEM/default.jpg")</f>
        <v>https://i.ytimg.com/vi/T_1kI8erEEM/default.jpg</v>
      </c>
      <c r="G103" s="67"/>
      <c r="H103" s="71" t="s">
        <v>1415</v>
      </c>
      <c r="I103" s="72"/>
      <c r="J103" s="72" t="s">
        <v>159</v>
      </c>
      <c r="K103" s="71" t="s">
        <v>1415</v>
      </c>
      <c r="L103" s="75">
        <v>889.7111111111111</v>
      </c>
      <c r="M103" s="76">
        <v>6737.212890625</v>
      </c>
      <c r="N103" s="76">
        <v>7367.63818359375</v>
      </c>
      <c r="O103" s="77"/>
      <c r="P103" s="78"/>
      <c r="Q103" s="78"/>
      <c r="R103" s="82"/>
      <c r="S103" s="48">
        <v>4</v>
      </c>
      <c r="T103" s="48">
        <v>0</v>
      </c>
      <c r="U103" s="49">
        <v>1.311319</v>
      </c>
      <c r="V103" s="49">
        <v>0.001449</v>
      </c>
      <c r="W103" s="49">
        <v>0.001312</v>
      </c>
      <c r="X103" s="49">
        <v>0.398072</v>
      </c>
      <c r="Y103" s="49">
        <v>0.4166666666666667</v>
      </c>
      <c r="Z103" s="49">
        <v>0</v>
      </c>
      <c r="AA103" s="73">
        <v>103</v>
      </c>
      <c r="AB103" s="73"/>
      <c r="AC103" s="74"/>
      <c r="AD103" s="80" t="s">
        <v>1415</v>
      </c>
      <c r="AE103" s="80" t="s">
        <v>2075</v>
      </c>
      <c r="AF103" s="80" t="s">
        <v>2665</v>
      </c>
      <c r="AG103" s="80" t="s">
        <v>3205</v>
      </c>
      <c r="AH103" s="80" t="s">
        <v>3827</v>
      </c>
      <c r="AI103" s="80">
        <v>316</v>
      </c>
      <c r="AJ103" s="80">
        <v>0</v>
      </c>
      <c r="AK103" s="80">
        <v>0</v>
      </c>
      <c r="AL103" s="80">
        <v>0</v>
      </c>
      <c r="AM103" s="80" t="s">
        <v>4098</v>
      </c>
      <c r="AN103" s="96" t="str">
        <f>HYPERLINK("https://www.youtube.com/watch?v=T_1kI8erEEM")</f>
        <v>https://www.youtube.com/watch?v=T_1kI8erEEM</v>
      </c>
      <c r="AO103" s="80" t="str">
        <f>REPLACE(INDEX(GroupVertices[Group],MATCH(Vertices[[#This Row],[Vertex]],GroupVertices[Vertex],0)),1,1,"")</f>
        <v>3</v>
      </c>
      <c r="AP103" s="48">
        <v>0</v>
      </c>
      <c r="AQ103" s="49">
        <v>0</v>
      </c>
      <c r="AR103" s="48">
        <v>0</v>
      </c>
      <c r="AS103" s="49">
        <v>0</v>
      </c>
      <c r="AT103" s="48">
        <v>0</v>
      </c>
      <c r="AU103" s="49">
        <v>0</v>
      </c>
      <c r="AV103" s="48">
        <v>9</v>
      </c>
      <c r="AW103" s="49">
        <v>100</v>
      </c>
      <c r="AX103" s="48">
        <v>9</v>
      </c>
      <c r="AY103" s="48"/>
      <c r="AZ103" s="48"/>
      <c r="BA103" s="48"/>
      <c r="BB103" s="48"/>
      <c r="BC103" s="2"/>
      <c r="BD103" s="3"/>
      <c r="BE103" s="3"/>
      <c r="BF103" s="3"/>
      <c r="BG103" s="3"/>
    </row>
    <row r="104" spans="1:59" ht="15">
      <c r="A104" s="66" t="s">
        <v>600</v>
      </c>
      <c r="B104" s="67" t="s">
        <v>4456</v>
      </c>
      <c r="C104" s="67" t="s">
        <v>56</v>
      </c>
      <c r="D104" s="68">
        <v>120</v>
      </c>
      <c r="E104" s="70"/>
      <c r="F104" s="97" t="str">
        <f>HYPERLINK("https://i.ytimg.com/vi/EP8ItlQ5LpI/default.jpg")</f>
        <v>https://i.ytimg.com/vi/EP8ItlQ5LpI/default.jpg</v>
      </c>
      <c r="G104" s="67"/>
      <c r="H104" s="71" t="s">
        <v>1339</v>
      </c>
      <c r="I104" s="72"/>
      <c r="J104" s="72" t="s">
        <v>159</v>
      </c>
      <c r="K104" s="71" t="s">
        <v>1339</v>
      </c>
      <c r="L104" s="75">
        <v>1111.888888888889</v>
      </c>
      <c r="M104" s="76">
        <v>2452.672119140625</v>
      </c>
      <c r="N104" s="76">
        <v>8410.3037109375</v>
      </c>
      <c r="O104" s="77"/>
      <c r="P104" s="78"/>
      <c r="Q104" s="78"/>
      <c r="R104" s="82"/>
      <c r="S104" s="48">
        <v>5</v>
      </c>
      <c r="T104" s="48">
        <v>0</v>
      </c>
      <c r="U104" s="49">
        <v>1.307305</v>
      </c>
      <c r="V104" s="49">
        <v>0.001497</v>
      </c>
      <c r="W104" s="49">
        <v>0.001278</v>
      </c>
      <c r="X104" s="49">
        <v>0.48801</v>
      </c>
      <c r="Y104" s="49">
        <v>0.65</v>
      </c>
      <c r="Z104" s="49">
        <v>0</v>
      </c>
      <c r="AA104" s="73">
        <v>104</v>
      </c>
      <c r="AB104" s="73"/>
      <c r="AC104" s="74"/>
      <c r="AD104" s="80" t="s">
        <v>1339</v>
      </c>
      <c r="AE104" s="80" t="s">
        <v>2004</v>
      </c>
      <c r="AF104" s="80" t="s">
        <v>2604</v>
      </c>
      <c r="AG104" s="80" t="s">
        <v>3149</v>
      </c>
      <c r="AH104" s="80" t="s">
        <v>3750</v>
      </c>
      <c r="AI104" s="80">
        <v>2849</v>
      </c>
      <c r="AJ104" s="80">
        <v>2</v>
      </c>
      <c r="AK104" s="80">
        <v>26</v>
      </c>
      <c r="AL104" s="80">
        <v>0</v>
      </c>
      <c r="AM104" s="80" t="s">
        <v>4098</v>
      </c>
      <c r="AN104" s="96" t="str">
        <f>HYPERLINK("https://www.youtube.com/watch?v=EP8ItlQ5LpI")</f>
        <v>https://www.youtube.com/watch?v=EP8ItlQ5LpI</v>
      </c>
      <c r="AO104" s="80" t="str">
        <f>REPLACE(INDEX(GroupVertices[Group],MATCH(Vertices[[#This Row],[Vertex]],GroupVertices[Vertex],0)),1,1,"")</f>
        <v>1</v>
      </c>
      <c r="AP104" s="48">
        <v>0</v>
      </c>
      <c r="AQ104" s="49">
        <v>0</v>
      </c>
      <c r="AR104" s="48">
        <v>0</v>
      </c>
      <c r="AS104" s="49">
        <v>0</v>
      </c>
      <c r="AT104" s="48">
        <v>0</v>
      </c>
      <c r="AU104" s="49">
        <v>0</v>
      </c>
      <c r="AV104" s="48">
        <v>2</v>
      </c>
      <c r="AW104" s="49">
        <v>100</v>
      </c>
      <c r="AX104" s="48">
        <v>2</v>
      </c>
      <c r="AY104" s="48"/>
      <c r="AZ104" s="48"/>
      <c r="BA104" s="48"/>
      <c r="BB104" s="48"/>
      <c r="BC104" s="2"/>
      <c r="BD104" s="3"/>
      <c r="BE104" s="3"/>
      <c r="BF104" s="3"/>
      <c r="BG104" s="3"/>
    </row>
    <row r="105" spans="1:59" ht="15">
      <c r="A105" s="66" t="s">
        <v>559</v>
      </c>
      <c r="B105" s="67" t="s">
        <v>4456</v>
      </c>
      <c r="C105" s="67" t="s">
        <v>56</v>
      </c>
      <c r="D105" s="68">
        <v>76</v>
      </c>
      <c r="E105" s="70"/>
      <c r="F105" s="97" t="str">
        <f>HYPERLINK("https://i.ytimg.com/vi/xT3EpF2EsbQ/default.jpg")</f>
        <v>https://i.ytimg.com/vi/xT3EpF2EsbQ/default.jpg</v>
      </c>
      <c r="G105" s="67"/>
      <c r="H105" s="71" t="s">
        <v>1293</v>
      </c>
      <c r="I105" s="72"/>
      <c r="J105" s="72" t="s">
        <v>159</v>
      </c>
      <c r="K105" s="71" t="s">
        <v>1293</v>
      </c>
      <c r="L105" s="75">
        <v>667.5333333333333</v>
      </c>
      <c r="M105" s="76">
        <v>7103.4443359375</v>
      </c>
      <c r="N105" s="76">
        <v>2261.46142578125</v>
      </c>
      <c r="O105" s="77"/>
      <c r="P105" s="78"/>
      <c r="Q105" s="78"/>
      <c r="R105" s="82"/>
      <c r="S105" s="48">
        <v>3</v>
      </c>
      <c r="T105" s="48">
        <v>0</v>
      </c>
      <c r="U105" s="49">
        <v>1.292793</v>
      </c>
      <c r="V105" s="49">
        <v>0.001475</v>
      </c>
      <c r="W105" s="49">
        <v>0.000969</v>
      </c>
      <c r="X105" s="49">
        <v>0.350558</v>
      </c>
      <c r="Y105" s="49">
        <v>0.5</v>
      </c>
      <c r="Z105" s="49">
        <v>0</v>
      </c>
      <c r="AA105" s="73">
        <v>105</v>
      </c>
      <c r="AB105" s="73"/>
      <c r="AC105" s="74"/>
      <c r="AD105" s="80" t="s">
        <v>1293</v>
      </c>
      <c r="AE105" s="80" t="s">
        <v>1881</v>
      </c>
      <c r="AF105" s="80" t="s">
        <v>2573</v>
      </c>
      <c r="AG105" s="80" t="s">
        <v>3055</v>
      </c>
      <c r="AH105" s="80" t="s">
        <v>3705</v>
      </c>
      <c r="AI105" s="80">
        <v>58977</v>
      </c>
      <c r="AJ105" s="80">
        <v>17</v>
      </c>
      <c r="AK105" s="80">
        <v>434</v>
      </c>
      <c r="AL105" s="80">
        <v>12</v>
      </c>
      <c r="AM105" s="80" t="s">
        <v>4098</v>
      </c>
      <c r="AN105" s="96" t="str">
        <f>HYPERLINK("https://www.youtube.com/watch?v=xT3EpF2EsbQ")</f>
        <v>https://www.youtube.com/watch?v=xT3EpF2EsbQ</v>
      </c>
      <c r="AO105" s="80" t="str">
        <f>REPLACE(INDEX(GroupVertices[Group],MATCH(Vertices[[#This Row],[Vertex]],GroupVertices[Vertex],0)),1,1,"")</f>
        <v>4</v>
      </c>
      <c r="AP105" s="48">
        <v>0</v>
      </c>
      <c r="AQ105" s="49">
        <v>0</v>
      </c>
      <c r="AR105" s="48">
        <v>0</v>
      </c>
      <c r="AS105" s="49">
        <v>0</v>
      </c>
      <c r="AT105" s="48">
        <v>0</v>
      </c>
      <c r="AU105" s="49">
        <v>0</v>
      </c>
      <c r="AV105" s="48">
        <v>25</v>
      </c>
      <c r="AW105" s="49">
        <v>100</v>
      </c>
      <c r="AX105" s="48">
        <v>25</v>
      </c>
      <c r="AY105" s="48"/>
      <c r="AZ105" s="48"/>
      <c r="BA105" s="48"/>
      <c r="BB105" s="48"/>
      <c r="BC105" s="2"/>
      <c r="BD105" s="3"/>
      <c r="BE105" s="3"/>
      <c r="BF105" s="3"/>
      <c r="BG105" s="3"/>
    </row>
    <row r="106" spans="1:59" ht="15">
      <c r="A106" s="66" t="s">
        <v>870</v>
      </c>
      <c r="B106" s="67" t="s">
        <v>4456</v>
      </c>
      <c r="C106" s="67" t="s">
        <v>56</v>
      </c>
      <c r="D106" s="68">
        <v>54</v>
      </c>
      <c r="E106" s="70"/>
      <c r="F106" s="97" t="str">
        <f>HYPERLINK("https://i.ytimg.com/vi/t0RcZWn085g/default.jpg")</f>
        <v>https://i.ytimg.com/vi/t0RcZWn085g/default.jpg</v>
      </c>
      <c r="G106" s="67"/>
      <c r="H106" s="71" t="s">
        <v>1609</v>
      </c>
      <c r="I106" s="72"/>
      <c r="J106" s="72" t="s">
        <v>159</v>
      </c>
      <c r="K106" s="71" t="s">
        <v>1609</v>
      </c>
      <c r="L106" s="75">
        <v>445.35555555555555</v>
      </c>
      <c r="M106" s="76">
        <v>3506.3447265625</v>
      </c>
      <c r="N106" s="76">
        <v>5430.705078125</v>
      </c>
      <c r="O106" s="77"/>
      <c r="P106" s="78"/>
      <c r="Q106" s="78"/>
      <c r="R106" s="82"/>
      <c r="S106" s="48">
        <v>2</v>
      </c>
      <c r="T106" s="48">
        <v>0</v>
      </c>
      <c r="U106" s="49">
        <v>1.22701</v>
      </c>
      <c r="V106" s="49">
        <v>0.001418</v>
      </c>
      <c r="W106" s="49">
        <v>0.00059</v>
      </c>
      <c r="X106" s="49">
        <v>0.283918</v>
      </c>
      <c r="Y106" s="49">
        <v>0</v>
      </c>
      <c r="Z106" s="49">
        <v>0</v>
      </c>
      <c r="AA106" s="73">
        <v>106</v>
      </c>
      <c r="AB106" s="73"/>
      <c r="AC106" s="74"/>
      <c r="AD106" s="80" t="s">
        <v>1609</v>
      </c>
      <c r="AE106" s="80" t="s">
        <v>2248</v>
      </c>
      <c r="AF106" s="80" t="s">
        <v>2830</v>
      </c>
      <c r="AG106" s="80" t="s">
        <v>3328</v>
      </c>
      <c r="AH106" s="80" t="s">
        <v>4024</v>
      </c>
      <c r="AI106" s="80">
        <v>7978797</v>
      </c>
      <c r="AJ106" s="80">
        <v>43707</v>
      </c>
      <c r="AK106" s="80">
        <v>1176199</v>
      </c>
      <c r="AL106" s="80">
        <v>16204</v>
      </c>
      <c r="AM106" s="80" t="s">
        <v>4098</v>
      </c>
      <c r="AN106" s="96" t="str">
        <f>HYPERLINK("https://www.youtube.com/watch?v=t0RcZWn085g")</f>
        <v>https://www.youtube.com/watch?v=t0RcZWn085g</v>
      </c>
      <c r="AO106" s="80" t="str">
        <f>REPLACE(INDEX(GroupVertices[Group],MATCH(Vertices[[#This Row],[Vertex]],GroupVertices[Vertex],0)),1,1,"")</f>
        <v>1</v>
      </c>
      <c r="AP106" s="48">
        <v>3</v>
      </c>
      <c r="AQ106" s="49">
        <v>6.521739130434782</v>
      </c>
      <c r="AR106" s="48">
        <v>0</v>
      </c>
      <c r="AS106" s="49">
        <v>0</v>
      </c>
      <c r="AT106" s="48">
        <v>0</v>
      </c>
      <c r="AU106" s="49">
        <v>0</v>
      </c>
      <c r="AV106" s="48">
        <v>43</v>
      </c>
      <c r="AW106" s="49">
        <v>93.47826086956522</v>
      </c>
      <c r="AX106" s="48">
        <v>46</v>
      </c>
      <c r="AY106" s="48"/>
      <c r="AZ106" s="48"/>
      <c r="BA106" s="48"/>
      <c r="BB106" s="48"/>
      <c r="BC106" s="2"/>
      <c r="BD106" s="3"/>
      <c r="BE106" s="3"/>
      <c r="BF106" s="3"/>
      <c r="BG106" s="3"/>
    </row>
    <row r="107" spans="1:59" ht="15">
      <c r="A107" s="66" t="s">
        <v>662</v>
      </c>
      <c r="B107" s="67" t="s">
        <v>4456</v>
      </c>
      <c r="C107" s="67" t="s">
        <v>64</v>
      </c>
      <c r="D107" s="68">
        <v>164</v>
      </c>
      <c r="E107" s="70"/>
      <c r="F107" s="97" t="str">
        <f>HYPERLINK("https://i.ytimg.com/vi/ebfoDT47WAo/default.jpg")</f>
        <v>https://i.ytimg.com/vi/ebfoDT47WAo/default.jpg</v>
      </c>
      <c r="G107" s="67"/>
      <c r="H107" s="71" t="s">
        <v>1402</v>
      </c>
      <c r="I107" s="72"/>
      <c r="J107" s="72" t="s">
        <v>75</v>
      </c>
      <c r="K107" s="71" t="s">
        <v>1402</v>
      </c>
      <c r="L107" s="75">
        <v>1556.2444444444445</v>
      </c>
      <c r="M107" s="76">
        <v>1211.75830078125</v>
      </c>
      <c r="N107" s="76">
        <v>880.468505859375</v>
      </c>
      <c r="O107" s="77"/>
      <c r="P107" s="78"/>
      <c r="Q107" s="78"/>
      <c r="R107" s="82"/>
      <c r="S107" s="48">
        <v>7</v>
      </c>
      <c r="T107" s="48">
        <v>0</v>
      </c>
      <c r="U107" s="49">
        <v>1.213924</v>
      </c>
      <c r="V107" s="49">
        <v>0.001522</v>
      </c>
      <c r="W107" s="49">
        <v>0.002845</v>
      </c>
      <c r="X107" s="49">
        <v>0.56737</v>
      </c>
      <c r="Y107" s="49">
        <v>0.6190476190476191</v>
      </c>
      <c r="Z107" s="49">
        <v>0</v>
      </c>
      <c r="AA107" s="73">
        <v>107</v>
      </c>
      <c r="AB107" s="73"/>
      <c r="AC107" s="74"/>
      <c r="AD107" s="80" t="s">
        <v>1402</v>
      </c>
      <c r="AE107" s="80"/>
      <c r="AF107" s="80" t="s">
        <v>1402</v>
      </c>
      <c r="AG107" s="80" t="s">
        <v>3194</v>
      </c>
      <c r="AH107" s="80" t="s">
        <v>3814</v>
      </c>
      <c r="AI107" s="80">
        <v>437</v>
      </c>
      <c r="AJ107" s="80">
        <v>0</v>
      </c>
      <c r="AK107" s="80">
        <v>0</v>
      </c>
      <c r="AL107" s="80">
        <v>0</v>
      </c>
      <c r="AM107" s="80" t="s">
        <v>4098</v>
      </c>
      <c r="AN107" s="96" t="str">
        <f>HYPERLINK("https://www.youtube.com/watch?v=ebfoDT47WAo")</f>
        <v>https://www.youtube.com/watch?v=ebfoDT47WAo</v>
      </c>
      <c r="AO107" s="80" t="str">
        <f>REPLACE(INDEX(GroupVertices[Group],MATCH(Vertices[[#This Row],[Vertex]],GroupVertices[Vertex],0)),1,1,"")</f>
        <v>2</v>
      </c>
      <c r="AP107" s="48">
        <v>0</v>
      </c>
      <c r="AQ107" s="49">
        <v>0</v>
      </c>
      <c r="AR107" s="48">
        <v>0</v>
      </c>
      <c r="AS107" s="49">
        <v>0</v>
      </c>
      <c r="AT107" s="48">
        <v>0</v>
      </c>
      <c r="AU107" s="49">
        <v>0</v>
      </c>
      <c r="AV107" s="48">
        <v>2</v>
      </c>
      <c r="AW107" s="49">
        <v>100</v>
      </c>
      <c r="AX107" s="48">
        <v>2</v>
      </c>
      <c r="AY107" s="48"/>
      <c r="AZ107" s="48"/>
      <c r="BA107" s="48"/>
      <c r="BB107" s="48"/>
      <c r="BC107" s="2"/>
      <c r="BD107" s="3"/>
      <c r="BE107" s="3"/>
      <c r="BF107" s="3"/>
      <c r="BG107" s="3"/>
    </row>
    <row r="108" spans="1:59" ht="15">
      <c r="A108" s="66" t="s">
        <v>445</v>
      </c>
      <c r="B108" s="67" t="s">
        <v>4456</v>
      </c>
      <c r="C108" s="67" t="s">
        <v>56</v>
      </c>
      <c r="D108" s="68">
        <v>54</v>
      </c>
      <c r="E108" s="70"/>
      <c r="F108" s="97" t="str">
        <f>HYPERLINK("https://i.ytimg.com/vi/OJor46HMUt4/default.jpg")</f>
        <v>https://i.ytimg.com/vi/OJor46HMUt4/default.jpg</v>
      </c>
      <c r="G108" s="67"/>
      <c r="H108" s="71" t="s">
        <v>1154</v>
      </c>
      <c r="I108" s="72"/>
      <c r="J108" s="72" t="s">
        <v>159</v>
      </c>
      <c r="K108" s="71" t="s">
        <v>1154</v>
      </c>
      <c r="L108" s="75">
        <v>445.35555555555555</v>
      </c>
      <c r="M108" s="76">
        <v>7631.296875</v>
      </c>
      <c r="N108" s="76">
        <v>563.8943481445312</v>
      </c>
      <c r="O108" s="77"/>
      <c r="P108" s="78"/>
      <c r="Q108" s="78"/>
      <c r="R108" s="82"/>
      <c r="S108" s="48">
        <v>2</v>
      </c>
      <c r="T108" s="48">
        <v>0</v>
      </c>
      <c r="U108" s="49">
        <v>1.063594</v>
      </c>
      <c r="V108" s="49">
        <v>0.001464</v>
      </c>
      <c r="W108" s="49">
        <v>0.0006490000000000001</v>
      </c>
      <c r="X108" s="49">
        <v>0.28281</v>
      </c>
      <c r="Y108" s="49">
        <v>0</v>
      </c>
      <c r="Z108" s="49">
        <v>0</v>
      </c>
      <c r="AA108" s="73">
        <v>108</v>
      </c>
      <c r="AB108" s="73"/>
      <c r="AC108" s="74"/>
      <c r="AD108" s="80" t="s">
        <v>1154</v>
      </c>
      <c r="AE108" s="80" t="s">
        <v>1845</v>
      </c>
      <c r="AF108" s="80" t="s">
        <v>2465</v>
      </c>
      <c r="AG108" s="80" t="s">
        <v>2907</v>
      </c>
      <c r="AH108" s="80" t="s">
        <v>3567</v>
      </c>
      <c r="AI108" s="80">
        <v>3141</v>
      </c>
      <c r="AJ108" s="80">
        <v>1</v>
      </c>
      <c r="AK108" s="80">
        <v>10</v>
      </c>
      <c r="AL108" s="80">
        <v>0</v>
      </c>
      <c r="AM108" s="80" t="s">
        <v>4098</v>
      </c>
      <c r="AN108" s="96" t="str">
        <f>HYPERLINK("https://www.youtube.com/watch?v=OJor46HMUt4")</f>
        <v>https://www.youtube.com/watch?v=OJor46HMUt4</v>
      </c>
      <c r="AO108" s="80" t="str">
        <f>REPLACE(INDEX(GroupVertices[Group],MATCH(Vertices[[#This Row],[Vertex]],GroupVertices[Vertex],0)),1,1,"")</f>
        <v>4</v>
      </c>
      <c r="AP108" s="48">
        <v>0</v>
      </c>
      <c r="AQ108" s="49">
        <v>0</v>
      </c>
      <c r="AR108" s="48">
        <v>0</v>
      </c>
      <c r="AS108" s="49">
        <v>0</v>
      </c>
      <c r="AT108" s="48">
        <v>0</v>
      </c>
      <c r="AU108" s="49">
        <v>0</v>
      </c>
      <c r="AV108" s="48">
        <v>11</v>
      </c>
      <c r="AW108" s="49">
        <v>100</v>
      </c>
      <c r="AX108" s="48">
        <v>11</v>
      </c>
      <c r="AY108" s="48"/>
      <c r="AZ108" s="48"/>
      <c r="BA108" s="48"/>
      <c r="BB108" s="48"/>
      <c r="BC108" s="2"/>
      <c r="BD108" s="3"/>
      <c r="BE108" s="3"/>
      <c r="BF108" s="3"/>
      <c r="BG108" s="3"/>
    </row>
    <row r="109" spans="1:59" ht="15">
      <c r="A109" s="66" t="s">
        <v>606</v>
      </c>
      <c r="B109" s="67" t="s">
        <v>4456</v>
      </c>
      <c r="C109" s="67" t="s">
        <v>56</v>
      </c>
      <c r="D109" s="68">
        <v>76</v>
      </c>
      <c r="E109" s="70"/>
      <c r="F109" s="97" t="str">
        <f>HYPERLINK("https://i.ytimg.com/vi/Vryp2yCgC4Y/default.jpg")</f>
        <v>https://i.ytimg.com/vi/Vryp2yCgC4Y/default.jpg</v>
      </c>
      <c r="G109" s="67"/>
      <c r="H109" s="71" t="s">
        <v>1346</v>
      </c>
      <c r="I109" s="72"/>
      <c r="J109" s="72" t="s">
        <v>159</v>
      </c>
      <c r="K109" s="71" t="s">
        <v>1346</v>
      </c>
      <c r="L109" s="75">
        <v>667.5333333333333</v>
      </c>
      <c r="M109" s="76">
        <v>5699.4873046875</v>
      </c>
      <c r="N109" s="76">
        <v>1402.5269775390625</v>
      </c>
      <c r="O109" s="77"/>
      <c r="P109" s="78"/>
      <c r="Q109" s="78"/>
      <c r="R109" s="82"/>
      <c r="S109" s="48">
        <v>3</v>
      </c>
      <c r="T109" s="48">
        <v>0</v>
      </c>
      <c r="U109" s="49">
        <v>1.061644</v>
      </c>
      <c r="V109" s="49">
        <v>0.001414</v>
      </c>
      <c r="W109" s="49">
        <v>0.000945</v>
      </c>
      <c r="X109" s="49">
        <v>0.344862</v>
      </c>
      <c r="Y109" s="49">
        <v>0.3333333333333333</v>
      </c>
      <c r="Z109" s="49">
        <v>0</v>
      </c>
      <c r="AA109" s="73">
        <v>109</v>
      </c>
      <c r="AB109" s="73"/>
      <c r="AC109" s="74"/>
      <c r="AD109" s="80" t="s">
        <v>1346</v>
      </c>
      <c r="AE109" s="80" t="s">
        <v>2012</v>
      </c>
      <c r="AF109" s="80" t="s">
        <v>2610</v>
      </c>
      <c r="AG109" s="80" t="s">
        <v>3153</v>
      </c>
      <c r="AH109" s="80" t="s">
        <v>3758</v>
      </c>
      <c r="AI109" s="80">
        <v>4943</v>
      </c>
      <c r="AJ109" s="80">
        <v>0</v>
      </c>
      <c r="AK109" s="80">
        <v>0</v>
      </c>
      <c r="AL109" s="80">
        <v>0</v>
      </c>
      <c r="AM109" s="80" t="s">
        <v>4098</v>
      </c>
      <c r="AN109" s="96" t="str">
        <f>HYPERLINK("https://www.youtube.com/watch?v=Vryp2yCgC4Y")</f>
        <v>https://www.youtube.com/watch?v=Vryp2yCgC4Y</v>
      </c>
      <c r="AO109" s="80" t="str">
        <f>REPLACE(INDEX(GroupVertices[Group],MATCH(Vertices[[#This Row],[Vertex]],GroupVertices[Vertex],0)),1,1,"")</f>
        <v>2</v>
      </c>
      <c r="AP109" s="48">
        <v>0</v>
      </c>
      <c r="AQ109" s="49">
        <v>0</v>
      </c>
      <c r="AR109" s="48">
        <v>0</v>
      </c>
      <c r="AS109" s="49">
        <v>0</v>
      </c>
      <c r="AT109" s="48">
        <v>0</v>
      </c>
      <c r="AU109" s="49">
        <v>0</v>
      </c>
      <c r="AV109" s="48">
        <v>3</v>
      </c>
      <c r="AW109" s="49">
        <v>100</v>
      </c>
      <c r="AX109" s="48">
        <v>3</v>
      </c>
      <c r="AY109" s="48"/>
      <c r="AZ109" s="48"/>
      <c r="BA109" s="48"/>
      <c r="BB109" s="48"/>
      <c r="BC109" s="2"/>
      <c r="BD109" s="3"/>
      <c r="BE109" s="3"/>
      <c r="BF109" s="3"/>
      <c r="BG109" s="3"/>
    </row>
    <row r="110" spans="1:59" ht="15">
      <c r="A110" s="66" t="s">
        <v>629</v>
      </c>
      <c r="B110" s="67" t="s">
        <v>4456</v>
      </c>
      <c r="C110" s="67" t="s">
        <v>64</v>
      </c>
      <c r="D110" s="68">
        <v>142</v>
      </c>
      <c r="E110" s="70"/>
      <c r="F110" s="97" t="str">
        <f>HYPERLINK("https://i.ytimg.com/vi/PFJassp1G8g/default.jpg")</f>
        <v>https://i.ytimg.com/vi/PFJassp1G8g/default.jpg</v>
      </c>
      <c r="G110" s="67"/>
      <c r="H110" s="71" t="s">
        <v>1369</v>
      </c>
      <c r="I110" s="72"/>
      <c r="J110" s="72" t="s">
        <v>75</v>
      </c>
      <c r="K110" s="71" t="s">
        <v>1369</v>
      </c>
      <c r="L110" s="75">
        <v>1334.0666666666666</v>
      </c>
      <c r="M110" s="76">
        <v>8331.1279296875</v>
      </c>
      <c r="N110" s="76">
        <v>7621.3505859375</v>
      </c>
      <c r="O110" s="77"/>
      <c r="P110" s="78"/>
      <c r="Q110" s="78"/>
      <c r="R110" s="82"/>
      <c r="S110" s="48">
        <v>6</v>
      </c>
      <c r="T110" s="48">
        <v>0</v>
      </c>
      <c r="U110" s="49">
        <v>0.954931</v>
      </c>
      <c r="V110" s="49">
        <v>0.001497</v>
      </c>
      <c r="W110" s="49">
        <v>0.002282</v>
      </c>
      <c r="X110" s="49">
        <v>0.517364</v>
      </c>
      <c r="Y110" s="49">
        <v>0.8</v>
      </c>
      <c r="Z110" s="49">
        <v>0</v>
      </c>
      <c r="AA110" s="73">
        <v>110</v>
      </c>
      <c r="AB110" s="73"/>
      <c r="AC110" s="74"/>
      <c r="AD110" s="80" t="s">
        <v>1369</v>
      </c>
      <c r="AE110" s="80" t="s">
        <v>2035</v>
      </c>
      <c r="AF110" s="80" t="s">
        <v>2631</v>
      </c>
      <c r="AG110" s="80" t="s">
        <v>2907</v>
      </c>
      <c r="AH110" s="80" t="s">
        <v>3781</v>
      </c>
      <c r="AI110" s="80">
        <v>73</v>
      </c>
      <c r="AJ110" s="80">
        <v>0</v>
      </c>
      <c r="AK110" s="80">
        <v>2</v>
      </c>
      <c r="AL110" s="80">
        <v>0</v>
      </c>
      <c r="AM110" s="80" t="s">
        <v>4098</v>
      </c>
      <c r="AN110" s="96" t="str">
        <f>HYPERLINK("https://www.youtube.com/watch?v=PFJassp1G8g")</f>
        <v>https://www.youtube.com/watch?v=PFJassp1G8g</v>
      </c>
      <c r="AO110" s="80" t="str">
        <f>REPLACE(INDEX(GroupVertices[Group],MATCH(Vertices[[#This Row],[Vertex]],GroupVertices[Vertex],0)),1,1,"")</f>
        <v>3</v>
      </c>
      <c r="AP110" s="48">
        <v>0</v>
      </c>
      <c r="AQ110" s="49">
        <v>0</v>
      </c>
      <c r="AR110" s="48">
        <v>2</v>
      </c>
      <c r="AS110" s="49">
        <v>11.764705882352942</v>
      </c>
      <c r="AT110" s="48">
        <v>0</v>
      </c>
      <c r="AU110" s="49">
        <v>0</v>
      </c>
      <c r="AV110" s="48">
        <v>15</v>
      </c>
      <c r="AW110" s="49">
        <v>88.23529411764706</v>
      </c>
      <c r="AX110" s="48">
        <v>17</v>
      </c>
      <c r="AY110" s="48"/>
      <c r="AZ110" s="48"/>
      <c r="BA110" s="48"/>
      <c r="BB110" s="48"/>
      <c r="BC110" s="2"/>
      <c r="BD110" s="3"/>
      <c r="BE110" s="3"/>
      <c r="BF110" s="3"/>
      <c r="BG110" s="3"/>
    </row>
    <row r="111" spans="1:59" ht="15">
      <c r="A111" s="66" t="s">
        <v>560</v>
      </c>
      <c r="B111" s="67" t="s">
        <v>4456</v>
      </c>
      <c r="C111" s="67" t="s">
        <v>56</v>
      </c>
      <c r="D111" s="68">
        <v>54</v>
      </c>
      <c r="E111" s="70"/>
      <c r="F111" s="97" t="str">
        <f>HYPERLINK("https://i.ytimg.com/vi/cjsxFr6RIG0/default.jpg")</f>
        <v>https://i.ytimg.com/vi/cjsxFr6RIG0/default.jpg</v>
      </c>
      <c r="G111" s="67"/>
      <c r="H111" s="71" t="s">
        <v>1294</v>
      </c>
      <c r="I111" s="72"/>
      <c r="J111" s="72" t="s">
        <v>159</v>
      </c>
      <c r="K111" s="71" t="s">
        <v>1294</v>
      </c>
      <c r="L111" s="75">
        <v>445.35555555555555</v>
      </c>
      <c r="M111" s="76">
        <v>7303.07568359375</v>
      </c>
      <c r="N111" s="76">
        <v>4120.095703125</v>
      </c>
      <c r="O111" s="77"/>
      <c r="P111" s="78"/>
      <c r="Q111" s="78"/>
      <c r="R111" s="82"/>
      <c r="S111" s="48">
        <v>2</v>
      </c>
      <c r="T111" s="48">
        <v>0</v>
      </c>
      <c r="U111" s="49">
        <v>0.93511</v>
      </c>
      <c r="V111" s="49">
        <v>0.001435</v>
      </c>
      <c r="W111" s="49">
        <v>0.000669</v>
      </c>
      <c r="X111" s="49">
        <v>0.281963</v>
      </c>
      <c r="Y111" s="49">
        <v>0</v>
      </c>
      <c r="Z111" s="49">
        <v>0</v>
      </c>
      <c r="AA111" s="73">
        <v>111</v>
      </c>
      <c r="AB111" s="73"/>
      <c r="AC111" s="74"/>
      <c r="AD111" s="80" t="s">
        <v>1294</v>
      </c>
      <c r="AE111" s="80" t="s">
        <v>1967</v>
      </c>
      <c r="AF111" s="80" t="s">
        <v>2574</v>
      </c>
      <c r="AG111" s="80" t="s">
        <v>2912</v>
      </c>
      <c r="AH111" s="80" t="s">
        <v>3706</v>
      </c>
      <c r="AI111" s="80">
        <v>8610</v>
      </c>
      <c r="AJ111" s="80">
        <v>14</v>
      </c>
      <c r="AK111" s="80">
        <v>69</v>
      </c>
      <c r="AL111" s="80">
        <v>0</v>
      </c>
      <c r="AM111" s="80" t="s">
        <v>4098</v>
      </c>
      <c r="AN111" s="96" t="str">
        <f>HYPERLINK("https://www.youtube.com/watch?v=cjsxFr6RIG0")</f>
        <v>https://www.youtube.com/watch?v=cjsxFr6RIG0</v>
      </c>
      <c r="AO111" s="80" t="str">
        <f>REPLACE(INDEX(GroupVertices[Group],MATCH(Vertices[[#This Row],[Vertex]],GroupVertices[Vertex],0)),1,1,"")</f>
        <v>4</v>
      </c>
      <c r="AP111" s="48">
        <v>0</v>
      </c>
      <c r="AQ111" s="49">
        <v>0</v>
      </c>
      <c r="AR111" s="48">
        <v>0</v>
      </c>
      <c r="AS111" s="49">
        <v>0</v>
      </c>
      <c r="AT111" s="48">
        <v>0</v>
      </c>
      <c r="AU111" s="49">
        <v>0</v>
      </c>
      <c r="AV111" s="48">
        <v>10</v>
      </c>
      <c r="AW111" s="49">
        <v>100</v>
      </c>
      <c r="AX111" s="48">
        <v>10</v>
      </c>
      <c r="AY111" s="48"/>
      <c r="AZ111" s="48"/>
      <c r="BA111" s="48"/>
      <c r="BB111" s="48"/>
      <c r="BC111" s="2"/>
      <c r="BD111" s="3"/>
      <c r="BE111" s="3"/>
      <c r="BF111" s="3"/>
      <c r="BG111" s="3"/>
    </row>
    <row r="112" spans="1:59" ht="15">
      <c r="A112" s="66" t="s">
        <v>556</v>
      </c>
      <c r="B112" s="67" t="s">
        <v>4456</v>
      </c>
      <c r="C112" s="67" t="s">
        <v>56</v>
      </c>
      <c r="D112" s="68">
        <v>54</v>
      </c>
      <c r="E112" s="70"/>
      <c r="F112" s="97" t="str">
        <f>HYPERLINK("https://i.ytimg.com/vi/w9NG7C6O9mg/default.jpg")</f>
        <v>https://i.ytimg.com/vi/w9NG7C6O9mg/default.jpg</v>
      </c>
      <c r="G112" s="67"/>
      <c r="H112" s="71" t="s">
        <v>1290</v>
      </c>
      <c r="I112" s="72"/>
      <c r="J112" s="72" t="s">
        <v>159</v>
      </c>
      <c r="K112" s="71" t="s">
        <v>1290</v>
      </c>
      <c r="L112" s="75">
        <v>445.35555555555555</v>
      </c>
      <c r="M112" s="76">
        <v>7608.0654296875</v>
      </c>
      <c r="N112" s="76">
        <v>4204.78173828125</v>
      </c>
      <c r="O112" s="77"/>
      <c r="P112" s="78"/>
      <c r="Q112" s="78"/>
      <c r="R112" s="82"/>
      <c r="S112" s="48">
        <v>2</v>
      </c>
      <c r="T112" s="48">
        <v>0</v>
      </c>
      <c r="U112" s="49">
        <v>0.93511</v>
      </c>
      <c r="V112" s="49">
        <v>0.001435</v>
      </c>
      <c r="W112" s="49">
        <v>0.000669</v>
      </c>
      <c r="X112" s="49">
        <v>0.281963</v>
      </c>
      <c r="Y112" s="49">
        <v>0</v>
      </c>
      <c r="Z112" s="49">
        <v>0</v>
      </c>
      <c r="AA112" s="73">
        <v>112</v>
      </c>
      <c r="AB112" s="73"/>
      <c r="AC112" s="74"/>
      <c r="AD112" s="80" t="s">
        <v>1290</v>
      </c>
      <c r="AE112" s="80" t="s">
        <v>1964</v>
      </c>
      <c r="AF112" s="80" t="s">
        <v>2570</v>
      </c>
      <c r="AG112" s="80" t="s">
        <v>2907</v>
      </c>
      <c r="AH112" s="80" t="s">
        <v>3702</v>
      </c>
      <c r="AI112" s="80">
        <v>6131</v>
      </c>
      <c r="AJ112" s="80">
        <v>10</v>
      </c>
      <c r="AK112" s="80">
        <v>42</v>
      </c>
      <c r="AL112" s="80">
        <v>0</v>
      </c>
      <c r="AM112" s="80" t="s">
        <v>4098</v>
      </c>
      <c r="AN112" s="96" t="str">
        <f>HYPERLINK("https://www.youtube.com/watch?v=w9NG7C6O9mg")</f>
        <v>https://www.youtube.com/watch?v=w9NG7C6O9mg</v>
      </c>
      <c r="AO112" s="80" t="str">
        <f>REPLACE(INDEX(GroupVertices[Group],MATCH(Vertices[[#This Row],[Vertex]],GroupVertices[Vertex],0)),1,1,"")</f>
        <v>4</v>
      </c>
      <c r="AP112" s="48">
        <v>2</v>
      </c>
      <c r="AQ112" s="49">
        <v>8.333333333333334</v>
      </c>
      <c r="AR112" s="48">
        <v>0</v>
      </c>
      <c r="AS112" s="49">
        <v>0</v>
      </c>
      <c r="AT112" s="48">
        <v>0</v>
      </c>
      <c r="AU112" s="49">
        <v>0</v>
      </c>
      <c r="AV112" s="48">
        <v>22</v>
      </c>
      <c r="AW112" s="49">
        <v>91.66666666666667</v>
      </c>
      <c r="AX112" s="48">
        <v>24</v>
      </c>
      <c r="AY112" s="48"/>
      <c r="AZ112" s="48"/>
      <c r="BA112" s="48"/>
      <c r="BB112" s="48"/>
      <c r="BC112" s="2"/>
      <c r="BD112" s="3"/>
      <c r="BE112" s="3"/>
      <c r="BF112" s="3"/>
      <c r="BG112" s="3"/>
    </row>
    <row r="113" spans="1:59" ht="15">
      <c r="A113" s="66" t="s">
        <v>886</v>
      </c>
      <c r="B113" s="67" t="s">
        <v>4456</v>
      </c>
      <c r="C113" s="67" t="s">
        <v>64</v>
      </c>
      <c r="D113" s="68">
        <v>208</v>
      </c>
      <c r="E113" s="70"/>
      <c r="F113" s="97" t="str">
        <f>HYPERLINK("https://i.ytimg.com/vi/89mxOdwPfxA/default.jpg")</f>
        <v>https://i.ytimg.com/vi/89mxOdwPfxA/default.jpg</v>
      </c>
      <c r="G113" s="67"/>
      <c r="H113" s="71" t="s">
        <v>1320</v>
      </c>
      <c r="I113" s="72"/>
      <c r="J113" s="72" t="s">
        <v>75</v>
      </c>
      <c r="K113" s="71" t="s">
        <v>1320</v>
      </c>
      <c r="L113" s="75">
        <v>2000.6</v>
      </c>
      <c r="M113" s="76">
        <v>8256.0283203125</v>
      </c>
      <c r="N113" s="76">
        <v>2032.1280517578125</v>
      </c>
      <c r="O113" s="77"/>
      <c r="P113" s="78"/>
      <c r="Q113" s="78"/>
      <c r="R113" s="82"/>
      <c r="S113" s="48">
        <v>9</v>
      </c>
      <c r="T113" s="48">
        <v>0</v>
      </c>
      <c r="U113" s="49">
        <v>0.80543</v>
      </c>
      <c r="V113" s="49">
        <v>0.001658</v>
      </c>
      <c r="W113" s="49">
        <v>0.003959</v>
      </c>
      <c r="X113" s="49">
        <v>0.705914</v>
      </c>
      <c r="Y113" s="49">
        <v>0.5555555555555556</v>
      </c>
      <c r="Z113" s="49">
        <v>0</v>
      </c>
      <c r="AA113" s="73">
        <v>113</v>
      </c>
      <c r="AB113" s="73"/>
      <c r="AC113" s="74"/>
      <c r="AD113" s="80" t="s">
        <v>1320</v>
      </c>
      <c r="AE113" s="80" t="s">
        <v>2262</v>
      </c>
      <c r="AF113" s="80" t="s">
        <v>2844</v>
      </c>
      <c r="AG113" s="80" t="s">
        <v>2912</v>
      </c>
      <c r="AH113" s="80" t="s">
        <v>4040</v>
      </c>
      <c r="AI113" s="80">
        <v>82824</v>
      </c>
      <c r="AJ113" s="80">
        <v>48</v>
      </c>
      <c r="AK113" s="80">
        <v>799</v>
      </c>
      <c r="AL113" s="80">
        <v>3</v>
      </c>
      <c r="AM113" s="80" t="s">
        <v>4098</v>
      </c>
      <c r="AN113" s="96" t="str">
        <f>HYPERLINK("https://www.youtube.com/watch?v=89mxOdwPfxA")</f>
        <v>https://www.youtube.com/watch?v=89mxOdwPfxA</v>
      </c>
      <c r="AO113" s="80" t="str">
        <f>REPLACE(INDEX(GroupVertices[Group],MATCH(Vertices[[#This Row],[Vertex]],GroupVertices[Vertex],0)),1,1,"")</f>
        <v>4</v>
      </c>
      <c r="AP113" s="48">
        <v>0</v>
      </c>
      <c r="AQ113" s="49">
        <v>0</v>
      </c>
      <c r="AR113" s="48">
        <v>0</v>
      </c>
      <c r="AS113" s="49">
        <v>0</v>
      </c>
      <c r="AT113" s="48">
        <v>0</v>
      </c>
      <c r="AU113" s="49">
        <v>0</v>
      </c>
      <c r="AV113" s="48">
        <v>4</v>
      </c>
      <c r="AW113" s="49">
        <v>100</v>
      </c>
      <c r="AX113" s="48">
        <v>4</v>
      </c>
      <c r="AY113" s="48"/>
      <c r="AZ113" s="48"/>
      <c r="BA113" s="48"/>
      <c r="BB113" s="48"/>
      <c r="BC113" s="2"/>
      <c r="BD113" s="3"/>
      <c r="BE113" s="3"/>
      <c r="BF113" s="3"/>
      <c r="BG113" s="3"/>
    </row>
    <row r="114" spans="1:59" ht="15">
      <c r="A114" s="66" t="s">
        <v>369</v>
      </c>
      <c r="B114" s="67" t="s">
        <v>4456</v>
      </c>
      <c r="C114" s="67" t="s">
        <v>56</v>
      </c>
      <c r="D114" s="68">
        <v>54</v>
      </c>
      <c r="E114" s="70"/>
      <c r="F114" s="97" t="str">
        <f>HYPERLINK("https://i.ytimg.com/vi/HQfzwFCKtF8/default.jpg")</f>
        <v>https://i.ytimg.com/vi/HQfzwFCKtF8/default.jpg</v>
      </c>
      <c r="G114" s="67"/>
      <c r="H114" s="71" t="s">
        <v>1075</v>
      </c>
      <c r="I114" s="72"/>
      <c r="J114" s="72" t="s">
        <v>159</v>
      </c>
      <c r="K114" s="71" t="s">
        <v>1075</v>
      </c>
      <c r="L114" s="75">
        <v>445.35555555555555</v>
      </c>
      <c r="M114" s="76">
        <v>7329.212890625</v>
      </c>
      <c r="N114" s="76">
        <v>4493.33984375</v>
      </c>
      <c r="O114" s="77"/>
      <c r="P114" s="78"/>
      <c r="Q114" s="78"/>
      <c r="R114" s="82"/>
      <c r="S114" s="48">
        <v>2</v>
      </c>
      <c r="T114" s="48">
        <v>0</v>
      </c>
      <c r="U114" s="49">
        <v>0.763467</v>
      </c>
      <c r="V114" s="49">
        <v>0.001408</v>
      </c>
      <c r="W114" s="49">
        <v>0.000718</v>
      </c>
      <c r="X114" s="49">
        <v>0.276053</v>
      </c>
      <c r="Y114" s="49">
        <v>0</v>
      </c>
      <c r="Z114" s="49">
        <v>0</v>
      </c>
      <c r="AA114" s="73">
        <v>114</v>
      </c>
      <c r="AB114" s="73"/>
      <c r="AC114" s="74"/>
      <c r="AD114" s="80" t="s">
        <v>1075</v>
      </c>
      <c r="AE114" s="80" t="s">
        <v>1075</v>
      </c>
      <c r="AF114" s="80" t="s">
        <v>2411</v>
      </c>
      <c r="AG114" s="80" t="s">
        <v>2985</v>
      </c>
      <c r="AH114" s="80" t="s">
        <v>3488</v>
      </c>
      <c r="AI114" s="80">
        <v>338</v>
      </c>
      <c r="AJ114" s="80">
        <v>0</v>
      </c>
      <c r="AK114" s="80">
        <v>8</v>
      </c>
      <c r="AL114" s="80">
        <v>0</v>
      </c>
      <c r="AM114" s="80" t="s">
        <v>4098</v>
      </c>
      <c r="AN114" s="96" t="str">
        <f>HYPERLINK("https://www.youtube.com/watch?v=HQfzwFCKtF8")</f>
        <v>https://www.youtube.com/watch?v=HQfzwFCKtF8</v>
      </c>
      <c r="AO114" s="80" t="str">
        <f>REPLACE(INDEX(GroupVertices[Group],MATCH(Vertices[[#This Row],[Vertex]],GroupVertices[Vertex],0)),1,1,"")</f>
        <v>3</v>
      </c>
      <c r="AP114" s="48">
        <v>0</v>
      </c>
      <c r="AQ114" s="49">
        <v>0</v>
      </c>
      <c r="AR114" s="48">
        <v>0</v>
      </c>
      <c r="AS114" s="49">
        <v>0</v>
      </c>
      <c r="AT114" s="48">
        <v>0</v>
      </c>
      <c r="AU114" s="49">
        <v>0</v>
      </c>
      <c r="AV114" s="48">
        <v>6</v>
      </c>
      <c r="AW114" s="49">
        <v>100</v>
      </c>
      <c r="AX114" s="48">
        <v>6</v>
      </c>
      <c r="AY114" s="48"/>
      <c r="AZ114" s="48"/>
      <c r="BA114" s="48"/>
      <c r="BB114" s="48"/>
      <c r="BC114" s="2"/>
      <c r="BD114" s="3"/>
      <c r="BE114" s="3"/>
      <c r="BF114" s="3"/>
      <c r="BG114" s="3"/>
    </row>
    <row r="115" spans="1:59" ht="15">
      <c r="A115" s="66" t="s">
        <v>506</v>
      </c>
      <c r="B115" s="67" t="s">
        <v>4456</v>
      </c>
      <c r="C115" s="67" t="s">
        <v>56</v>
      </c>
      <c r="D115" s="68">
        <v>76</v>
      </c>
      <c r="E115" s="70"/>
      <c r="F115" s="97" t="str">
        <f>HYPERLINK("https://i.ytimg.com/vi/P33xa4l4GTM/default.jpg")</f>
        <v>https://i.ytimg.com/vi/P33xa4l4GTM/default.jpg</v>
      </c>
      <c r="G115" s="67"/>
      <c r="H115" s="71" t="s">
        <v>1222</v>
      </c>
      <c r="I115" s="72"/>
      <c r="J115" s="72" t="s">
        <v>159</v>
      </c>
      <c r="K115" s="71" t="s">
        <v>1222</v>
      </c>
      <c r="L115" s="75">
        <v>667.5333333333333</v>
      </c>
      <c r="M115" s="76">
        <v>6494.10107421875</v>
      </c>
      <c r="N115" s="76">
        <v>3709.55859375</v>
      </c>
      <c r="O115" s="77"/>
      <c r="P115" s="78"/>
      <c r="Q115" s="78"/>
      <c r="R115" s="82"/>
      <c r="S115" s="48">
        <v>3</v>
      </c>
      <c r="T115" s="48">
        <v>0</v>
      </c>
      <c r="U115" s="49">
        <v>0.694678</v>
      </c>
      <c r="V115" s="49">
        <v>0.001422</v>
      </c>
      <c r="W115" s="49">
        <v>0.00102</v>
      </c>
      <c r="X115" s="49">
        <v>0.341569</v>
      </c>
      <c r="Y115" s="49">
        <v>0.16666666666666666</v>
      </c>
      <c r="Z115" s="49">
        <v>0</v>
      </c>
      <c r="AA115" s="73">
        <v>115</v>
      </c>
      <c r="AB115" s="73"/>
      <c r="AC115" s="74"/>
      <c r="AD115" s="80" t="s">
        <v>1222</v>
      </c>
      <c r="AE115" s="80" t="s">
        <v>1905</v>
      </c>
      <c r="AF115" s="80"/>
      <c r="AG115" s="80" t="s">
        <v>3075</v>
      </c>
      <c r="AH115" s="80" t="s">
        <v>3634</v>
      </c>
      <c r="AI115" s="80">
        <v>21560</v>
      </c>
      <c r="AJ115" s="80">
        <v>0</v>
      </c>
      <c r="AK115" s="80">
        <v>0</v>
      </c>
      <c r="AL115" s="80">
        <v>0</v>
      </c>
      <c r="AM115" s="80" t="s">
        <v>4098</v>
      </c>
      <c r="AN115" s="96" t="str">
        <f>HYPERLINK("https://www.youtube.com/watch?v=P33xa4l4GTM")</f>
        <v>https://www.youtube.com/watch?v=P33xa4l4GTM</v>
      </c>
      <c r="AO115" s="80" t="str">
        <f>REPLACE(INDEX(GroupVertices[Group],MATCH(Vertices[[#This Row],[Vertex]],GroupVertices[Vertex],0)),1,1,"")</f>
        <v>4</v>
      </c>
      <c r="AP115" s="48"/>
      <c r="AQ115" s="49"/>
      <c r="AR115" s="48"/>
      <c r="AS115" s="49"/>
      <c r="AT115" s="48"/>
      <c r="AU115" s="49"/>
      <c r="AV115" s="48"/>
      <c r="AW115" s="49"/>
      <c r="AX115" s="48"/>
      <c r="AY115" s="48"/>
      <c r="AZ115" s="48"/>
      <c r="BA115" s="48"/>
      <c r="BB115" s="48"/>
      <c r="BC115" s="2"/>
      <c r="BD115" s="3"/>
      <c r="BE115" s="3"/>
      <c r="BF115" s="3"/>
      <c r="BG115" s="3"/>
    </row>
    <row r="116" spans="1:59" ht="15">
      <c r="A116" s="66" t="s">
        <v>659</v>
      </c>
      <c r="B116" s="67" t="s">
        <v>4456</v>
      </c>
      <c r="C116" s="67" t="s">
        <v>64</v>
      </c>
      <c r="D116" s="68">
        <v>142</v>
      </c>
      <c r="E116" s="70"/>
      <c r="F116" s="97" t="str">
        <f>HYPERLINK("https://i.ytimg.com/vi/3lqNoYqFhMA/default.jpg")</f>
        <v>https://i.ytimg.com/vi/3lqNoYqFhMA/default.jpg</v>
      </c>
      <c r="G116" s="67"/>
      <c r="H116" s="71" t="s">
        <v>1399</v>
      </c>
      <c r="I116" s="72"/>
      <c r="J116" s="72" t="s">
        <v>75</v>
      </c>
      <c r="K116" s="71" t="s">
        <v>1399</v>
      </c>
      <c r="L116" s="75">
        <v>1334.0666666666666</v>
      </c>
      <c r="M116" s="76">
        <v>6904.466796875</v>
      </c>
      <c r="N116" s="76">
        <v>6479.40771484375</v>
      </c>
      <c r="O116" s="77"/>
      <c r="P116" s="78"/>
      <c r="Q116" s="78"/>
      <c r="R116" s="82"/>
      <c r="S116" s="48">
        <v>6</v>
      </c>
      <c r="T116" s="48">
        <v>0</v>
      </c>
      <c r="U116" s="49">
        <v>0.676521</v>
      </c>
      <c r="V116" s="49">
        <v>0.001499</v>
      </c>
      <c r="W116" s="49">
        <v>0.00227</v>
      </c>
      <c r="X116" s="49">
        <v>0.518423</v>
      </c>
      <c r="Y116" s="49">
        <v>0.6666666666666666</v>
      </c>
      <c r="Z116" s="49">
        <v>0</v>
      </c>
      <c r="AA116" s="73">
        <v>116</v>
      </c>
      <c r="AB116" s="73"/>
      <c r="AC116" s="74"/>
      <c r="AD116" s="80" t="s">
        <v>1399</v>
      </c>
      <c r="AE116" s="80" t="s">
        <v>2061</v>
      </c>
      <c r="AF116" s="80" t="s">
        <v>2654</v>
      </c>
      <c r="AG116" s="80" t="s">
        <v>3192</v>
      </c>
      <c r="AH116" s="80" t="s">
        <v>3811</v>
      </c>
      <c r="AI116" s="80">
        <v>795</v>
      </c>
      <c r="AJ116" s="80">
        <v>0</v>
      </c>
      <c r="AK116" s="80">
        <v>4</v>
      </c>
      <c r="AL116" s="80">
        <v>0</v>
      </c>
      <c r="AM116" s="80" t="s">
        <v>4098</v>
      </c>
      <c r="AN116" s="96" t="str">
        <f>HYPERLINK("https://www.youtube.com/watch?v=3lqNoYqFhMA")</f>
        <v>https://www.youtube.com/watch?v=3lqNoYqFhMA</v>
      </c>
      <c r="AO116" s="80" t="str">
        <f>REPLACE(INDEX(GroupVertices[Group],MATCH(Vertices[[#This Row],[Vertex]],GroupVertices[Vertex],0)),1,1,"")</f>
        <v>3</v>
      </c>
      <c r="AP116" s="48">
        <v>1</v>
      </c>
      <c r="AQ116" s="49">
        <v>6.666666666666667</v>
      </c>
      <c r="AR116" s="48">
        <v>0</v>
      </c>
      <c r="AS116" s="49">
        <v>0</v>
      </c>
      <c r="AT116" s="48">
        <v>0</v>
      </c>
      <c r="AU116" s="49">
        <v>0</v>
      </c>
      <c r="AV116" s="48">
        <v>14</v>
      </c>
      <c r="AW116" s="49">
        <v>93.33333333333333</v>
      </c>
      <c r="AX116" s="48">
        <v>15</v>
      </c>
      <c r="AY116" s="48"/>
      <c r="AZ116" s="48"/>
      <c r="BA116" s="48"/>
      <c r="BB116" s="48"/>
      <c r="BC116" s="2"/>
      <c r="BD116" s="3"/>
      <c r="BE116" s="3"/>
      <c r="BF116" s="3"/>
      <c r="BG116" s="3"/>
    </row>
    <row r="117" spans="1:59" ht="15">
      <c r="A117" s="66" t="s">
        <v>848</v>
      </c>
      <c r="B117" s="67" t="s">
        <v>4456</v>
      </c>
      <c r="C117" s="67" t="s">
        <v>56</v>
      </c>
      <c r="D117" s="68">
        <v>76</v>
      </c>
      <c r="E117" s="70"/>
      <c r="F117" s="97" t="str">
        <f>HYPERLINK("https://i.ytimg.com/vi/GIuIamvXJSw/default.jpg")</f>
        <v>https://i.ytimg.com/vi/GIuIamvXJSw/default.jpg</v>
      </c>
      <c r="G117" s="67"/>
      <c r="H117" s="71" t="s">
        <v>1587</v>
      </c>
      <c r="I117" s="72"/>
      <c r="J117" s="72" t="s">
        <v>159</v>
      </c>
      <c r="K117" s="71" t="s">
        <v>1587</v>
      </c>
      <c r="L117" s="75">
        <v>667.5333333333333</v>
      </c>
      <c r="M117" s="76">
        <v>9076.583984375</v>
      </c>
      <c r="N117" s="76">
        <v>7216.96728515625</v>
      </c>
      <c r="O117" s="77"/>
      <c r="P117" s="78"/>
      <c r="Q117" s="78"/>
      <c r="R117" s="82"/>
      <c r="S117" s="48">
        <v>3</v>
      </c>
      <c r="T117" s="48">
        <v>0</v>
      </c>
      <c r="U117" s="49">
        <v>0.661416</v>
      </c>
      <c r="V117" s="49">
        <v>0.001471</v>
      </c>
      <c r="W117" s="49">
        <v>0.001089</v>
      </c>
      <c r="X117" s="49">
        <v>0.341873</v>
      </c>
      <c r="Y117" s="49">
        <v>0.3333333333333333</v>
      </c>
      <c r="Z117" s="49">
        <v>0</v>
      </c>
      <c r="AA117" s="73">
        <v>117</v>
      </c>
      <c r="AB117" s="73"/>
      <c r="AC117" s="74"/>
      <c r="AD117" s="80" t="s">
        <v>1587</v>
      </c>
      <c r="AE117" s="80" t="s">
        <v>2230</v>
      </c>
      <c r="AF117" s="80" t="s">
        <v>2816</v>
      </c>
      <c r="AG117" s="80" t="s">
        <v>2907</v>
      </c>
      <c r="AH117" s="80" t="s">
        <v>4002</v>
      </c>
      <c r="AI117" s="80">
        <v>3523</v>
      </c>
      <c r="AJ117" s="80">
        <v>2</v>
      </c>
      <c r="AK117" s="80">
        <v>16</v>
      </c>
      <c r="AL117" s="80">
        <v>0</v>
      </c>
      <c r="AM117" s="80" t="s">
        <v>4098</v>
      </c>
      <c r="AN117" s="96" t="str">
        <f>HYPERLINK("https://www.youtube.com/watch?v=GIuIamvXJSw")</f>
        <v>https://www.youtube.com/watch?v=GIuIamvXJSw</v>
      </c>
      <c r="AO117" s="80" t="str">
        <f>REPLACE(INDEX(GroupVertices[Group],MATCH(Vertices[[#This Row],[Vertex]],GroupVertices[Vertex],0)),1,1,"")</f>
        <v>3</v>
      </c>
      <c r="AP117" s="48">
        <v>0</v>
      </c>
      <c r="AQ117" s="49">
        <v>0</v>
      </c>
      <c r="AR117" s="48">
        <v>0</v>
      </c>
      <c r="AS117" s="49">
        <v>0</v>
      </c>
      <c r="AT117" s="48">
        <v>0</v>
      </c>
      <c r="AU117" s="49">
        <v>0</v>
      </c>
      <c r="AV117" s="48">
        <v>21</v>
      </c>
      <c r="AW117" s="49">
        <v>100</v>
      </c>
      <c r="AX117" s="48">
        <v>21</v>
      </c>
      <c r="AY117" s="48"/>
      <c r="AZ117" s="48"/>
      <c r="BA117" s="48"/>
      <c r="BB117" s="48"/>
      <c r="BC117" s="2"/>
      <c r="BD117" s="3"/>
      <c r="BE117" s="3"/>
      <c r="BF117" s="3"/>
      <c r="BG117" s="3"/>
    </row>
    <row r="118" spans="1:59" ht="15">
      <c r="A118" s="66" t="s">
        <v>442</v>
      </c>
      <c r="B118" s="67" t="s">
        <v>4456</v>
      </c>
      <c r="C118" s="67" t="s">
        <v>56</v>
      </c>
      <c r="D118" s="68">
        <v>76</v>
      </c>
      <c r="E118" s="70"/>
      <c r="F118" s="97" t="str">
        <f>HYPERLINK("https://i.ytimg.com/vi/wP4ZrXsLvAE/default.jpg")</f>
        <v>https://i.ytimg.com/vi/wP4ZrXsLvAE/default.jpg</v>
      </c>
      <c r="G118" s="67"/>
      <c r="H118" s="71" t="s">
        <v>1151</v>
      </c>
      <c r="I118" s="72"/>
      <c r="J118" s="72" t="s">
        <v>159</v>
      </c>
      <c r="K118" s="71" t="s">
        <v>1151</v>
      </c>
      <c r="L118" s="75">
        <v>667.5333333333333</v>
      </c>
      <c r="M118" s="76">
        <v>7483.35791015625</v>
      </c>
      <c r="N118" s="76">
        <v>5504.82275390625</v>
      </c>
      <c r="O118" s="77"/>
      <c r="P118" s="78"/>
      <c r="Q118" s="78"/>
      <c r="R118" s="82"/>
      <c r="S118" s="48">
        <v>3</v>
      </c>
      <c r="T118" s="48">
        <v>0</v>
      </c>
      <c r="U118" s="49">
        <v>0.661416</v>
      </c>
      <c r="V118" s="49">
        <v>0.001439</v>
      </c>
      <c r="W118" s="49">
        <v>0.001032</v>
      </c>
      <c r="X118" s="49">
        <v>0.34217</v>
      </c>
      <c r="Y118" s="49">
        <v>0.6666666666666666</v>
      </c>
      <c r="Z118" s="49">
        <v>0</v>
      </c>
      <c r="AA118" s="73">
        <v>118</v>
      </c>
      <c r="AB118" s="73"/>
      <c r="AC118" s="74"/>
      <c r="AD118" s="80" t="s">
        <v>1151</v>
      </c>
      <c r="AE118" s="80" t="s">
        <v>1842</v>
      </c>
      <c r="AF118" s="80" t="s">
        <v>2463</v>
      </c>
      <c r="AG118" s="80" t="s">
        <v>2907</v>
      </c>
      <c r="AH118" s="80" t="s">
        <v>3564</v>
      </c>
      <c r="AI118" s="80">
        <v>517</v>
      </c>
      <c r="AJ118" s="80">
        <v>3</v>
      </c>
      <c r="AK118" s="80">
        <v>15</v>
      </c>
      <c r="AL118" s="80">
        <v>0</v>
      </c>
      <c r="AM118" s="80" t="s">
        <v>4098</v>
      </c>
      <c r="AN118" s="96" t="str">
        <f>HYPERLINK("https://www.youtube.com/watch?v=wP4ZrXsLvAE")</f>
        <v>https://www.youtube.com/watch?v=wP4ZrXsLvAE</v>
      </c>
      <c r="AO118" s="80" t="str">
        <f>REPLACE(INDEX(GroupVertices[Group],MATCH(Vertices[[#This Row],[Vertex]],GroupVertices[Vertex],0)),1,1,"")</f>
        <v>3</v>
      </c>
      <c r="AP118" s="48">
        <v>1</v>
      </c>
      <c r="AQ118" s="49">
        <v>7.6923076923076925</v>
      </c>
      <c r="AR118" s="48">
        <v>0</v>
      </c>
      <c r="AS118" s="49">
        <v>0</v>
      </c>
      <c r="AT118" s="48">
        <v>0</v>
      </c>
      <c r="AU118" s="49">
        <v>0</v>
      </c>
      <c r="AV118" s="48">
        <v>12</v>
      </c>
      <c r="AW118" s="49">
        <v>92.3076923076923</v>
      </c>
      <c r="AX118" s="48">
        <v>13</v>
      </c>
      <c r="AY118" s="48"/>
      <c r="AZ118" s="48"/>
      <c r="BA118" s="48"/>
      <c r="BB118" s="48"/>
      <c r="BC118" s="2"/>
      <c r="BD118" s="3"/>
      <c r="BE118" s="3"/>
      <c r="BF118" s="3"/>
      <c r="BG118" s="3"/>
    </row>
    <row r="119" spans="1:59" ht="15">
      <c r="A119" s="66" t="s">
        <v>448</v>
      </c>
      <c r="B119" s="67" t="s">
        <v>4456</v>
      </c>
      <c r="C119" s="67" t="s">
        <v>56</v>
      </c>
      <c r="D119" s="68">
        <v>54</v>
      </c>
      <c r="E119" s="70"/>
      <c r="F119" s="97" t="str">
        <f>HYPERLINK("https://i.ytimg.com/vi/uvTabUcP9qQ/default.jpg")</f>
        <v>https://i.ytimg.com/vi/uvTabUcP9qQ/default.jpg</v>
      </c>
      <c r="G119" s="67"/>
      <c r="H119" s="71" t="s">
        <v>1157</v>
      </c>
      <c r="I119" s="72"/>
      <c r="J119" s="72" t="s">
        <v>159</v>
      </c>
      <c r="K119" s="71" t="s">
        <v>1157</v>
      </c>
      <c r="L119" s="75">
        <v>445.35555555555555</v>
      </c>
      <c r="M119" s="76">
        <v>7880.54345703125</v>
      </c>
      <c r="N119" s="76">
        <v>5129.46484375</v>
      </c>
      <c r="O119" s="77"/>
      <c r="P119" s="78"/>
      <c r="Q119" s="78"/>
      <c r="R119" s="82"/>
      <c r="S119" s="48">
        <v>2</v>
      </c>
      <c r="T119" s="48">
        <v>0</v>
      </c>
      <c r="U119" s="49">
        <v>0.661416</v>
      </c>
      <c r="V119" s="49">
        <v>0.001401</v>
      </c>
      <c r="W119" s="49">
        <v>0.000655</v>
      </c>
      <c r="X119" s="49">
        <v>0.281429</v>
      </c>
      <c r="Y119" s="49">
        <v>0</v>
      </c>
      <c r="Z119" s="49">
        <v>0</v>
      </c>
      <c r="AA119" s="73">
        <v>119</v>
      </c>
      <c r="AB119" s="73"/>
      <c r="AC119" s="74"/>
      <c r="AD119" s="80" t="s">
        <v>1157</v>
      </c>
      <c r="AE119" s="80" t="s">
        <v>1848</v>
      </c>
      <c r="AF119" s="80" t="s">
        <v>2468</v>
      </c>
      <c r="AG119" s="80" t="s">
        <v>2907</v>
      </c>
      <c r="AH119" s="80" t="s">
        <v>3570</v>
      </c>
      <c r="AI119" s="80">
        <v>9567</v>
      </c>
      <c r="AJ119" s="80">
        <v>1</v>
      </c>
      <c r="AK119" s="80">
        <v>42</v>
      </c>
      <c r="AL119" s="80">
        <v>0</v>
      </c>
      <c r="AM119" s="80" t="s">
        <v>4098</v>
      </c>
      <c r="AN119" s="96" t="str">
        <f>HYPERLINK("https://www.youtube.com/watch?v=uvTabUcP9qQ")</f>
        <v>https://www.youtube.com/watch?v=uvTabUcP9qQ</v>
      </c>
      <c r="AO119" s="80" t="str">
        <f>REPLACE(INDEX(GroupVertices[Group],MATCH(Vertices[[#This Row],[Vertex]],GroupVertices[Vertex],0)),1,1,"")</f>
        <v>3</v>
      </c>
      <c r="AP119" s="48">
        <v>0</v>
      </c>
      <c r="AQ119" s="49">
        <v>0</v>
      </c>
      <c r="AR119" s="48">
        <v>0</v>
      </c>
      <c r="AS119" s="49">
        <v>0</v>
      </c>
      <c r="AT119" s="48">
        <v>0</v>
      </c>
      <c r="AU119" s="49">
        <v>0</v>
      </c>
      <c r="AV119" s="48">
        <v>16</v>
      </c>
      <c r="AW119" s="49">
        <v>100</v>
      </c>
      <c r="AX119" s="48">
        <v>16</v>
      </c>
      <c r="AY119" s="48"/>
      <c r="AZ119" s="48"/>
      <c r="BA119" s="48"/>
      <c r="BB119" s="48"/>
      <c r="BC119" s="2"/>
      <c r="BD119" s="3"/>
      <c r="BE119" s="3"/>
      <c r="BF119" s="3"/>
      <c r="BG119" s="3"/>
    </row>
    <row r="120" spans="1:59" ht="15">
      <c r="A120" s="66" t="s">
        <v>881</v>
      </c>
      <c r="B120" s="67" t="s">
        <v>4456</v>
      </c>
      <c r="C120" s="67" t="s">
        <v>56</v>
      </c>
      <c r="D120" s="68">
        <v>98</v>
      </c>
      <c r="E120" s="70"/>
      <c r="F120" s="97" t="str">
        <f>HYPERLINK("https://i.ytimg.com/vi/Lyi5BAkStDQ/default.jpg")</f>
        <v>https://i.ytimg.com/vi/Lyi5BAkStDQ/default.jpg</v>
      </c>
      <c r="G120" s="67"/>
      <c r="H120" s="71" t="s">
        <v>1620</v>
      </c>
      <c r="I120" s="72"/>
      <c r="J120" s="72" t="s">
        <v>159</v>
      </c>
      <c r="K120" s="71" t="s">
        <v>1620</v>
      </c>
      <c r="L120" s="75">
        <v>889.7111111111111</v>
      </c>
      <c r="M120" s="76">
        <v>4677.2294921875</v>
      </c>
      <c r="N120" s="76">
        <v>5776.23046875</v>
      </c>
      <c r="O120" s="77"/>
      <c r="P120" s="78"/>
      <c r="Q120" s="78"/>
      <c r="R120" s="82"/>
      <c r="S120" s="48">
        <v>4</v>
      </c>
      <c r="T120" s="48">
        <v>0</v>
      </c>
      <c r="U120" s="49">
        <v>0.568789</v>
      </c>
      <c r="V120" s="49">
        <v>0.001536</v>
      </c>
      <c r="W120" s="49">
        <v>0.001623</v>
      </c>
      <c r="X120" s="49">
        <v>0.407948</v>
      </c>
      <c r="Y120" s="49">
        <v>0.3333333333333333</v>
      </c>
      <c r="Z120" s="49">
        <v>0</v>
      </c>
      <c r="AA120" s="73">
        <v>120</v>
      </c>
      <c r="AB120" s="73"/>
      <c r="AC120" s="74"/>
      <c r="AD120" s="80" t="s">
        <v>1620</v>
      </c>
      <c r="AE120" s="80" t="s">
        <v>2258</v>
      </c>
      <c r="AF120" s="80" t="s">
        <v>2839</v>
      </c>
      <c r="AG120" s="80" t="s">
        <v>3334</v>
      </c>
      <c r="AH120" s="80" t="s">
        <v>4035</v>
      </c>
      <c r="AI120" s="80">
        <v>34206</v>
      </c>
      <c r="AJ120" s="80">
        <v>11</v>
      </c>
      <c r="AK120" s="80">
        <v>133</v>
      </c>
      <c r="AL120" s="80">
        <v>4</v>
      </c>
      <c r="AM120" s="80" t="s">
        <v>4098</v>
      </c>
      <c r="AN120" s="96" t="str">
        <f>HYPERLINK("https://www.youtube.com/watch?v=Lyi5BAkStDQ")</f>
        <v>https://www.youtube.com/watch?v=Lyi5BAkStDQ</v>
      </c>
      <c r="AO120" s="80" t="str">
        <f>REPLACE(INDEX(GroupVertices[Group],MATCH(Vertices[[#This Row],[Vertex]],GroupVertices[Vertex],0)),1,1,"")</f>
        <v>1</v>
      </c>
      <c r="AP120" s="48">
        <v>0</v>
      </c>
      <c r="AQ120" s="49">
        <v>0</v>
      </c>
      <c r="AR120" s="48">
        <v>0</v>
      </c>
      <c r="AS120" s="49">
        <v>0</v>
      </c>
      <c r="AT120" s="48">
        <v>0</v>
      </c>
      <c r="AU120" s="49">
        <v>0</v>
      </c>
      <c r="AV120" s="48">
        <v>5</v>
      </c>
      <c r="AW120" s="49">
        <v>100</v>
      </c>
      <c r="AX120" s="48">
        <v>5</v>
      </c>
      <c r="AY120" s="48"/>
      <c r="AZ120" s="48"/>
      <c r="BA120" s="48"/>
      <c r="BB120" s="48"/>
      <c r="BC120" s="2"/>
      <c r="BD120" s="3"/>
      <c r="BE120" s="3"/>
      <c r="BF120" s="3"/>
      <c r="BG120" s="3"/>
    </row>
    <row r="121" spans="1:59" ht="15">
      <c r="A121" s="66" t="s">
        <v>586</v>
      </c>
      <c r="B121" s="67" t="s">
        <v>4456</v>
      </c>
      <c r="C121" s="67" t="s">
        <v>56</v>
      </c>
      <c r="D121" s="68">
        <v>76</v>
      </c>
      <c r="E121" s="70"/>
      <c r="F121" s="97" t="str">
        <f>HYPERLINK("https://i.ytimg.com/vi/uiD988ISE3o/default.jpg")</f>
        <v>https://i.ytimg.com/vi/uiD988ISE3o/default.jpg</v>
      </c>
      <c r="G121" s="67"/>
      <c r="H121" s="71" t="s">
        <v>1321</v>
      </c>
      <c r="I121" s="72"/>
      <c r="J121" s="72" t="s">
        <v>159</v>
      </c>
      <c r="K121" s="71" t="s">
        <v>1321</v>
      </c>
      <c r="L121" s="75">
        <v>667.5333333333333</v>
      </c>
      <c r="M121" s="76">
        <v>6970.4287109375</v>
      </c>
      <c r="N121" s="76">
        <v>2614.404541015625</v>
      </c>
      <c r="O121" s="77"/>
      <c r="P121" s="78"/>
      <c r="Q121" s="78"/>
      <c r="R121" s="82"/>
      <c r="S121" s="48">
        <v>3</v>
      </c>
      <c r="T121" s="48">
        <v>0</v>
      </c>
      <c r="U121" s="49">
        <v>0.568789</v>
      </c>
      <c r="V121" s="49">
        <v>0.00149</v>
      </c>
      <c r="W121" s="49">
        <v>0.00111</v>
      </c>
      <c r="X121" s="49">
        <v>0.345595</v>
      </c>
      <c r="Y121" s="49">
        <v>0.16666666666666666</v>
      </c>
      <c r="Z121" s="49">
        <v>0</v>
      </c>
      <c r="AA121" s="73">
        <v>121</v>
      </c>
      <c r="AB121" s="73"/>
      <c r="AC121" s="74"/>
      <c r="AD121" s="80" t="s">
        <v>1321</v>
      </c>
      <c r="AE121" s="80" t="s">
        <v>1988</v>
      </c>
      <c r="AF121" s="80" t="s">
        <v>2517</v>
      </c>
      <c r="AG121" s="80" t="s">
        <v>3076</v>
      </c>
      <c r="AH121" s="80" t="s">
        <v>3732</v>
      </c>
      <c r="AI121" s="80">
        <v>4366</v>
      </c>
      <c r="AJ121" s="80">
        <v>5</v>
      </c>
      <c r="AK121" s="80">
        <v>52</v>
      </c>
      <c r="AL121" s="80">
        <v>3</v>
      </c>
      <c r="AM121" s="80" t="s">
        <v>4098</v>
      </c>
      <c r="AN121" s="96" t="str">
        <f>HYPERLINK("https://www.youtube.com/watch?v=uiD988ISE3o")</f>
        <v>https://www.youtube.com/watch?v=uiD988ISE3o</v>
      </c>
      <c r="AO121" s="80" t="str">
        <f>REPLACE(INDEX(GroupVertices[Group],MATCH(Vertices[[#This Row],[Vertex]],GroupVertices[Vertex],0)),1,1,"")</f>
        <v>4</v>
      </c>
      <c r="AP121" s="48">
        <v>0</v>
      </c>
      <c r="AQ121" s="49">
        <v>0</v>
      </c>
      <c r="AR121" s="48">
        <v>0</v>
      </c>
      <c r="AS121" s="49">
        <v>0</v>
      </c>
      <c r="AT121" s="48">
        <v>0</v>
      </c>
      <c r="AU121" s="49">
        <v>0</v>
      </c>
      <c r="AV121" s="48">
        <v>2</v>
      </c>
      <c r="AW121" s="49">
        <v>100</v>
      </c>
      <c r="AX121" s="48">
        <v>2</v>
      </c>
      <c r="AY121" s="48"/>
      <c r="AZ121" s="48"/>
      <c r="BA121" s="48"/>
      <c r="BB121" s="48"/>
      <c r="BC121" s="2"/>
      <c r="BD121" s="3"/>
      <c r="BE121" s="3"/>
      <c r="BF121" s="3"/>
      <c r="BG121" s="3"/>
    </row>
    <row r="122" spans="1:59" ht="15">
      <c r="A122" s="66" t="s">
        <v>808</v>
      </c>
      <c r="B122" s="67" t="s">
        <v>4456</v>
      </c>
      <c r="C122" s="67" t="s">
        <v>56</v>
      </c>
      <c r="D122" s="68">
        <v>76</v>
      </c>
      <c r="E122" s="70"/>
      <c r="F122" s="97" t="str">
        <f>HYPERLINK("https://i.ytimg.com/vi/bhSdyfBhbn8/default.jpg")</f>
        <v>https://i.ytimg.com/vi/bhSdyfBhbn8/default.jpg</v>
      </c>
      <c r="G122" s="67"/>
      <c r="H122" s="71" t="s">
        <v>1548</v>
      </c>
      <c r="I122" s="72"/>
      <c r="J122" s="72" t="s">
        <v>159</v>
      </c>
      <c r="K122" s="71" t="s">
        <v>1548</v>
      </c>
      <c r="L122" s="75">
        <v>667.5333333333333</v>
      </c>
      <c r="M122" s="76">
        <v>9522.9404296875</v>
      </c>
      <c r="N122" s="76">
        <v>8191.994140625</v>
      </c>
      <c r="O122" s="77"/>
      <c r="P122" s="78"/>
      <c r="Q122" s="78"/>
      <c r="R122" s="82"/>
      <c r="S122" s="48">
        <v>3</v>
      </c>
      <c r="T122" s="48">
        <v>0</v>
      </c>
      <c r="U122" s="49">
        <v>0.529889</v>
      </c>
      <c r="V122" s="49">
        <v>0.001499</v>
      </c>
      <c r="W122" s="49">
        <v>0.001234</v>
      </c>
      <c r="X122" s="49">
        <v>0.338095</v>
      </c>
      <c r="Y122" s="49">
        <v>0.3333333333333333</v>
      </c>
      <c r="Z122" s="49">
        <v>0</v>
      </c>
      <c r="AA122" s="73">
        <v>122</v>
      </c>
      <c r="AB122" s="73"/>
      <c r="AC122" s="74"/>
      <c r="AD122" s="80" t="s">
        <v>1548</v>
      </c>
      <c r="AE122" s="80"/>
      <c r="AF122" s="80"/>
      <c r="AG122" s="80" t="s">
        <v>2947</v>
      </c>
      <c r="AH122" s="80" t="s">
        <v>3962</v>
      </c>
      <c r="AI122" s="80">
        <v>7785</v>
      </c>
      <c r="AJ122" s="80">
        <v>17</v>
      </c>
      <c r="AK122" s="80">
        <v>50</v>
      </c>
      <c r="AL122" s="80">
        <v>0</v>
      </c>
      <c r="AM122" s="80" t="s">
        <v>4098</v>
      </c>
      <c r="AN122" s="96" t="str">
        <f>HYPERLINK("https://www.youtube.com/watch?v=bhSdyfBhbn8")</f>
        <v>https://www.youtube.com/watch?v=bhSdyfBhbn8</v>
      </c>
      <c r="AO122" s="80" t="str">
        <f>REPLACE(INDEX(GroupVertices[Group],MATCH(Vertices[[#This Row],[Vertex]],GroupVertices[Vertex],0)),1,1,"")</f>
        <v>3</v>
      </c>
      <c r="AP122" s="48"/>
      <c r="AQ122" s="49"/>
      <c r="AR122" s="48"/>
      <c r="AS122" s="49"/>
      <c r="AT122" s="48"/>
      <c r="AU122" s="49"/>
      <c r="AV122" s="48"/>
      <c r="AW122" s="49"/>
      <c r="AX122" s="48"/>
      <c r="AY122" s="48"/>
      <c r="AZ122" s="48"/>
      <c r="BA122" s="48"/>
      <c r="BB122" s="48"/>
      <c r="BC122" s="2"/>
      <c r="BD122" s="3"/>
      <c r="BE122" s="3"/>
      <c r="BF122" s="3"/>
      <c r="BG122" s="3"/>
    </row>
    <row r="123" spans="1:59" ht="15">
      <c r="A123" s="66" t="s">
        <v>735</v>
      </c>
      <c r="B123" s="67" t="s">
        <v>4456</v>
      </c>
      <c r="C123" s="67" t="s">
        <v>56</v>
      </c>
      <c r="D123" s="68">
        <v>76</v>
      </c>
      <c r="E123" s="70"/>
      <c r="F123" s="97" t="str">
        <f>HYPERLINK("https://i.ytimg.com/vi/WBICH_a-tQc/default.jpg")</f>
        <v>https://i.ytimg.com/vi/WBICH_a-tQc/default.jpg</v>
      </c>
      <c r="G123" s="67"/>
      <c r="H123" s="71" t="s">
        <v>1476</v>
      </c>
      <c r="I123" s="72"/>
      <c r="J123" s="72" t="s">
        <v>159</v>
      </c>
      <c r="K123" s="71" t="s">
        <v>1476</v>
      </c>
      <c r="L123" s="75">
        <v>667.5333333333333</v>
      </c>
      <c r="M123" s="76">
        <v>1094.11962890625</v>
      </c>
      <c r="N123" s="76">
        <v>3826.150390625</v>
      </c>
      <c r="O123" s="77"/>
      <c r="P123" s="78"/>
      <c r="Q123" s="78"/>
      <c r="R123" s="82"/>
      <c r="S123" s="48">
        <v>3</v>
      </c>
      <c r="T123" s="48">
        <v>0</v>
      </c>
      <c r="U123" s="49">
        <v>0.517913</v>
      </c>
      <c r="V123" s="49">
        <v>0.001451</v>
      </c>
      <c r="W123" s="49">
        <v>0.001207</v>
      </c>
      <c r="X123" s="49">
        <v>0.33536</v>
      </c>
      <c r="Y123" s="49">
        <v>0.16666666666666666</v>
      </c>
      <c r="Z123" s="49">
        <v>0</v>
      </c>
      <c r="AA123" s="73">
        <v>123</v>
      </c>
      <c r="AB123" s="73"/>
      <c r="AC123" s="74"/>
      <c r="AD123" s="80" t="s">
        <v>1476</v>
      </c>
      <c r="AE123" s="80"/>
      <c r="AF123" s="80" t="s">
        <v>1476</v>
      </c>
      <c r="AG123" s="80" t="s">
        <v>3128</v>
      </c>
      <c r="AH123" s="80" t="s">
        <v>3889</v>
      </c>
      <c r="AI123" s="80">
        <v>31896</v>
      </c>
      <c r="AJ123" s="80">
        <v>2</v>
      </c>
      <c r="AK123" s="80">
        <v>16</v>
      </c>
      <c r="AL123" s="80">
        <v>15</v>
      </c>
      <c r="AM123" s="80" t="s">
        <v>4098</v>
      </c>
      <c r="AN123" s="96" t="str">
        <f>HYPERLINK("https://www.youtube.com/watch?v=WBICH_a-tQc")</f>
        <v>https://www.youtube.com/watch?v=WBICH_a-tQc</v>
      </c>
      <c r="AO123" s="80" t="str">
        <f>REPLACE(INDEX(GroupVertices[Group],MATCH(Vertices[[#This Row],[Vertex]],GroupVertices[Vertex],0)),1,1,"")</f>
        <v>2</v>
      </c>
      <c r="AP123" s="48">
        <v>0</v>
      </c>
      <c r="AQ123" s="49">
        <v>0</v>
      </c>
      <c r="AR123" s="48">
        <v>0</v>
      </c>
      <c r="AS123" s="49">
        <v>0</v>
      </c>
      <c r="AT123" s="48">
        <v>0</v>
      </c>
      <c r="AU123" s="49">
        <v>0</v>
      </c>
      <c r="AV123" s="48">
        <v>6</v>
      </c>
      <c r="AW123" s="49">
        <v>100</v>
      </c>
      <c r="AX123" s="48">
        <v>6</v>
      </c>
      <c r="AY123" s="48"/>
      <c r="AZ123" s="48"/>
      <c r="BA123" s="48"/>
      <c r="BB123" s="48"/>
      <c r="BC123" s="2"/>
      <c r="BD123" s="3"/>
      <c r="BE123" s="3"/>
      <c r="BF123" s="3"/>
      <c r="BG123" s="3"/>
    </row>
    <row r="124" spans="1:59" ht="15">
      <c r="A124" s="66" t="s">
        <v>555</v>
      </c>
      <c r="B124" s="67" t="s">
        <v>4456</v>
      </c>
      <c r="C124" s="67" t="s">
        <v>56</v>
      </c>
      <c r="D124" s="68">
        <v>76</v>
      </c>
      <c r="E124" s="70"/>
      <c r="F124" s="97" t="str">
        <f>HYPERLINK("https://i.ytimg.com/vi/kIgRr-Sl9NY/default.jpg")</f>
        <v>https://i.ytimg.com/vi/kIgRr-Sl9NY/default.jpg</v>
      </c>
      <c r="G124" s="67"/>
      <c r="H124" s="71" t="s">
        <v>1289</v>
      </c>
      <c r="I124" s="72"/>
      <c r="J124" s="72" t="s">
        <v>159</v>
      </c>
      <c r="K124" s="71" t="s">
        <v>1289</v>
      </c>
      <c r="L124" s="75">
        <v>667.5333333333333</v>
      </c>
      <c r="M124" s="76">
        <v>7822.24658203125</v>
      </c>
      <c r="N124" s="76">
        <v>2095.985595703125</v>
      </c>
      <c r="O124" s="77"/>
      <c r="P124" s="78"/>
      <c r="Q124" s="78"/>
      <c r="R124" s="82"/>
      <c r="S124" s="48">
        <v>3</v>
      </c>
      <c r="T124" s="48">
        <v>0</v>
      </c>
      <c r="U124" s="49">
        <v>0.502723</v>
      </c>
      <c r="V124" s="49">
        <v>0.001468</v>
      </c>
      <c r="W124" s="49">
        <v>0.001093</v>
      </c>
      <c r="X124" s="49">
        <v>0.345042</v>
      </c>
      <c r="Y124" s="49">
        <v>0.3333333333333333</v>
      </c>
      <c r="Z124" s="49">
        <v>0</v>
      </c>
      <c r="AA124" s="73">
        <v>124</v>
      </c>
      <c r="AB124" s="73"/>
      <c r="AC124" s="74"/>
      <c r="AD124" s="80" t="s">
        <v>1289</v>
      </c>
      <c r="AE124" s="80" t="s">
        <v>1963</v>
      </c>
      <c r="AF124" s="80" t="s">
        <v>2569</v>
      </c>
      <c r="AG124" s="80" t="s">
        <v>3116</v>
      </c>
      <c r="AH124" s="80" t="s">
        <v>3701</v>
      </c>
      <c r="AI124" s="80">
        <v>104274</v>
      </c>
      <c r="AJ124" s="80">
        <v>5</v>
      </c>
      <c r="AK124" s="80">
        <v>509</v>
      </c>
      <c r="AL124" s="80">
        <v>9</v>
      </c>
      <c r="AM124" s="80" t="s">
        <v>4098</v>
      </c>
      <c r="AN124" s="96" t="str">
        <f>HYPERLINK("https://www.youtube.com/watch?v=kIgRr-Sl9NY")</f>
        <v>https://www.youtube.com/watch?v=kIgRr-Sl9NY</v>
      </c>
      <c r="AO124" s="80" t="str">
        <f>REPLACE(INDEX(GroupVertices[Group],MATCH(Vertices[[#This Row],[Vertex]],GroupVertices[Vertex],0)),1,1,"")</f>
        <v>4</v>
      </c>
      <c r="AP124" s="48">
        <v>0</v>
      </c>
      <c r="AQ124" s="49">
        <v>0</v>
      </c>
      <c r="AR124" s="48">
        <v>0</v>
      </c>
      <c r="AS124" s="49">
        <v>0</v>
      </c>
      <c r="AT124" s="48">
        <v>0</v>
      </c>
      <c r="AU124" s="49">
        <v>0</v>
      </c>
      <c r="AV124" s="48">
        <v>15</v>
      </c>
      <c r="AW124" s="49">
        <v>100</v>
      </c>
      <c r="AX124" s="48">
        <v>15</v>
      </c>
      <c r="AY124" s="48"/>
      <c r="AZ124" s="48"/>
      <c r="BA124" s="48"/>
      <c r="BB124" s="48"/>
      <c r="BC124" s="2"/>
      <c r="BD124" s="3"/>
      <c r="BE124" s="3"/>
      <c r="BF124" s="3"/>
      <c r="BG124" s="3"/>
    </row>
    <row r="125" spans="1:59" ht="15">
      <c r="A125" s="66" t="s">
        <v>732</v>
      </c>
      <c r="B125" s="67" t="s">
        <v>4456</v>
      </c>
      <c r="C125" s="67" t="s">
        <v>56</v>
      </c>
      <c r="D125" s="68">
        <v>76</v>
      </c>
      <c r="E125" s="70"/>
      <c r="F125" s="97" t="str">
        <f>HYPERLINK("https://i.ytimg.com/vi/_5sJWBkquU0/default.jpg")</f>
        <v>https://i.ytimg.com/vi/_5sJWBkquU0/default.jpg</v>
      </c>
      <c r="G125" s="67"/>
      <c r="H125" s="71" t="s">
        <v>1473</v>
      </c>
      <c r="I125" s="72"/>
      <c r="J125" s="72" t="s">
        <v>159</v>
      </c>
      <c r="K125" s="71" t="s">
        <v>1473</v>
      </c>
      <c r="L125" s="75">
        <v>667.5333333333333</v>
      </c>
      <c r="M125" s="76">
        <v>9750.6826171875</v>
      </c>
      <c r="N125" s="76">
        <v>1041.980224609375</v>
      </c>
      <c r="O125" s="77"/>
      <c r="P125" s="78"/>
      <c r="Q125" s="78"/>
      <c r="R125" s="82"/>
      <c r="S125" s="48">
        <v>3</v>
      </c>
      <c r="T125" s="48">
        <v>0</v>
      </c>
      <c r="U125" s="49">
        <v>0.49434</v>
      </c>
      <c r="V125" s="49">
        <v>0.001437</v>
      </c>
      <c r="W125" s="49">
        <v>0.001036</v>
      </c>
      <c r="X125" s="49">
        <v>0.336706</v>
      </c>
      <c r="Y125" s="49">
        <v>0.5</v>
      </c>
      <c r="Z125" s="49">
        <v>0</v>
      </c>
      <c r="AA125" s="73">
        <v>125</v>
      </c>
      <c r="AB125" s="73"/>
      <c r="AC125" s="74"/>
      <c r="AD125" s="80" t="s">
        <v>1473</v>
      </c>
      <c r="AE125" s="80" t="s">
        <v>2130</v>
      </c>
      <c r="AF125" s="80"/>
      <c r="AG125" s="80" t="s">
        <v>2999</v>
      </c>
      <c r="AH125" s="80" t="s">
        <v>3886</v>
      </c>
      <c r="AI125" s="80">
        <v>352</v>
      </c>
      <c r="AJ125" s="80">
        <v>0</v>
      </c>
      <c r="AK125" s="80">
        <v>1</v>
      </c>
      <c r="AL125" s="80">
        <v>0</v>
      </c>
      <c r="AM125" s="80" t="s">
        <v>4098</v>
      </c>
      <c r="AN125" s="96" t="str">
        <f>HYPERLINK("https://www.youtube.com/watch?v=_5sJWBkquU0")</f>
        <v>https://www.youtube.com/watch?v=_5sJWBkquU0</v>
      </c>
      <c r="AO125" s="80" t="str">
        <f>REPLACE(INDEX(GroupVertices[Group],MATCH(Vertices[[#This Row],[Vertex]],GroupVertices[Vertex],0)),1,1,"")</f>
        <v>4</v>
      </c>
      <c r="AP125" s="48"/>
      <c r="AQ125" s="49"/>
      <c r="AR125" s="48"/>
      <c r="AS125" s="49"/>
      <c r="AT125" s="48"/>
      <c r="AU125" s="49"/>
      <c r="AV125" s="48"/>
      <c r="AW125" s="49"/>
      <c r="AX125" s="48"/>
      <c r="AY125" s="48"/>
      <c r="AZ125" s="48"/>
      <c r="BA125" s="48"/>
      <c r="BB125" s="48"/>
      <c r="BC125" s="2"/>
      <c r="BD125" s="3"/>
      <c r="BE125" s="3"/>
      <c r="BF125" s="3"/>
      <c r="BG125" s="3"/>
    </row>
    <row r="126" spans="1:59" ht="15">
      <c r="A126" s="66" t="s">
        <v>507</v>
      </c>
      <c r="B126" s="67" t="s">
        <v>4456</v>
      </c>
      <c r="C126" s="67" t="s">
        <v>56</v>
      </c>
      <c r="D126" s="68">
        <v>54</v>
      </c>
      <c r="E126" s="70"/>
      <c r="F126" s="97" t="str">
        <f>HYPERLINK("https://i.ytimg.com/vi/mGfzlUpCpxw/default.jpg")</f>
        <v>https://i.ytimg.com/vi/mGfzlUpCpxw/default.jpg</v>
      </c>
      <c r="G126" s="67"/>
      <c r="H126" s="71" t="s">
        <v>1223</v>
      </c>
      <c r="I126" s="72"/>
      <c r="J126" s="72" t="s">
        <v>159</v>
      </c>
      <c r="K126" s="71" t="s">
        <v>1223</v>
      </c>
      <c r="L126" s="75">
        <v>445.35555555555555</v>
      </c>
      <c r="M126" s="76">
        <v>7005.4013671875</v>
      </c>
      <c r="N126" s="76">
        <v>4050.406494140625</v>
      </c>
      <c r="O126" s="77"/>
      <c r="P126" s="78"/>
      <c r="Q126" s="78"/>
      <c r="R126" s="82"/>
      <c r="S126" s="48">
        <v>2</v>
      </c>
      <c r="T126" s="48">
        <v>0</v>
      </c>
      <c r="U126" s="49">
        <v>0.440139</v>
      </c>
      <c r="V126" s="49">
        <v>0.001391</v>
      </c>
      <c r="W126" s="49">
        <v>0.000673</v>
      </c>
      <c r="X126" s="49">
        <v>0.277897</v>
      </c>
      <c r="Y126" s="49">
        <v>0</v>
      </c>
      <c r="Z126" s="49">
        <v>0</v>
      </c>
      <c r="AA126" s="73">
        <v>126</v>
      </c>
      <c r="AB126" s="73"/>
      <c r="AC126" s="74"/>
      <c r="AD126" s="80" t="s">
        <v>1223</v>
      </c>
      <c r="AE126" s="80" t="s">
        <v>1906</v>
      </c>
      <c r="AF126" s="80" t="s">
        <v>2517</v>
      </c>
      <c r="AG126" s="80" t="s">
        <v>3076</v>
      </c>
      <c r="AH126" s="80" t="s">
        <v>3635</v>
      </c>
      <c r="AI126" s="80">
        <v>184</v>
      </c>
      <c r="AJ126" s="80">
        <v>0</v>
      </c>
      <c r="AK126" s="80">
        <v>2</v>
      </c>
      <c r="AL126" s="80">
        <v>0</v>
      </c>
      <c r="AM126" s="80" t="s">
        <v>4098</v>
      </c>
      <c r="AN126" s="96" t="str">
        <f>HYPERLINK("https://www.youtube.com/watch?v=mGfzlUpCpxw")</f>
        <v>https://www.youtube.com/watch?v=mGfzlUpCpxw</v>
      </c>
      <c r="AO126" s="80" t="str">
        <f>REPLACE(INDEX(GroupVertices[Group],MATCH(Vertices[[#This Row],[Vertex]],GroupVertices[Vertex],0)),1,1,"")</f>
        <v>4</v>
      </c>
      <c r="AP126" s="48">
        <v>0</v>
      </c>
      <c r="AQ126" s="49">
        <v>0</v>
      </c>
      <c r="AR126" s="48">
        <v>0</v>
      </c>
      <c r="AS126" s="49">
        <v>0</v>
      </c>
      <c r="AT126" s="48">
        <v>0</v>
      </c>
      <c r="AU126" s="49">
        <v>0</v>
      </c>
      <c r="AV126" s="48">
        <v>2</v>
      </c>
      <c r="AW126" s="49">
        <v>100</v>
      </c>
      <c r="AX126" s="48">
        <v>2</v>
      </c>
      <c r="AY126" s="48"/>
      <c r="AZ126" s="48"/>
      <c r="BA126" s="48"/>
      <c r="BB126" s="48"/>
      <c r="BC126" s="2"/>
      <c r="BD126" s="3"/>
      <c r="BE126" s="3"/>
      <c r="BF126" s="3"/>
      <c r="BG126" s="3"/>
    </row>
    <row r="127" spans="1:59" ht="15">
      <c r="A127" s="66" t="s">
        <v>614</v>
      </c>
      <c r="B127" s="67" t="s">
        <v>4456</v>
      </c>
      <c r="C127" s="67" t="s">
        <v>64</v>
      </c>
      <c r="D127" s="68">
        <v>208</v>
      </c>
      <c r="E127" s="70"/>
      <c r="F127" s="97" t="str">
        <f>HYPERLINK("https://i.ytimg.com/vi/l0hs2pHq1vQ/default.jpg")</f>
        <v>https://i.ytimg.com/vi/l0hs2pHq1vQ/default.jpg</v>
      </c>
      <c r="G127" s="67"/>
      <c r="H127" s="71" t="s">
        <v>1354</v>
      </c>
      <c r="I127" s="72"/>
      <c r="J127" s="72" t="s">
        <v>75</v>
      </c>
      <c r="K127" s="71" t="s">
        <v>1354</v>
      </c>
      <c r="L127" s="75">
        <v>2000.6</v>
      </c>
      <c r="M127" s="76">
        <v>4643.55029296875</v>
      </c>
      <c r="N127" s="76">
        <v>1758.6510009765625</v>
      </c>
      <c r="O127" s="77"/>
      <c r="P127" s="78"/>
      <c r="Q127" s="78"/>
      <c r="R127" s="82"/>
      <c r="S127" s="48">
        <v>9</v>
      </c>
      <c r="T127" s="48">
        <v>0</v>
      </c>
      <c r="U127" s="49">
        <v>0.432507</v>
      </c>
      <c r="V127" s="49">
        <v>0.001553</v>
      </c>
      <c r="W127" s="49">
        <v>0.003749</v>
      </c>
      <c r="X127" s="49">
        <v>0.68273</v>
      </c>
      <c r="Y127" s="49">
        <v>0.75</v>
      </c>
      <c r="Z127" s="49">
        <v>0</v>
      </c>
      <c r="AA127" s="73">
        <v>127</v>
      </c>
      <c r="AB127" s="73"/>
      <c r="AC127" s="74"/>
      <c r="AD127" s="80" t="s">
        <v>1354</v>
      </c>
      <c r="AE127" s="80" t="s">
        <v>2020</v>
      </c>
      <c r="AF127" s="80" t="s">
        <v>2618</v>
      </c>
      <c r="AG127" s="80" t="s">
        <v>3160</v>
      </c>
      <c r="AH127" s="80" t="s">
        <v>3766</v>
      </c>
      <c r="AI127" s="80">
        <v>435</v>
      </c>
      <c r="AJ127" s="80">
        <v>0</v>
      </c>
      <c r="AK127" s="80">
        <v>2</v>
      </c>
      <c r="AL127" s="80">
        <v>1</v>
      </c>
      <c r="AM127" s="80" t="s">
        <v>4098</v>
      </c>
      <c r="AN127" s="96" t="str">
        <f>HYPERLINK("https://www.youtube.com/watch?v=l0hs2pHq1vQ")</f>
        <v>https://www.youtube.com/watch?v=l0hs2pHq1vQ</v>
      </c>
      <c r="AO127" s="80" t="str">
        <f>REPLACE(INDEX(GroupVertices[Group],MATCH(Vertices[[#This Row],[Vertex]],GroupVertices[Vertex],0)),1,1,"")</f>
        <v>2</v>
      </c>
      <c r="AP127" s="48">
        <v>0</v>
      </c>
      <c r="AQ127" s="49">
        <v>0</v>
      </c>
      <c r="AR127" s="48">
        <v>0</v>
      </c>
      <c r="AS127" s="49">
        <v>0</v>
      </c>
      <c r="AT127" s="48">
        <v>0</v>
      </c>
      <c r="AU127" s="49">
        <v>0</v>
      </c>
      <c r="AV127" s="48">
        <v>2</v>
      </c>
      <c r="AW127" s="49">
        <v>100</v>
      </c>
      <c r="AX127" s="48">
        <v>2</v>
      </c>
      <c r="AY127" s="48"/>
      <c r="AZ127" s="48"/>
      <c r="BA127" s="48"/>
      <c r="BB127" s="48"/>
      <c r="BC127" s="2"/>
      <c r="BD127" s="3"/>
      <c r="BE127" s="3"/>
      <c r="BF127" s="3"/>
      <c r="BG127" s="3"/>
    </row>
    <row r="128" spans="1:59" ht="15">
      <c r="A128" s="66" t="s">
        <v>509</v>
      </c>
      <c r="B128" s="67" t="s">
        <v>4456</v>
      </c>
      <c r="C128" s="67" t="s">
        <v>56</v>
      </c>
      <c r="D128" s="68">
        <v>120</v>
      </c>
      <c r="E128" s="70"/>
      <c r="F128" s="97" t="str">
        <f>HYPERLINK("https://i.ytimg.com/vi/GtRL4MfpJ9k/default.jpg")</f>
        <v>https://i.ytimg.com/vi/GtRL4MfpJ9k/default.jpg</v>
      </c>
      <c r="G128" s="67"/>
      <c r="H128" s="71" t="s">
        <v>1228</v>
      </c>
      <c r="I128" s="72"/>
      <c r="J128" s="72" t="s">
        <v>159</v>
      </c>
      <c r="K128" s="71" t="s">
        <v>1228</v>
      </c>
      <c r="L128" s="75">
        <v>1111.888888888889</v>
      </c>
      <c r="M128" s="76">
        <v>1759.2877197265625</v>
      </c>
      <c r="N128" s="76">
        <v>697.7313842773438</v>
      </c>
      <c r="O128" s="77"/>
      <c r="P128" s="78"/>
      <c r="Q128" s="78"/>
      <c r="R128" s="82"/>
      <c r="S128" s="48">
        <v>5</v>
      </c>
      <c r="T128" s="48">
        <v>0</v>
      </c>
      <c r="U128" s="49">
        <v>0.421142</v>
      </c>
      <c r="V128" s="49">
        <v>0.001439</v>
      </c>
      <c r="W128" s="49">
        <v>0.001811</v>
      </c>
      <c r="X128" s="49">
        <v>0.45251</v>
      </c>
      <c r="Y128" s="49">
        <v>0.7</v>
      </c>
      <c r="Z128" s="49">
        <v>0</v>
      </c>
      <c r="AA128" s="73">
        <v>128</v>
      </c>
      <c r="AB128" s="73"/>
      <c r="AC128" s="74"/>
      <c r="AD128" s="80" t="s">
        <v>1228</v>
      </c>
      <c r="AE128" s="80" t="s">
        <v>1911</v>
      </c>
      <c r="AF128" s="80" t="s">
        <v>2521</v>
      </c>
      <c r="AG128" s="80" t="s">
        <v>2905</v>
      </c>
      <c r="AH128" s="80" t="s">
        <v>3640</v>
      </c>
      <c r="AI128" s="80">
        <v>165</v>
      </c>
      <c r="AJ128" s="80">
        <v>0</v>
      </c>
      <c r="AK128" s="80">
        <v>0</v>
      </c>
      <c r="AL128" s="80">
        <v>0</v>
      </c>
      <c r="AM128" s="80" t="s">
        <v>4098</v>
      </c>
      <c r="AN128" s="96" t="str">
        <f>HYPERLINK("https://www.youtube.com/watch?v=GtRL4MfpJ9k")</f>
        <v>https://www.youtube.com/watch?v=GtRL4MfpJ9k</v>
      </c>
      <c r="AO128" s="80" t="str">
        <f>REPLACE(INDEX(GroupVertices[Group],MATCH(Vertices[[#This Row],[Vertex]],GroupVertices[Vertex],0)),1,1,"")</f>
        <v>2</v>
      </c>
      <c r="AP128" s="48">
        <v>0</v>
      </c>
      <c r="AQ128" s="49">
        <v>0</v>
      </c>
      <c r="AR128" s="48">
        <v>0</v>
      </c>
      <c r="AS128" s="49">
        <v>0</v>
      </c>
      <c r="AT128" s="48">
        <v>0</v>
      </c>
      <c r="AU128" s="49">
        <v>0</v>
      </c>
      <c r="AV128" s="48">
        <v>12</v>
      </c>
      <c r="AW128" s="49">
        <v>100</v>
      </c>
      <c r="AX128" s="48">
        <v>12</v>
      </c>
      <c r="AY128" s="48"/>
      <c r="AZ128" s="48"/>
      <c r="BA128" s="48"/>
      <c r="BB128" s="48"/>
      <c r="BC128" s="2"/>
      <c r="BD128" s="3"/>
      <c r="BE128" s="3"/>
      <c r="BF128" s="3"/>
      <c r="BG128" s="3"/>
    </row>
    <row r="129" spans="1:59" ht="15">
      <c r="A129" s="66" t="s">
        <v>756</v>
      </c>
      <c r="B129" s="67" t="s">
        <v>4456</v>
      </c>
      <c r="C129" s="67" t="s">
        <v>56</v>
      </c>
      <c r="D129" s="68">
        <v>54</v>
      </c>
      <c r="E129" s="70"/>
      <c r="F129" s="97" t="str">
        <f>HYPERLINK("https://i.ytimg.com/vi/ky2xq_JGE2U/default.jpg")</f>
        <v>https://i.ytimg.com/vi/ky2xq_JGE2U/default.jpg</v>
      </c>
      <c r="G129" s="67"/>
      <c r="H129" s="71" t="s">
        <v>1496</v>
      </c>
      <c r="I129" s="72"/>
      <c r="J129" s="72" t="s">
        <v>159</v>
      </c>
      <c r="K129" s="71" t="s">
        <v>1496</v>
      </c>
      <c r="L129" s="75">
        <v>445.35555555555555</v>
      </c>
      <c r="M129" s="76">
        <v>9276.6416015625</v>
      </c>
      <c r="N129" s="76">
        <v>407.45709228515625</v>
      </c>
      <c r="O129" s="77"/>
      <c r="P129" s="78"/>
      <c r="Q129" s="78"/>
      <c r="R129" s="82"/>
      <c r="S129" s="48">
        <v>2</v>
      </c>
      <c r="T129" s="48">
        <v>0</v>
      </c>
      <c r="U129" s="49">
        <v>0.389376</v>
      </c>
      <c r="V129" s="49">
        <v>0.001393</v>
      </c>
      <c r="W129" s="49">
        <v>0.000526</v>
      </c>
      <c r="X129" s="49">
        <v>0.281406</v>
      </c>
      <c r="Y129" s="49">
        <v>0</v>
      </c>
      <c r="Z129" s="49">
        <v>0</v>
      </c>
      <c r="AA129" s="73">
        <v>129</v>
      </c>
      <c r="AB129" s="73"/>
      <c r="AC129" s="74"/>
      <c r="AD129" s="80" t="s">
        <v>1496</v>
      </c>
      <c r="AE129" s="80" t="s">
        <v>2151</v>
      </c>
      <c r="AF129" s="80"/>
      <c r="AG129" s="80" t="s">
        <v>3262</v>
      </c>
      <c r="AH129" s="80" t="s">
        <v>3910</v>
      </c>
      <c r="AI129" s="80">
        <v>3837</v>
      </c>
      <c r="AJ129" s="80">
        <v>5</v>
      </c>
      <c r="AK129" s="80">
        <v>6</v>
      </c>
      <c r="AL129" s="80">
        <v>0</v>
      </c>
      <c r="AM129" s="80" t="s">
        <v>4098</v>
      </c>
      <c r="AN129" s="96" t="str">
        <f>HYPERLINK("https://www.youtube.com/watch?v=ky2xq_JGE2U")</f>
        <v>https://www.youtube.com/watch?v=ky2xq_JGE2U</v>
      </c>
      <c r="AO129" s="80" t="str">
        <f>REPLACE(INDEX(GroupVertices[Group],MATCH(Vertices[[#This Row],[Vertex]],GroupVertices[Vertex],0)),1,1,"")</f>
        <v>4</v>
      </c>
      <c r="AP129" s="48"/>
      <c r="AQ129" s="49"/>
      <c r="AR129" s="48"/>
      <c r="AS129" s="49"/>
      <c r="AT129" s="48"/>
      <c r="AU129" s="49"/>
      <c r="AV129" s="48"/>
      <c r="AW129" s="49"/>
      <c r="AX129" s="48"/>
      <c r="AY129" s="48"/>
      <c r="AZ129" s="48"/>
      <c r="BA129" s="48"/>
      <c r="BB129" s="48"/>
      <c r="BC129" s="2"/>
      <c r="BD129" s="3"/>
      <c r="BE129" s="3"/>
      <c r="BF129" s="3"/>
      <c r="BG129" s="3"/>
    </row>
    <row r="130" spans="1:59" ht="15">
      <c r="A130" s="66" t="s">
        <v>596</v>
      </c>
      <c r="B130" s="67" t="s">
        <v>4456</v>
      </c>
      <c r="C130" s="67" t="s">
        <v>56</v>
      </c>
      <c r="D130" s="68">
        <v>54</v>
      </c>
      <c r="E130" s="70"/>
      <c r="F130" s="97" t="str">
        <f>HYPERLINK("https://i.ytimg.com/vi/Axzzst4j2ZY/default.jpg")</f>
        <v>https://i.ytimg.com/vi/Axzzst4j2ZY/default.jpg</v>
      </c>
      <c r="G130" s="67"/>
      <c r="H130" s="71" t="s">
        <v>1332</v>
      </c>
      <c r="I130" s="72"/>
      <c r="J130" s="72" t="s">
        <v>159</v>
      </c>
      <c r="K130" s="71" t="s">
        <v>1332</v>
      </c>
      <c r="L130" s="75">
        <v>445.35555555555555</v>
      </c>
      <c r="M130" s="76">
        <v>3936.1416015625</v>
      </c>
      <c r="N130" s="76">
        <v>8834.4814453125</v>
      </c>
      <c r="O130" s="77"/>
      <c r="P130" s="78"/>
      <c r="Q130" s="78"/>
      <c r="R130" s="82"/>
      <c r="S130" s="48">
        <v>2</v>
      </c>
      <c r="T130" s="48">
        <v>0</v>
      </c>
      <c r="U130" s="49">
        <v>0.349975</v>
      </c>
      <c r="V130" s="49">
        <v>0.001431</v>
      </c>
      <c r="W130" s="49">
        <v>0.000686</v>
      </c>
      <c r="X130" s="49">
        <v>0.276559</v>
      </c>
      <c r="Y130" s="49">
        <v>0</v>
      </c>
      <c r="Z130" s="49">
        <v>0</v>
      </c>
      <c r="AA130" s="73">
        <v>130</v>
      </c>
      <c r="AB130" s="73"/>
      <c r="AC130" s="74"/>
      <c r="AD130" s="80" t="s">
        <v>1332</v>
      </c>
      <c r="AE130" s="80" t="s">
        <v>1999</v>
      </c>
      <c r="AF130" s="80" t="s">
        <v>2600</v>
      </c>
      <c r="AG130" s="80" t="s">
        <v>3144</v>
      </c>
      <c r="AH130" s="80" t="s">
        <v>3743</v>
      </c>
      <c r="AI130" s="80">
        <v>1150751</v>
      </c>
      <c r="AJ130" s="80">
        <v>14828</v>
      </c>
      <c r="AK130" s="80">
        <v>95062</v>
      </c>
      <c r="AL130" s="80">
        <v>3149</v>
      </c>
      <c r="AM130" s="80" t="s">
        <v>4098</v>
      </c>
      <c r="AN130" s="96" t="str">
        <f>HYPERLINK("https://www.youtube.com/watch?v=Axzzst4j2ZY")</f>
        <v>https://www.youtube.com/watch?v=Axzzst4j2ZY</v>
      </c>
      <c r="AO130" s="80" t="str">
        <f>REPLACE(INDEX(GroupVertices[Group],MATCH(Vertices[[#This Row],[Vertex]],GroupVertices[Vertex],0)),1,1,"")</f>
        <v>1</v>
      </c>
      <c r="AP130" s="48">
        <v>4</v>
      </c>
      <c r="AQ130" s="49">
        <v>13.793103448275861</v>
      </c>
      <c r="AR130" s="48">
        <v>4</v>
      </c>
      <c r="AS130" s="49">
        <v>13.793103448275861</v>
      </c>
      <c r="AT130" s="48">
        <v>0</v>
      </c>
      <c r="AU130" s="49">
        <v>0</v>
      </c>
      <c r="AV130" s="48">
        <v>21</v>
      </c>
      <c r="AW130" s="49">
        <v>72.41379310344827</v>
      </c>
      <c r="AX130" s="48">
        <v>29</v>
      </c>
      <c r="AY130" s="48"/>
      <c r="AZ130" s="48"/>
      <c r="BA130" s="48"/>
      <c r="BB130" s="48"/>
      <c r="BC130" s="2"/>
      <c r="BD130" s="3"/>
      <c r="BE130" s="3"/>
      <c r="BF130" s="3"/>
      <c r="BG130" s="3"/>
    </row>
    <row r="131" spans="1:59" ht="15">
      <c r="A131" s="66" t="s">
        <v>577</v>
      </c>
      <c r="B131" s="67" t="s">
        <v>4456</v>
      </c>
      <c r="C131" s="67" t="s">
        <v>56</v>
      </c>
      <c r="D131" s="68">
        <v>54</v>
      </c>
      <c r="E131" s="70"/>
      <c r="F131" s="97" t="str">
        <f>HYPERLINK("https://i.ytimg.com/vi/Zo6gNqyJnMw/default.jpg")</f>
        <v>https://i.ytimg.com/vi/Zo6gNqyJnMw/default.jpg</v>
      </c>
      <c r="G131" s="67"/>
      <c r="H131" s="71" t="s">
        <v>1312</v>
      </c>
      <c r="I131" s="72"/>
      <c r="J131" s="72" t="s">
        <v>159</v>
      </c>
      <c r="K131" s="71" t="s">
        <v>1312</v>
      </c>
      <c r="L131" s="75">
        <v>445.35555555555555</v>
      </c>
      <c r="M131" s="76">
        <v>7119.138671875</v>
      </c>
      <c r="N131" s="76">
        <v>1109.0115966796875</v>
      </c>
      <c r="O131" s="77"/>
      <c r="P131" s="78"/>
      <c r="Q131" s="78"/>
      <c r="R131" s="82"/>
      <c r="S131" s="48">
        <v>2</v>
      </c>
      <c r="T131" s="48">
        <v>0</v>
      </c>
      <c r="U131" s="49">
        <v>0.339655</v>
      </c>
      <c r="V131" s="49">
        <v>0.001451</v>
      </c>
      <c r="W131" s="49">
        <v>0.000714</v>
      </c>
      <c r="X131" s="49">
        <v>0.279665</v>
      </c>
      <c r="Y131" s="49">
        <v>0</v>
      </c>
      <c r="Z131" s="49">
        <v>0</v>
      </c>
      <c r="AA131" s="73">
        <v>131</v>
      </c>
      <c r="AB131" s="73"/>
      <c r="AC131" s="74"/>
      <c r="AD131" s="80" t="s">
        <v>1312</v>
      </c>
      <c r="AE131" s="80" t="s">
        <v>1980</v>
      </c>
      <c r="AF131" s="80" t="s">
        <v>2583</v>
      </c>
      <c r="AG131" s="80" t="s">
        <v>3126</v>
      </c>
      <c r="AH131" s="80" t="s">
        <v>3723</v>
      </c>
      <c r="AI131" s="80">
        <v>479</v>
      </c>
      <c r="AJ131" s="80">
        <v>0</v>
      </c>
      <c r="AK131" s="80">
        <v>2</v>
      </c>
      <c r="AL131" s="80">
        <v>1</v>
      </c>
      <c r="AM131" s="80" t="s">
        <v>4098</v>
      </c>
      <c r="AN131" s="96" t="str">
        <f>HYPERLINK("https://www.youtube.com/watch?v=Zo6gNqyJnMw")</f>
        <v>https://www.youtube.com/watch?v=Zo6gNqyJnMw</v>
      </c>
      <c r="AO131" s="80" t="str">
        <f>REPLACE(INDEX(GroupVertices[Group],MATCH(Vertices[[#This Row],[Vertex]],GroupVertices[Vertex],0)),1,1,"")</f>
        <v>4</v>
      </c>
      <c r="AP131" s="48">
        <v>0</v>
      </c>
      <c r="AQ131" s="49">
        <v>0</v>
      </c>
      <c r="AR131" s="48">
        <v>0</v>
      </c>
      <c r="AS131" s="49">
        <v>0</v>
      </c>
      <c r="AT131" s="48">
        <v>0</v>
      </c>
      <c r="AU131" s="49">
        <v>0</v>
      </c>
      <c r="AV131" s="48">
        <v>7</v>
      </c>
      <c r="AW131" s="49">
        <v>100</v>
      </c>
      <c r="AX131" s="48">
        <v>7</v>
      </c>
      <c r="AY131" s="48"/>
      <c r="AZ131" s="48"/>
      <c r="BA131" s="48"/>
      <c r="BB131" s="48"/>
      <c r="BC131" s="2"/>
      <c r="BD131" s="3"/>
      <c r="BE131" s="3"/>
      <c r="BF131" s="3"/>
      <c r="BG131" s="3"/>
    </row>
    <row r="132" spans="1:59" ht="15">
      <c r="A132" s="66" t="s">
        <v>723</v>
      </c>
      <c r="B132" s="67" t="s">
        <v>4456</v>
      </c>
      <c r="C132" s="67" t="s">
        <v>56</v>
      </c>
      <c r="D132" s="68">
        <v>76</v>
      </c>
      <c r="E132" s="70"/>
      <c r="F132" s="97" t="str">
        <f>HYPERLINK("https://i.ytimg.com/vi/9bat12gH3Qs/default.jpg")</f>
        <v>https://i.ytimg.com/vi/9bat12gH3Qs/default.jpg</v>
      </c>
      <c r="G132" s="67"/>
      <c r="H132" s="71" t="s">
        <v>1464</v>
      </c>
      <c r="I132" s="72"/>
      <c r="J132" s="72" t="s">
        <v>159</v>
      </c>
      <c r="K132" s="71" t="s">
        <v>1464</v>
      </c>
      <c r="L132" s="75">
        <v>667.5333333333333</v>
      </c>
      <c r="M132" s="76">
        <v>6446.18310546875</v>
      </c>
      <c r="N132" s="76">
        <v>8495.966796875</v>
      </c>
      <c r="O132" s="77"/>
      <c r="P132" s="78"/>
      <c r="Q132" s="78"/>
      <c r="R132" s="82"/>
      <c r="S132" s="48">
        <v>3</v>
      </c>
      <c r="T132" s="48">
        <v>0</v>
      </c>
      <c r="U132" s="49">
        <v>0.299465</v>
      </c>
      <c r="V132" s="49">
        <v>0.001406</v>
      </c>
      <c r="W132" s="49">
        <v>0.000734</v>
      </c>
      <c r="X132" s="49">
        <v>0.348224</v>
      </c>
      <c r="Y132" s="49">
        <v>0.3333333333333333</v>
      </c>
      <c r="Z132" s="49">
        <v>0</v>
      </c>
      <c r="AA132" s="73">
        <v>132</v>
      </c>
      <c r="AB132" s="73"/>
      <c r="AC132" s="74"/>
      <c r="AD132" s="80" t="s">
        <v>1464</v>
      </c>
      <c r="AE132" s="80" t="s">
        <v>2121</v>
      </c>
      <c r="AF132" s="80" t="s">
        <v>2711</v>
      </c>
      <c r="AG132" s="80" t="s">
        <v>3239</v>
      </c>
      <c r="AH132" s="80" t="s">
        <v>3877</v>
      </c>
      <c r="AI132" s="80">
        <v>628986</v>
      </c>
      <c r="AJ132" s="80">
        <v>96</v>
      </c>
      <c r="AK132" s="80">
        <v>755</v>
      </c>
      <c r="AL132" s="80">
        <v>75</v>
      </c>
      <c r="AM132" s="80" t="s">
        <v>4098</v>
      </c>
      <c r="AN132" s="96" t="str">
        <f>HYPERLINK("https://www.youtube.com/watch?v=9bat12gH3Qs")</f>
        <v>https://www.youtube.com/watch?v=9bat12gH3Qs</v>
      </c>
      <c r="AO132" s="80" t="str">
        <f>REPLACE(INDEX(GroupVertices[Group],MATCH(Vertices[[#This Row],[Vertex]],GroupVertices[Vertex],0)),1,1,"")</f>
        <v>3</v>
      </c>
      <c r="AP132" s="48">
        <v>2</v>
      </c>
      <c r="AQ132" s="49">
        <v>33.333333333333336</v>
      </c>
      <c r="AR132" s="48">
        <v>0</v>
      </c>
      <c r="AS132" s="49">
        <v>0</v>
      </c>
      <c r="AT132" s="48">
        <v>0</v>
      </c>
      <c r="AU132" s="49">
        <v>0</v>
      </c>
      <c r="AV132" s="48">
        <v>4</v>
      </c>
      <c r="AW132" s="49">
        <v>66.66666666666667</v>
      </c>
      <c r="AX132" s="48">
        <v>6</v>
      </c>
      <c r="AY132" s="48"/>
      <c r="AZ132" s="48"/>
      <c r="BA132" s="48"/>
      <c r="BB132" s="48"/>
      <c r="BC132" s="2"/>
      <c r="BD132" s="3"/>
      <c r="BE132" s="3"/>
      <c r="BF132" s="3"/>
      <c r="BG132" s="3"/>
    </row>
    <row r="133" spans="1:59" ht="15">
      <c r="A133" s="66" t="s">
        <v>734</v>
      </c>
      <c r="B133" s="67" t="s">
        <v>4456</v>
      </c>
      <c r="C133" s="67" t="s">
        <v>56</v>
      </c>
      <c r="D133" s="68">
        <v>76</v>
      </c>
      <c r="E133" s="70"/>
      <c r="F133" s="97" t="str">
        <f>HYPERLINK("https://i.ytimg.com/vi/VTbuvkaPGxE/default.jpg")</f>
        <v>https://i.ytimg.com/vi/VTbuvkaPGxE/default.jpg</v>
      </c>
      <c r="G133" s="67"/>
      <c r="H133" s="71" t="s">
        <v>1475</v>
      </c>
      <c r="I133" s="72"/>
      <c r="J133" s="72" t="s">
        <v>159</v>
      </c>
      <c r="K133" s="71" t="s">
        <v>1475</v>
      </c>
      <c r="L133" s="75">
        <v>667.5333333333333</v>
      </c>
      <c r="M133" s="76">
        <v>4677.68505859375</v>
      </c>
      <c r="N133" s="76">
        <v>5983.78759765625</v>
      </c>
      <c r="O133" s="77"/>
      <c r="P133" s="78"/>
      <c r="Q133" s="78"/>
      <c r="R133" s="82"/>
      <c r="S133" s="48">
        <v>3</v>
      </c>
      <c r="T133" s="48">
        <v>0</v>
      </c>
      <c r="U133" s="49">
        <v>0.299465</v>
      </c>
      <c r="V133" s="49">
        <v>0.001477</v>
      </c>
      <c r="W133" s="49">
        <v>0.000954</v>
      </c>
      <c r="X133" s="49">
        <v>0.346074</v>
      </c>
      <c r="Y133" s="49">
        <v>0.3333333333333333</v>
      </c>
      <c r="Z133" s="49">
        <v>0</v>
      </c>
      <c r="AA133" s="73">
        <v>133</v>
      </c>
      <c r="AB133" s="73"/>
      <c r="AC133" s="74"/>
      <c r="AD133" s="80" t="s">
        <v>1475</v>
      </c>
      <c r="AE133" s="80" t="s">
        <v>2132</v>
      </c>
      <c r="AF133" s="80" t="s">
        <v>2720</v>
      </c>
      <c r="AG133" s="80" t="s">
        <v>3245</v>
      </c>
      <c r="AH133" s="80" t="s">
        <v>3888</v>
      </c>
      <c r="AI133" s="80">
        <v>35036</v>
      </c>
      <c r="AJ133" s="80">
        <v>16</v>
      </c>
      <c r="AK133" s="80">
        <v>95</v>
      </c>
      <c r="AL133" s="80">
        <v>7</v>
      </c>
      <c r="AM133" s="80" t="s">
        <v>4098</v>
      </c>
      <c r="AN133" s="96" t="str">
        <f>HYPERLINK("https://www.youtube.com/watch?v=VTbuvkaPGxE")</f>
        <v>https://www.youtube.com/watch?v=VTbuvkaPGxE</v>
      </c>
      <c r="AO133" s="80" t="str">
        <f>REPLACE(INDEX(GroupVertices[Group],MATCH(Vertices[[#This Row],[Vertex]],GroupVertices[Vertex],0)),1,1,"")</f>
        <v>1</v>
      </c>
      <c r="AP133" s="48">
        <v>0</v>
      </c>
      <c r="AQ133" s="49">
        <v>0</v>
      </c>
      <c r="AR133" s="48">
        <v>0</v>
      </c>
      <c r="AS133" s="49">
        <v>0</v>
      </c>
      <c r="AT133" s="48">
        <v>0</v>
      </c>
      <c r="AU133" s="49">
        <v>0</v>
      </c>
      <c r="AV133" s="48">
        <v>4</v>
      </c>
      <c r="AW133" s="49">
        <v>100</v>
      </c>
      <c r="AX133" s="48">
        <v>4</v>
      </c>
      <c r="AY133" s="48"/>
      <c r="AZ133" s="48"/>
      <c r="BA133" s="48"/>
      <c r="BB133" s="48"/>
      <c r="BC133" s="2"/>
      <c r="BD133" s="3"/>
      <c r="BE133" s="3"/>
      <c r="BF133" s="3"/>
      <c r="BG133" s="3"/>
    </row>
    <row r="134" spans="1:59" ht="15">
      <c r="A134" s="66" t="s">
        <v>705</v>
      </c>
      <c r="B134" s="67" t="s">
        <v>4456</v>
      </c>
      <c r="C134" s="67" t="s">
        <v>56</v>
      </c>
      <c r="D134" s="68">
        <v>54</v>
      </c>
      <c r="E134" s="70"/>
      <c r="F134" s="97" t="str">
        <f>HYPERLINK("https://i.ytimg.com/vi/o-Vl4LaSQ2Y/default.jpg")</f>
        <v>https://i.ytimg.com/vi/o-Vl4LaSQ2Y/default.jpg</v>
      </c>
      <c r="G134" s="67"/>
      <c r="H134" s="71" t="s">
        <v>1446</v>
      </c>
      <c r="I134" s="72"/>
      <c r="J134" s="72" t="s">
        <v>159</v>
      </c>
      <c r="K134" s="71" t="s">
        <v>1446</v>
      </c>
      <c r="L134" s="75">
        <v>445.35555555555555</v>
      </c>
      <c r="M134" s="76">
        <v>7170.89111328125</v>
      </c>
      <c r="N134" s="76">
        <v>9854.505859375</v>
      </c>
      <c r="O134" s="77"/>
      <c r="P134" s="78"/>
      <c r="Q134" s="78"/>
      <c r="R134" s="82"/>
      <c r="S134" s="48">
        <v>2</v>
      </c>
      <c r="T134" s="48">
        <v>0</v>
      </c>
      <c r="U134" s="49">
        <v>0.299465</v>
      </c>
      <c r="V134" s="49">
        <v>0.001368</v>
      </c>
      <c r="W134" s="49">
        <v>0.000441</v>
      </c>
      <c r="X134" s="49">
        <v>0.283721</v>
      </c>
      <c r="Y134" s="49">
        <v>0</v>
      </c>
      <c r="Z134" s="49">
        <v>0</v>
      </c>
      <c r="AA134" s="73">
        <v>134</v>
      </c>
      <c r="AB134" s="73"/>
      <c r="AC134" s="74"/>
      <c r="AD134" s="80" t="s">
        <v>1446</v>
      </c>
      <c r="AE134" s="80" t="s">
        <v>2104</v>
      </c>
      <c r="AF134" s="80" t="s">
        <v>2695</v>
      </c>
      <c r="AG134" s="80" t="s">
        <v>3226</v>
      </c>
      <c r="AH134" s="80" t="s">
        <v>3859</v>
      </c>
      <c r="AI134" s="80">
        <v>1298</v>
      </c>
      <c r="AJ134" s="80">
        <v>0</v>
      </c>
      <c r="AK134" s="80">
        <v>1</v>
      </c>
      <c r="AL134" s="80">
        <v>0</v>
      </c>
      <c r="AM134" s="80" t="s">
        <v>4098</v>
      </c>
      <c r="AN134" s="96" t="str">
        <f>HYPERLINK("https://www.youtube.com/watch?v=o-Vl4LaSQ2Y")</f>
        <v>https://www.youtube.com/watch?v=o-Vl4LaSQ2Y</v>
      </c>
      <c r="AO134" s="80" t="str">
        <f>REPLACE(INDEX(GroupVertices[Group],MATCH(Vertices[[#This Row],[Vertex]],GroupVertices[Vertex],0)),1,1,"")</f>
        <v>3</v>
      </c>
      <c r="AP134" s="48">
        <v>0</v>
      </c>
      <c r="AQ134" s="49">
        <v>0</v>
      </c>
      <c r="AR134" s="48">
        <v>0</v>
      </c>
      <c r="AS134" s="49">
        <v>0</v>
      </c>
      <c r="AT134" s="48">
        <v>0</v>
      </c>
      <c r="AU134" s="49">
        <v>0</v>
      </c>
      <c r="AV134" s="48">
        <v>9</v>
      </c>
      <c r="AW134" s="49">
        <v>100</v>
      </c>
      <c r="AX134" s="48">
        <v>9</v>
      </c>
      <c r="AY134" s="48"/>
      <c r="AZ134" s="48"/>
      <c r="BA134" s="48"/>
      <c r="BB134" s="48"/>
      <c r="BC134" s="2"/>
      <c r="BD134" s="3"/>
      <c r="BE134" s="3"/>
      <c r="BF134" s="3"/>
      <c r="BG134" s="3"/>
    </row>
    <row r="135" spans="1:59" ht="15">
      <c r="A135" s="66" t="s">
        <v>720</v>
      </c>
      <c r="B135" s="67" t="s">
        <v>4456</v>
      </c>
      <c r="C135" s="67" t="s">
        <v>56</v>
      </c>
      <c r="D135" s="68">
        <v>76</v>
      </c>
      <c r="E135" s="70"/>
      <c r="F135" s="97" t="str">
        <f>HYPERLINK("https://i.ytimg.com/vi/zTvZhbxYz88/default.jpg")</f>
        <v>https://i.ytimg.com/vi/zTvZhbxYz88/default.jpg</v>
      </c>
      <c r="G135" s="67"/>
      <c r="H135" s="71" t="s">
        <v>1461</v>
      </c>
      <c r="I135" s="72"/>
      <c r="J135" s="72" t="s">
        <v>159</v>
      </c>
      <c r="K135" s="71" t="s">
        <v>1461</v>
      </c>
      <c r="L135" s="75">
        <v>667.5333333333333</v>
      </c>
      <c r="M135" s="76">
        <v>6718.31005859375</v>
      </c>
      <c r="N135" s="76">
        <v>8805.6357421875</v>
      </c>
      <c r="O135" s="77"/>
      <c r="P135" s="78"/>
      <c r="Q135" s="78"/>
      <c r="R135" s="82"/>
      <c r="S135" s="48">
        <v>3</v>
      </c>
      <c r="T135" s="48">
        <v>0</v>
      </c>
      <c r="U135" s="49">
        <v>0.27437</v>
      </c>
      <c r="V135" s="49">
        <v>0.001427</v>
      </c>
      <c r="W135" s="49">
        <v>0.000963</v>
      </c>
      <c r="X135" s="49">
        <v>0.337421</v>
      </c>
      <c r="Y135" s="49">
        <v>0.5</v>
      </c>
      <c r="Z135" s="49">
        <v>0</v>
      </c>
      <c r="AA135" s="73">
        <v>135</v>
      </c>
      <c r="AB135" s="73"/>
      <c r="AC135" s="74"/>
      <c r="AD135" s="80" t="s">
        <v>1461</v>
      </c>
      <c r="AE135" s="80" t="s">
        <v>1461</v>
      </c>
      <c r="AF135" s="80" t="s">
        <v>2708</v>
      </c>
      <c r="AG135" s="80" t="s">
        <v>3237</v>
      </c>
      <c r="AH135" s="80" t="s">
        <v>3874</v>
      </c>
      <c r="AI135" s="80">
        <v>1405</v>
      </c>
      <c r="AJ135" s="80">
        <v>0</v>
      </c>
      <c r="AK135" s="80">
        <v>2</v>
      </c>
      <c r="AL135" s="80">
        <v>0</v>
      </c>
      <c r="AM135" s="80" t="s">
        <v>4098</v>
      </c>
      <c r="AN135" s="96" t="str">
        <f>HYPERLINK("https://www.youtube.com/watch?v=zTvZhbxYz88")</f>
        <v>https://www.youtube.com/watch?v=zTvZhbxYz88</v>
      </c>
      <c r="AO135" s="80" t="str">
        <f>REPLACE(INDEX(GroupVertices[Group],MATCH(Vertices[[#This Row],[Vertex]],GroupVertices[Vertex],0)),1,1,"")</f>
        <v>3</v>
      </c>
      <c r="AP135" s="48">
        <v>0</v>
      </c>
      <c r="AQ135" s="49">
        <v>0</v>
      </c>
      <c r="AR135" s="48">
        <v>0</v>
      </c>
      <c r="AS135" s="49">
        <v>0</v>
      </c>
      <c r="AT135" s="48">
        <v>0</v>
      </c>
      <c r="AU135" s="49">
        <v>0</v>
      </c>
      <c r="AV135" s="48">
        <v>6</v>
      </c>
      <c r="AW135" s="49">
        <v>100</v>
      </c>
      <c r="AX135" s="48">
        <v>6</v>
      </c>
      <c r="AY135" s="48"/>
      <c r="AZ135" s="48"/>
      <c r="BA135" s="48"/>
      <c r="BB135" s="48"/>
      <c r="BC135" s="2"/>
      <c r="BD135" s="3"/>
      <c r="BE135" s="3"/>
      <c r="BF135" s="3"/>
      <c r="BG135" s="3"/>
    </row>
    <row r="136" spans="1:59" ht="15">
      <c r="A136" s="66" t="s">
        <v>511</v>
      </c>
      <c r="B136" s="67" t="s">
        <v>4456</v>
      </c>
      <c r="C136" s="67" t="s">
        <v>56</v>
      </c>
      <c r="D136" s="68">
        <v>76</v>
      </c>
      <c r="E136" s="70"/>
      <c r="F136" s="97" t="str">
        <f>HYPERLINK("https://i.ytimg.com/vi/8AMNbmi2234/default.jpg")</f>
        <v>https://i.ytimg.com/vi/8AMNbmi2234/default.jpg</v>
      </c>
      <c r="G136" s="67"/>
      <c r="H136" s="71" t="s">
        <v>1234</v>
      </c>
      <c r="I136" s="72"/>
      <c r="J136" s="72" t="s">
        <v>159</v>
      </c>
      <c r="K136" s="71" t="s">
        <v>1234</v>
      </c>
      <c r="L136" s="75">
        <v>667.5333333333333</v>
      </c>
      <c r="M136" s="76">
        <v>4070.22265625</v>
      </c>
      <c r="N136" s="76">
        <v>637.923828125</v>
      </c>
      <c r="O136" s="77"/>
      <c r="P136" s="78"/>
      <c r="Q136" s="78"/>
      <c r="R136" s="82"/>
      <c r="S136" s="48">
        <v>3</v>
      </c>
      <c r="T136" s="48">
        <v>0</v>
      </c>
      <c r="U136" s="49">
        <v>0.270053</v>
      </c>
      <c r="V136" s="49">
        <v>0.001433</v>
      </c>
      <c r="W136" s="49">
        <v>0.001096</v>
      </c>
      <c r="X136" s="49">
        <v>0.332339</v>
      </c>
      <c r="Y136" s="49">
        <v>0.5</v>
      </c>
      <c r="Z136" s="49">
        <v>0</v>
      </c>
      <c r="AA136" s="73">
        <v>136</v>
      </c>
      <c r="AB136" s="73"/>
      <c r="AC136" s="74"/>
      <c r="AD136" s="80" t="s">
        <v>1234</v>
      </c>
      <c r="AE136" s="80" t="s">
        <v>1916</v>
      </c>
      <c r="AF136" s="80" t="s">
        <v>2395</v>
      </c>
      <c r="AG136" s="80" t="s">
        <v>2905</v>
      </c>
      <c r="AH136" s="80" t="s">
        <v>3646</v>
      </c>
      <c r="AI136" s="80">
        <v>57</v>
      </c>
      <c r="AJ136" s="80">
        <v>0</v>
      </c>
      <c r="AK136" s="80">
        <v>0</v>
      </c>
      <c r="AL136" s="80">
        <v>0</v>
      </c>
      <c r="AM136" s="80" t="s">
        <v>4098</v>
      </c>
      <c r="AN136" s="96" t="str">
        <f>HYPERLINK("https://www.youtube.com/watch?v=8AMNbmi2234")</f>
        <v>https://www.youtube.com/watch?v=8AMNbmi2234</v>
      </c>
      <c r="AO136" s="80" t="str">
        <f>REPLACE(INDEX(GroupVertices[Group],MATCH(Vertices[[#This Row],[Vertex]],GroupVertices[Vertex],0)),1,1,"")</f>
        <v>2</v>
      </c>
      <c r="AP136" s="48">
        <v>0</v>
      </c>
      <c r="AQ136" s="49">
        <v>0</v>
      </c>
      <c r="AR136" s="48">
        <v>0</v>
      </c>
      <c r="AS136" s="49">
        <v>0</v>
      </c>
      <c r="AT136" s="48">
        <v>0</v>
      </c>
      <c r="AU136" s="49">
        <v>0</v>
      </c>
      <c r="AV136" s="48">
        <v>11</v>
      </c>
      <c r="AW136" s="49">
        <v>100</v>
      </c>
      <c r="AX136" s="48">
        <v>11</v>
      </c>
      <c r="AY136" s="48"/>
      <c r="AZ136" s="48"/>
      <c r="BA136" s="48"/>
      <c r="BB136" s="48"/>
      <c r="BC136" s="2"/>
      <c r="BD136" s="3"/>
      <c r="BE136" s="3"/>
      <c r="BF136" s="3"/>
      <c r="BG136" s="3"/>
    </row>
    <row r="137" spans="1:59" ht="15">
      <c r="A137" s="66" t="s">
        <v>660</v>
      </c>
      <c r="B137" s="67" t="s">
        <v>4456</v>
      </c>
      <c r="C137" s="67" t="s">
        <v>56</v>
      </c>
      <c r="D137" s="68">
        <v>98</v>
      </c>
      <c r="E137" s="70"/>
      <c r="F137" s="97" t="str">
        <f>HYPERLINK("https://i.ytimg.com/vi/IGe2T8k58dk/default.jpg")</f>
        <v>https://i.ytimg.com/vi/IGe2T8k58dk/default.jpg</v>
      </c>
      <c r="G137" s="67"/>
      <c r="H137" s="71" t="s">
        <v>1400</v>
      </c>
      <c r="I137" s="72"/>
      <c r="J137" s="72" t="s">
        <v>159</v>
      </c>
      <c r="K137" s="71" t="s">
        <v>1400</v>
      </c>
      <c r="L137" s="75">
        <v>889.7111111111111</v>
      </c>
      <c r="M137" s="76">
        <v>8587.4404296875</v>
      </c>
      <c r="N137" s="76">
        <v>8238.7177734375</v>
      </c>
      <c r="O137" s="77"/>
      <c r="P137" s="78"/>
      <c r="Q137" s="78"/>
      <c r="R137" s="82"/>
      <c r="S137" s="48">
        <v>4</v>
      </c>
      <c r="T137" s="48">
        <v>0</v>
      </c>
      <c r="U137" s="49">
        <v>0.254782</v>
      </c>
      <c r="V137" s="49">
        <v>0.001471</v>
      </c>
      <c r="W137" s="49">
        <v>0.001567</v>
      </c>
      <c r="X137" s="49">
        <v>0.391345</v>
      </c>
      <c r="Y137" s="49">
        <v>0.8333333333333334</v>
      </c>
      <c r="Z137" s="49">
        <v>0</v>
      </c>
      <c r="AA137" s="73">
        <v>137</v>
      </c>
      <c r="AB137" s="73"/>
      <c r="AC137" s="74"/>
      <c r="AD137" s="80" t="s">
        <v>1400</v>
      </c>
      <c r="AE137" s="80" t="s">
        <v>2062</v>
      </c>
      <c r="AF137" s="80" t="s">
        <v>2655</v>
      </c>
      <c r="AG137" s="80" t="s">
        <v>2907</v>
      </c>
      <c r="AH137" s="80" t="s">
        <v>3812</v>
      </c>
      <c r="AI137" s="80">
        <v>1402</v>
      </c>
      <c r="AJ137" s="80">
        <v>1</v>
      </c>
      <c r="AK137" s="80">
        <v>7</v>
      </c>
      <c r="AL137" s="80">
        <v>0</v>
      </c>
      <c r="AM137" s="80" t="s">
        <v>4098</v>
      </c>
      <c r="AN137" s="96" t="str">
        <f>HYPERLINK("https://www.youtube.com/watch?v=IGe2T8k58dk")</f>
        <v>https://www.youtube.com/watch?v=IGe2T8k58dk</v>
      </c>
      <c r="AO137" s="80" t="str">
        <f>REPLACE(INDEX(GroupVertices[Group],MATCH(Vertices[[#This Row],[Vertex]],GroupVertices[Vertex],0)),1,1,"")</f>
        <v>3</v>
      </c>
      <c r="AP137" s="48">
        <v>0</v>
      </c>
      <c r="AQ137" s="49">
        <v>0</v>
      </c>
      <c r="AR137" s="48">
        <v>2</v>
      </c>
      <c r="AS137" s="49">
        <v>8</v>
      </c>
      <c r="AT137" s="48">
        <v>0</v>
      </c>
      <c r="AU137" s="49">
        <v>0</v>
      </c>
      <c r="AV137" s="48">
        <v>23</v>
      </c>
      <c r="AW137" s="49">
        <v>92</v>
      </c>
      <c r="AX137" s="48">
        <v>25</v>
      </c>
      <c r="AY137" s="48"/>
      <c r="AZ137" s="48"/>
      <c r="BA137" s="48"/>
      <c r="BB137" s="48"/>
      <c r="BC137" s="2"/>
      <c r="BD137" s="3"/>
      <c r="BE137" s="3"/>
      <c r="BF137" s="3"/>
      <c r="BG137" s="3"/>
    </row>
    <row r="138" spans="1:59" ht="15">
      <c r="A138" s="66" t="s">
        <v>619</v>
      </c>
      <c r="B138" s="67" t="s">
        <v>4456</v>
      </c>
      <c r="C138" s="67" t="s">
        <v>64</v>
      </c>
      <c r="D138" s="68">
        <v>208</v>
      </c>
      <c r="E138" s="70"/>
      <c r="F138" s="97" t="str">
        <f>HYPERLINK("https://i.ytimg.com/vi/gcfAT8aMxuQ/default.jpg")</f>
        <v>https://i.ytimg.com/vi/gcfAT8aMxuQ/default.jpg</v>
      </c>
      <c r="G138" s="67"/>
      <c r="H138" s="71" t="s">
        <v>1359</v>
      </c>
      <c r="I138" s="72"/>
      <c r="J138" s="72" t="s">
        <v>75</v>
      </c>
      <c r="K138" s="71" t="s">
        <v>1359</v>
      </c>
      <c r="L138" s="75">
        <v>2000.6</v>
      </c>
      <c r="M138" s="76">
        <v>3766.14013671875</v>
      </c>
      <c r="N138" s="76">
        <v>1609.129638671875</v>
      </c>
      <c r="O138" s="77"/>
      <c r="P138" s="78"/>
      <c r="Q138" s="78"/>
      <c r="R138" s="82"/>
      <c r="S138" s="48">
        <v>9</v>
      </c>
      <c r="T138" s="48">
        <v>0</v>
      </c>
      <c r="U138" s="49">
        <v>0.185525</v>
      </c>
      <c r="V138" s="49">
        <v>0.001587</v>
      </c>
      <c r="W138" s="49">
        <v>0.003764</v>
      </c>
      <c r="X138" s="49">
        <v>0.697908</v>
      </c>
      <c r="Y138" s="49">
        <v>0.7777777777777778</v>
      </c>
      <c r="Z138" s="49">
        <v>0</v>
      </c>
      <c r="AA138" s="73">
        <v>138</v>
      </c>
      <c r="AB138" s="73"/>
      <c r="AC138" s="74"/>
      <c r="AD138" s="80" t="s">
        <v>1359</v>
      </c>
      <c r="AE138" s="80" t="s">
        <v>2025</v>
      </c>
      <c r="AF138" s="80" t="s">
        <v>2623</v>
      </c>
      <c r="AG138" s="80" t="s">
        <v>3165</v>
      </c>
      <c r="AH138" s="80" t="s">
        <v>3771</v>
      </c>
      <c r="AI138" s="80">
        <v>49384</v>
      </c>
      <c r="AJ138" s="80">
        <v>1</v>
      </c>
      <c r="AK138" s="80">
        <v>235</v>
      </c>
      <c r="AL138" s="80">
        <v>25</v>
      </c>
      <c r="AM138" s="80" t="s">
        <v>4098</v>
      </c>
      <c r="AN138" s="96" t="str">
        <f>HYPERLINK("https://www.youtube.com/watch?v=gcfAT8aMxuQ")</f>
        <v>https://www.youtube.com/watch?v=gcfAT8aMxuQ</v>
      </c>
      <c r="AO138" s="80" t="str">
        <f>REPLACE(INDEX(GroupVertices[Group],MATCH(Vertices[[#This Row],[Vertex]],GroupVertices[Vertex],0)),1,1,"")</f>
        <v>2</v>
      </c>
      <c r="AP138" s="48">
        <v>0</v>
      </c>
      <c r="AQ138" s="49">
        <v>0</v>
      </c>
      <c r="AR138" s="48">
        <v>0</v>
      </c>
      <c r="AS138" s="49">
        <v>0</v>
      </c>
      <c r="AT138" s="48">
        <v>0</v>
      </c>
      <c r="AU138" s="49">
        <v>0</v>
      </c>
      <c r="AV138" s="48">
        <v>14</v>
      </c>
      <c r="AW138" s="49">
        <v>100</v>
      </c>
      <c r="AX138" s="48">
        <v>14</v>
      </c>
      <c r="AY138" s="48"/>
      <c r="AZ138" s="48"/>
      <c r="BA138" s="48"/>
      <c r="BB138" s="48"/>
      <c r="BC138" s="2"/>
      <c r="BD138" s="3"/>
      <c r="BE138" s="3"/>
      <c r="BF138" s="3"/>
      <c r="BG138" s="3"/>
    </row>
    <row r="139" spans="1:59" ht="15">
      <c r="A139" s="66" t="s">
        <v>782</v>
      </c>
      <c r="B139" s="67" t="s">
        <v>4456</v>
      </c>
      <c r="C139" s="67" t="s">
        <v>56</v>
      </c>
      <c r="D139" s="68">
        <v>54</v>
      </c>
      <c r="E139" s="70"/>
      <c r="F139" s="97" t="str">
        <f>HYPERLINK("https://i.ytimg.com/vi/QRx-yBcPTV8/default.jpg")</f>
        <v>https://i.ytimg.com/vi/QRx-yBcPTV8/default.jpg</v>
      </c>
      <c r="G139" s="67"/>
      <c r="H139" s="71" t="s">
        <v>1522</v>
      </c>
      <c r="I139" s="72"/>
      <c r="J139" s="72" t="s">
        <v>159</v>
      </c>
      <c r="K139" s="71" t="s">
        <v>1522</v>
      </c>
      <c r="L139" s="75">
        <v>445.35555555555555</v>
      </c>
      <c r="M139" s="76">
        <v>9610.943359375</v>
      </c>
      <c r="N139" s="76">
        <v>2556.59619140625</v>
      </c>
      <c r="O139" s="77"/>
      <c r="P139" s="78"/>
      <c r="Q139" s="78"/>
      <c r="R139" s="82"/>
      <c r="S139" s="48">
        <v>2</v>
      </c>
      <c r="T139" s="48">
        <v>0</v>
      </c>
      <c r="U139" s="49">
        <v>0.165933</v>
      </c>
      <c r="V139" s="49">
        <v>0.001422</v>
      </c>
      <c r="W139" s="49">
        <v>0.000814</v>
      </c>
      <c r="X139" s="49">
        <v>0.275224</v>
      </c>
      <c r="Y139" s="49">
        <v>0</v>
      </c>
      <c r="Z139" s="49">
        <v>0</v>
      </c>
      <c r="AA139" s="73">
        <v>139</v>
      </c>
      <c r="AB139" s="73"/>
      <c r="AC139" s="74"/>
      <c r="AD139" s="80" t="s">
        <v>1522</v>
      </c>
      <c r="AE139" s="80" t="s">
        <v>2172</v>
      </c>
      <c r="AF139" s="80" t="s">
        <v>2758</v>
      </c>
      <c r="AG139" s="80" t="s">
        <v>3278</v>
      </c>
      <c r="AH139" s="80" t="s">
        <v>3936</v>
      </c>
      <c r="AI139" s="80">
        <v>10457</v>
      </c>
      <c r="AJ139" s="80">
        <v>10</v>
      </c>
      <c r="AK139" s="80">
        <v>51</v>
      </c>
      <c r="AL139" s="80">
        <v>0</v>
      </c>
      <c r="AM139" s="80" t="s">
        <v>4098</v>
      </c>
      <c r="AN139" s="96" t="str">
        <f>HYPERLINK("https://www.youtube.com/watch?v=QRx-yBcPTV8")</f>
        <v>https://www.youtube.com/watch?v=QRx-yBcPTV8</v>
      </c>
      <c r="AO139" s="80" t="str">
        <f>REPLACE(INDEX(GroupVertices[Group],MATCH(Vertices[[#This Row],[Vertex]],GroupVertices[Vertex],0)),1,1,"")</f>
        <v>4</v>
      </c>
      <c r="AP139" s="48">
        <v>0</v>
      </c>
      <c r="AQ139" s="49">
        <v>0</v>
      </c>
      <c r="AR139" s="48">
        <v>0</v>
      </c>
      <c r="AS139" s="49">
        <v>0</v>
      </c>
      <c r="AT139" s="48">
        <v>0</v>
      </c>
      <c r="AU139" s="49">
        <v>0</v>
      </c>
      <c r="AV139" s="48">
        <v>9</v>
      </c>
      <c r="AW139" s="49">
        <v>100</v>
      </c>
      <c r="AX139" s="48">
        <v>9</v>
      </c>
      <c r="AY139" s="48"/>
      <c r="AZ139" s="48"/>
      <c r="BA139" s="48"/>
      <c r="BB139" s="48"/>
      <c r="BC139" s="2"/>
      <c r="BD139" s="3"/>
      <c r="BE139" s="3"/>
      <c r="BF139" s="3"/>
      <c r="BG139" s="3"/>
    </row>
    <row r="140" spans="1:59" ht="15">
      <c r="A140" s="66" t="s">
        <v>487</v>
      </c>
      <c r="B140" s="67" t="s">
        <v>4456</v>
      </c>
      <c r="C140" s="67" t="s">
        <v>56</v>
      </c>
      <c r="D140" s="68">
        <v>54</v>
      </c>
      <c r="E140" s="70"/>
      <c r="F140" s="97" t="str">
        <f>HYPERLINK("https://i.ytimg.com/vi/WDTneE3PQJE/default_live.jpg")</f>
        <v>https://i.ytimg.com/vi/WDTneE3PQJE/default_live.jpg</v>
      </c>
      <c r="G140" s="67"/>
      <c r="H140" s="71" t="s">
        <v>1202</v>
      </c>
      <c r="I140" s="72"/>
      <c r="J140" s="72" t="s">
        <v>159</v>
      </c>
      <c r="K140" s="71" t="s">
        <v>1202</v>
      </c>
      <c r="L140" s="75">
        <v>445.35555555555555</v>
      </c>
      <c r="M140" s="76">
        <v>6164.73046875</v>
      </c>
      <c r="N140" s="76">
        <v>5048.4755859375</v>
      </c>
      <c r="O140" s="77"/>
      <c r="P140" s="78"/>
      <c r="Q140" s="78"/>
      <c r="R140" s="82"/>
      <c r="S140" s="48">
        <v>2</v>
      </c>
      <c r="T140" s="48">
        <v>0</v>
      </c>
      <c r="U140" s="49">
        <v>0.149292</v>
      </c>
      <c r="V140" s="49">
        <v>0.001353</v>
      </c>
      <c r="W140" s="49">
        <v>0.000626</v>
      </c>
      <c r="X140" s="49">
        <v>0.272049</v>
      </c>
      <c r="Y140" s="49">
        <v>0</v>
      </c>
      <c r="Z140" s="49">
        <v>0</v>
      </c>
      <c r="AA140" s="73">
        <v>140</v>
      </c>
      <c r="AB140" s="73"/>
      <c r="AC140" s="74"/>
      <c r="AD140" s="80" t="s">
        <v>1202</v>
      </c>
      <c r="AE140" s="80" t="s">
        <v>1202</v>
      </c>
      <c r="AF140" s="80"/>
      <c r="AG140" s="80" t="s">
        <v>3058</v>
      </c>
      <c r="AH140" s="80" t="s">
        <v>3614</v>
      </c>
      <c r="AI140" s="80">
        <v>149</v>
      </c>
      <c r="AJ140" s="80">
        <v>0</v>
      </c>
      <c r="AK140" s="80">
        <v>8</v>
      </c>
      <c r="AL140" s="80">
        <v>1</v>
      </c>
      <c r="AM140" s="80" t="s">
        <v>4098</v>
      </c>
      <c r="AN140" s="96" t="str">
        <f>HYPERLINK("https://www.youtube.com/watch?v=WDTneE3PQJE")</f>
        <v>https://www.youtube.com/watch?v=WDTneE3PQJE</v>
      </c>
      <c r="AO140" s="80" t="str">
        <f>REPLACE(INDEX(GroupVertices[Group],MATCH(Vertices[[#This Row],[Vertex]],GroupVertices[Vertex],0)),1,1,"")</f>
        <v>3</v>
      </c>
      <c r="AP140" s="48"/>
      <c r="AQ140" s="49"/>
      <c r="AR140" s="48"/>
      <c r="AS140" s="49"/>
      <c r="AT140" s="48"/>
      <c r="AU140" s="49"/>
      <c r="AV140" s="48"/>
      <c r="AW140" s="49"/>
      <c r="AX140" s="48"/>
      <c r="AY140" s="48"/>
      <c r="AZ140" s="48"/>
      <c r="BA140" s="48"/>
      <c r="BB140" s="48"/>
      <c r="BC140" s="2"/>
      <c r="BD140" s="3"/>
      <c r="BE140" s="3"/>
      <c r="BF140" s="3"/>
      <c r="BG140" s="3"/>
    </row>
    <row r="141" spans="1:59" ht="15">
      <c r="A141" s="66" t="s">
        <v>621</v>
      </c>
      <c r="B141" s="67" t="s">
        <v>4456</v>
      </c>
      <c r="C141" s="67" t="s">
        <v>56</v>
      </c>
      <c r="D141" s="68">
        <v>120</v>
      </c>
      <c r="E141" s="70"/>
      <c r="F141" s="97" t="str">
        <f>HYPERLINK("https://i.ytimg.com/vi/QSoQhEMQTo0/default.jpg")</f>
        <v>https://i.ytimg.com/vi/QSoQhEMQTo0/default.jpg</v>
      </c>
      <c r="G141" s="67"/>
      <c r="H141" s="71" t="s">
        <v>1361</v>
      </c>
      <c r="I141" s="72"/>
      <c r="J141" s="72" t="s">
        <v>159</v>
      </c>
      <c r="K141" s="71" t="s">
        <v>1361</v>
      </c>
      <c r="L141" s="75">
        <v>1111.888888888889</v>
      </c>
      <c r="M141" s="76">
        <v>4354.529296875</v>
      </c>
      <c r="N141" s="76">
        <v>4137.41650390625</v>
      </c>
      <c r="O141" s="77"/>
      <c r="P141" s="78"/>
      <c r="Q141" s="78"/>
      <c r="R141" s="82"/>
      <c r="S141" s="48">
        <v>5</v>
      </c>
      <c r="T141" s="48">
        <v>0</v>
      </c>
      <c r="U141" s="49">
        <v>0.142892</v>
      </c>
      <c r="V141" s="49">
        <v>0.001488</v>
      </c>
      <c r="W141" s="49">
        <v>0.002185</v>
      </c>
      <c r="X141" s="49">
        <v>0.445481</v>
      </c>
      <c r="Y141" s="49">
        <v>0.6</v>
      </c>
      <c r="Z141" s="49">
        <v>0</v>
      </c>
      <c r="AA141" s="73">
        <v>141</v>
      </c>
      <c r="AB141" s="73"/>
      <c r="AC141" s="74"/>
      <c r="AD141" s="80" t="s">
        <v>1361</v>
      </c>
      <c r="AE141" s="80" t="s">
        <v>2027</v>
      </c>
      <c r="AF141" s="80" t="s">
        <v>2625</v>
      </c>
      <c r="AG141" s="80" t="s">
        <v>3167</v>
      </c>
      <c r="AH141" s="80" t="s">
        <v>3773</v>
      </c>
      <c r="AI141" s="80">
        <v>9367</v>
      </c>
      <c r="AJ141" s="80">
        <v>1</v>
      </c>
      <c r="AK141" s="80">
        <v>18</v>
      </c>
      <c r="AL141" s="80">
        <v>1</v>
      </c>
      <c r="AM141" s="80" t="s">
        <v>4098</v>
      </c>
      <c r="AN141" s="96" t="str">
        <f>HYPERLINK("https://www.youtube.com/watch?v=QSoQhEMQTo0")</f>
        <v>https://www.youtube.com/watch?v=QSoQhEMQTo0</v>
      </c>
      <c r="AO141" s="80" t="str">
        <f>REPLACE(INDEX(GroupVertices[Group],MATCH(Vertices[[#This Row],[Vertex]],GroupVertices[Vertex],0)),1,1,"")</f>
        <v>2</v>
      </c>
      <c r="AP141" s="48">
        <v>1</v>
      </c>
      <c r="AQ141" s="49">
        <v>11.11111111111111</v>
      </c>
      <c r="AR141" s="48">
        <v>0</v>
      </c>
      <c r="AS141" s="49">
        <v>0</v>
      </c>
      <c r="AT141" s="48">
        <v>0</v>
      </c>
      <c r="AU141" s="49">
        <v>0</v>
      </c>
      <c r="AV141" s="48">
        <v>8</v>
      </c>
      <c r="AW141" s="49">
        <v>88.88888888888889</v>
      </c>
      <c r="AX141" s="48">
        <v>9</v>
      </c>
      <c r="AY141" s="48"/>
      <c r="AZ141" s="48"/>
      <c r="BA141" s="48"/>
      <c r="BB141" s="48"/>
      <c r="BC141" s="2"/>
      <c r="BD141" s="3"/>
      <c r="BE141" s="3"/>
      <c r="BF141" s="3"/>
      <c r="BG141" s="3"/>
    </row>
    <row r="142" spans="1:59" ht="15">
      <c r="A142" s="66" t="s">
        <v>513</v>
      </c>
      <c r="B142" s="67" t="s">
        <v>4456</v>
      </c>
      <c r="C142" s="67" t="s">
        <v>56</v>
      </c>
      <c r="D142" s="68">
        <v>76</v>
      </c>
      <c r="E142" s="70"/>
      <c r="F142" s="97" t="str">
        <f>HYPERLINK("https://i.ytimg.com/vi/5qNwGSCUqHo/default.jpg")</f>
        <v>https://i.ytimg.com/vi/5qNwGSCUqHo/default.jpg</v>
      </c>
      <c r="G142" s="67"/>
      <c r="H142" s="71" t="s">
        <v>1241</v>
      </c>
      <c r="I142" s="72"/>
      <c r="J142" s="72" t="s">
        <v>159</v>
      </c>
      <c r="K142" s="71" t="s">
        <v>1241</v>
      </c>
      <c r="L142" s="75">
        <v>667.5333333333333</v>
      </c>
      <c r="M142" s="76">
        <v>1464.38134765625</v>
      </c>
      <c r="N142" s="76">
        <v>486.9686279296875</v>
      </c>
      <c r="O142" s="77"/>
      <c r="P142" s="78"/>
      <c r="Q142" s="78"/>
      <c r="R142" s="82"/>
      <c r="S142" s="48">
        <v>3</v>
      </c>
      <c r="T142" s="48">
        <v>0</v>
      </c>
      <c r="U142" s="49">
        <v>0.133462</v>
      </c>
      <c r="V142" s="49">
        <v>0.001404</v>
      </c>
      <c r="W142" s="49">
        <v>0.001108</v>
      </c>
      <c r="X142" s="49">
        <v>0.32922</v>
      </c>
      <c r="Y142" s="49">
        <v>0.5</v>
      </c>
      <c r="Z142" s="49">
        <v>0</v>
      </c>
      <c r="AA142" s="73">
        <v>142</v>
      </c>
      <c r="AB142" s="73"/>
      <c r="AC142" s="74"/>
      <c r="AD142" s="80" t="s">
        <v>1241</v>
      </c>
      <c r="AE142" s="80" t="s">
        <v>1923</v>
      </c>
      <c r="AF142" s="80" t="s">
        <v>2395</v>
      </c>
      <c r="AG142" s="80" t="s">
        <v>2905</v>
      </c>
      <c r="AH142" s="80" t="s">
        <v>3653</v>
      </c>
      <c r="AI142" s="80">
        <v>203</v>
      </c>
      <c r="AJ142" s="80">
        <v>0</v>
      </c>
      <c r="AK142" s="80">
        <v>0</v>
      </c>
      <c r="AL142" s="80">
        <v>0</v>
      </c>
      <c r="AM142" s="80" t="s">
        <v>4098</v>
      </c>
      <c r="AN142" s="96" t="str">
        <f>HYPERLINK("https://www.youtube.com/watch?v=5qNwGSCUqHo")</f>
        <v>https://www.youtube.com/watch?v=5qNwGSCUqHo</v>
      </c>
      <c r="AO142" s="80" t="str">
        <f>REPLACE(INDEX(GroupVertices[Group],MATCH(Vertices[[#This Row],[Vertex]],GroupVertices[Vertex],0)),1,1,"")</f>
        <v>2</v>
      </c>
      <c r="AP142" s="48">
        <v>0</v>
      </c>
      <c r="AQ142" s="49">
        <v>0</v>
      </c>
      <c r="AR142" s="48">
        <v>0</v>
      </c>
      <c r="AS142" s="49">
        <v>0</v>
      </c>
      <c r="AT142" s="48">
        <v>0</v>
      </c>
      <c r="AU142" s="49">
        <v>0</v>
      </c>
      <c r="AV142" s="48">
        <v>11</v>
      </c>
      <c r="AW142" s="49">
        <v>100</v>
      </c>
      <c r="AX142" s="48">
        <v>11</v>
      </c>
      <c r="AY142" s="48"/>
      <c r="AZ142" s="48"/>
      <c r="BA142" s="48"/>
      <c r="BB142" s="48"/>
      <c r="BC142" s="2"/>
      <c r="BD142" s="3"/>
      <c r="BE142" s="3"/>
      <c r="BF142" s="3"/>
      <c r="BG142" s="3"/>
    </row>
    <row r="143" spans="1:59" ht="15">
      <c r="A143" s="66" t="s">
        <v>862</v>
      </c>
      <c r="B143" s="67" t="s">
        <v>4456</v>
      </c>
      <c r="C143" s="67" t="s">
        <v>64</v>
      </c>
      <c r="D143" s="68">
        <v>142</v>
      </c>
      <c r="E143" s="70"/>
      <c r="F143" s="97" t="str">
        <f>HYPERLINK("https://i.ytimg.com/vi/cEZhPkmlsus/default.jpg")</f>
        <v>https://i.ytimg.com/vi/cEZhPkmlsus/default.jpg</v>
      </c>
      <c r="G143" s="67"/>
      <c r="H143" s="71" t="s">
        <v>1601</v>
      </c>
      <c r="I143" s="72"/>
      <c r="J143" s="72" t="s">
        <v>75</v>
      </c>
      <c r="K143" s="71" t="s">
        <v>1601</v>
      </c>
      <c r="L143" s="75">
        <v>1334.0666666666666</v>
      </c>
      <c r="M143" s="76">
        <v>8264.7607421875</v>
      </c>
      <c r="N143" s="76">
        <v>1025.645263671875</v>
      </c>
      <c r="O143" s="77"/>
      <c r="P143" s="78"/>
      <c r="Q143" s="78"/>
      <c r="R143" s="82"/>
      <c r="S143" s="48">
        <v>6</v>
      </c>
      <c r="T143" s="48">
        <v>0</v>
      </c>
      <c r="U143" s="49">
        <v>0.122855</v>
      </c>
      <c r="V143" s="49">
        <v>0.001605</v>
      </c>
      <c r="W143" s="49">
        <v>0.002464</v>
      </c>
      <c r="X143" s="49">
        <v>0.529178</v>
      </c>
      <c r="Y143" s="49">
        <v>0.6</v>
      </c>
      <c r="Z143" s="49">
        <v>0</v>
      </c>
      <c r="AA143" s="73">
        <v>143</v>
      </c>
      <c r="AB143" s="73"/>
      <c r="AC143" s="74"/>
      <c r="AD143" s="80" t="s">
        <v>1601</v>
      </c>
      <c r="AE143" s="80" t="s">
        <v>2242</v>
      </c>
      <c r="AF143" s="80"/>
      <c r="AG143" s="80" t="s">
        <v>2999</v>
      </c>
      <c r="AH143" s="80" t="s">
        <v>4016</v>
      </c>
      <c r="AI143" s="80">
        <v>698</v>
      </c>
      <c r="AJ143" s="80">
        <v>0</v>
      </c>
      <c r="AK143" s="80">
        <v>1</v>
      </c>
      <c r="AL143" s="80">
        <v>0</v>
      </c>
      <c r="AM143" s="80" t="s">
        <v>4098</v>
      </c>
      <c r="AN143" s="96" t="str">
        <f>HYPERLINK("https://www.youtube.com/watch?v=cEZhPkmlsus")</f>
        <v>https://www.youtube.com/watch?v=cEZhPkmlsus</v>
      </c>
      <c r="AO143" s="80" t="str">
        <f>REPLACE(INDEX(GroupVertices[Group],MATCH(Vertices[[#This Row],[Vertex]],GroupVertices[Vertex],0)),1,1,"")</f>
        <v>4</v>
      </c>
      <c r="AP143" s="48"/>
      <c r="AQ143" s="49"/>
      <c r="AR143" s="48"/>
      <c r="AS143" s="49"/>
      <c r="AT143" s="48"/>
      <c r="AU143" s="49"/>
      <c r="AV143" s="48"/>
      <c r="AW143" s="49"/>
      <c r="AX143" s="48"/>
      <c r="AY143" s="48"/>
      <c r="AZ143" s="48"/>
      <c r="BA143" s="48"/>
      <c r="BB143" s="48"/>
      <c r="BC143" s="2"/>
      <c r="BD143" s="3"/>
      <c r="BE143" s="3"/>
      <c r="BF143" s="3"/>
      <c r="BG143" s="3"/>
    </row>
    <row r="144" spans="1:59" ht="15">
      <c r="A144" s="66" t="s">
        <v>363</v>
      </c>
      <c r="B144" s="67" t="s">
        <v>4456</v>
      </c>
      <c r="C144" s="67" t="s">
        <v>56</v>
      </c>
      <c r="D144" s="68">
        <v>54</v>
      </c>
      <c r="E144" s="70"/>
      <c r="F144" s="97" t="str">
        <f>HYPERLINK("https://i.ytimg.com/vi/Ou_floKQqd8/default.jpg")</f>
        <v>https://i.ytimg.com/vi/Ou_floKQqd8/default.jpg</v>
      </c>
      <c r="G144" s="67"/>
      <c r="H144" s="71" t="s">
        <v>1068</v>
      </c>
      <c r="I144" s="72"/>
      <c r="J144" s="72" t="s">
        <v>159</v>
      </c>
      <c r="K144" s="71" t="s">
        <v>1068</v>
      </c>
      <c r="L144" s="75">
        <v>445.35555555555555</v>
      </c>
      <c r="M144" s="76">
        <v>793.4212036132812</v>
      </c>
      <c r="N144" s="76">
        <v>1143.230224609375</v>
      </c>
      <c r="O144" s="77"/>
      <c r="P144" s="78"/>
      <c r="Q144" s="78"/>
      <c r="R144" s="82"/>
      <c r="S144" s="48">
        <v>2</v>
      </c>
      <c r="T144" s="48">
        <v>0</v>
      </c>
      <c r="U144" s="49">
        <v>0.122549</v>
      </c>
      <c r="V144" s="49">
        <v>0.001389</v>
      </c>
      <c r="W144" s="49">
        <v>0.000708</v>
      </c>
      <c r="X144" s="49">
        <v>0.272056</v>
      </c>
      <c r="Y144" s="49">
        <v>0</v>
      </c>
      <c r="Z144" s="49">
        <v>0</v>
      </c>
      <c r="AA144" s="73">
        <v>144</v>
      </c>
      <c r="AB144" s="73"/>
      <c r="AC144" s="74"/>
      <c r="AD144" s="80" t="s">
        <v>1068</v>
      </c>
      <c r="AE144" s="80" t="s">
        <v>1779</v>
      </c>
      <c r="AF144" s="80" t="s">
        <v>2406</v>
      </c>
      <c r="AG144" s="80" t="s">
        <v>2984</v>
      </c>
      <c r="AH144" s="80" t="s">
        <v>3481</v>
      </c>
      <c r="AI144" s="80">
        <v>28032</v>
      </c>
      <c r="AJ144" s="80">
        <v>113</v>
      </c>
      <c r="AK144" s="80">
        <v>630</v>
      </c>
      <c r="AL144" s="80">
        <v>8</v>
      </c>
      <c r="AM144" s="80" t="s">
        <v>4098</v>
      </c>
      <c r="AN144" s="96" t="str">
        <f>HYPERLINK("https://www.youtube.com/watch?v=Ou_floKQqd8")</f>
        <v>https://www.youtube.com/watch?v=Ou_floKQqd8</v>
      </c>
      <c r="AO144" s="80" t="str">
        <f>REPLACE(INDEX(GroupVertices[Group],MATCH(Vertices[[#This Row],[Vertex]],GroupVertices[Vertex],0)),1,1,"")</f>
        <v>2</v>
      </c>
      <c r="AP144" s="48">
        <v>0</v>
      </c>
      <c r="AQ144" s="49">
        <v>0</v>
      </c>
      <c r="AR144" s="48">
        <v>0</v>
      </c>
      <c r="AS144" s="49">
        <v>0</v>
      </c>
      <c r="AT144" s="48">
        <v>0</v>
      </c>
      <c r="AU144" s="49">
        <v>0</v>
      </c>
      <c r="AV144" s="48">
        <v>6</v>
      </c>
      <c r="AW144" s="49">
        <v>100</v>
      </c>
      <c r="AX144" s="48">
        <v>6</v>
      </c>
      <c r="AY144" s="48"/>
      <c r="AZ144" s="48"/>
      <c r="BA144" s="48"/>
      <c r="BB144" s="48"/>
      <c r="BC144" s="2"/>
      <c r="BD144" s="3"/>
      <c r="BE144" s="3"/>
      <c r="BF144" s="3"/>
      <c r="BG144" s="3"/>
    </row>
    <row r="145" spans="1:59" ht="15">
      <c r="A145" s="66" t="s">
        <v>833</v>
      </c>
      <c r="B145" s="67" t="s">
        <v>4456</v>
      </c>
      <c r="C145" s="67" t="s">
        <v>56</v>
      </c>
      <c r="D145" s="68">
        <v>54</v>
      </c>
      <c r="E145" s="70"/>
      <c r="F145" s="97" t="str">
        <f>HYPERLINK("https://i.ytimg.com/vi/UgivNSMc2_A/default.jpg")</f>
        <v>https://i.ytimg.com/vi/UgivNSMc2_A/default.jpg</v>
      </c>
      <c r="G145" s="67"/>
      <c r="H145" s="71" t="s">
        <v>1572</v>
      </c>
      <c r="I145" s="72"/>
      <c r="J145" s="72" t="s">
        <v>159</v>
      </c>
      <c r="K145" s="71" t="s">
        <v>1572</v>
      </c>
      <c r="L145" s="75">
        <v>445.35555555555555</v>
      </c>
      <c r="M145" s="76">
        <v>9360.0966796875</v>
      </c>
      <c r="N145" s="76">
        <v>4957.890625</v>
      </c>
      <c r="O145" s="77"/>
      <c r="P145" s="78"/>
      <c r="Q145" s="78"/>
      <c r="R145" s="82"/>
      <c r="S145" s="48">
        <v>2</v>
      </c>
      <c r="T145" s="48">
        <v>0</v>
      </c>
      <c r="U145" s="49">
        <v>0.064516</v>
      </c>
      <c r="V145" s="49">
        <v>0.001451</v>
      </c>
      <c r="W145" s="49">
        <v>0.000873</v>
      </c>
      <c r="X145" s="49">
        <v>0.273125</v>
      </c>
      <c r="Y145" s="49">
        <v>0</v>
      </c>
      <c r="Z145" s="49">
        <v>0</v>
      </c>
      <c r="AA145" s="73">
        <v>145</v>
      </c>
      <c r="AB145" s="73"/>
      <c r="AC145" s="74"/>
      <c r="AD145" s="80" t="s">
        <v>1572</v>
      </c>
      <c r="AE145" s="80"/>
      <c r="AF145" s="80" t="s">
        <v>2802</v>
      </c>
      <c r="AG145" s="80" t="s">
        <v>3311</v>
      </c>
      <c r="AH145" s="80" t="s">
        <v>3987</v>
      </c>
      <c r="AI145" s="80">
        <v>3393</v>
      </c>
      <c r="AJ145" s="80">
        <v>2</v>
      </c>
      <c r="AK145" s="80">
        <v>4</v>
      </c>
      <c r="AL145" s="80">
        <v>5</v>
      </c>
      <c r="AM145" s="80" t="s">
        <v>4098</v>
      </c>
      <c r="AN145" s="96" t="str">
        <f>HYPERLINK("https://www.youtube.com/watch?v=UgivNSMc2_A")</f>
        <v>https://www.youtube.com/watch?v=UgivNSMc2_A</v>
      </c>
      <c r="AO145" s="80" t="str">
        <f>REPLACE(INDEX(GroupVertices[Group],MATCH(Vertices[[#This Row],[Vertex]],GroupVertices[Vertex],0)),1,1,"")</f>
        <v>3</v>
      </c>
      <c r="AP145" s="48">
        <v>0</v>
      </c>
      <c r="AQ145" s="49">
        <v>0</v>
      </c>
      <c r="AR145" s="48">
        <v>0</v>
      </c>
      <c r="AS145" s="49">
        <v>0</v>
      </c>
      <c r="AT145" s="48">
        <v>0</v>
      </c>
      <c r="AU145" s="49">
        <v>0</v>
      </c>
      <c r="AV145" s="48">
        <v>15</v>
      </c>
      <c r="AW145" s="49">
        <v>100</v>
      </c>
      <c r="AX145" s="48">
        <v>15</v>
      </c>
      <c r="AY145" s="48"/>
      <c r="AZ145" s="48"/>
      <c r="BA145" s="48"/>
      <c r="BB145" s="48"/>
      <c r="BC145" s="2"/>
      <c r="BD145" s="3"/>
      <c r="BE145" s="3"/>
      <c r="BF145" s="3"/>
      <c r="BG145" s="3"/>
    </row>
    <row r="146" spans="1:59" ht="15">
      <c r="A146" s="66" t="s">
        <v>895</v>
      </c>
      <c r="B146" s="67" t="s">
        <v>4456</v>
      </c>
      <c r="C146" s="67" t="s">
        <v>56</v>
      </c>
      <c r="D146" s="68">
        <v>54</v>
      </c>
      <c r="E146" s="70"/>
      <c r="F146" s="97" t="str">
        <f>HYPERLINK("https://i.ytimg.com/vi/E84iKYuaSjk/default.jpg")</f>
        <v>https://i.ytimg.com/vi/E84iKYuaSjk/default.jpg</v>
      </c>
      <c r="G146" s="67"/>
      <c r="H146" s="71" t="s">
        <v>1633</v>
      </c>
      <c r="I146" s="72"/>
      <c r="J146" s="72" t="s">
        <v>159</v>
      </c>
      <c r="K146" s="71" t="s">
        <v>1633</v>
      </c>
      <c r="L146" s="75">
        <v>445.35555555555555</v>
      </c>
      <c r="M146" s="76">
        <v>9528.783203125</v>
      </c>
      <c r="N146" s="76">
        <v>5273.81591796875</v>
      </c>
      <c r="O146" s="77"/>
      <c r="P146" s="78"/>
      <c r="Q146" s="78"/>
      <c r="R146" s="82"/>
      <c r="S146" s="48">
        <v>2</v>
      </c>
      <c r="T146" s="48">
        <v>0</v>
      </c>
      <c r="U146" s="49">
        <v>0.052632</v>
      </c>
      <c r="V146" s="49">
        <v>0.001473</v>
      </c>
      <c r="W146" s="49">
        <v>0.000928</v>
      </c>
      <c r="X146" s="49">
        <v>0.277971</v>
      </c>
      <c r="Y146" s="49">
        <v>0</v>
      </c>
      <c r="Z146" s="49">
        <v>0</v>
      </c>
      <c r="AA146" s="73">
        <v>146</v>
      </c>
      <c r="AB146" s="73"/>
      <c r="AC146" s="74"/>
      <c r="AD146" s="80" t="s">
        <v>1633</v>
      </c>
      <c r="AE146" s="80" t="s">
        <v>2271</v>
      </c>
      <c r="AF146" s="80" t="s">
        <v>2853</v>
      </c>
      <c r="AG146" s="80" t="s">
        <v>3341</v>
      </c>
      <c r="AH146" s="80" t="s">
        <v>4049</v>
      </c>
      <c r="AI146" s="80">
        <v>1334901</v>
      </c>
      <c r="AJ146" s="80">
        <v>24653</v>
      </c>
      <c r="AK146" s="80">
        <v>78249</v>
      </c>
      <c r="AL146" s="80">
        <v>888</v>
      </c>
      <c r="AM146" s="80" t="s">
        <v>4098</v>
      </c>
      <c r="AN146" s="96" t="str">
        <f>HYPERLINK("https://www.youtube.com/watch?v=E84iKYuaSjk")</f>
        <v>https://www.youtube.com/watch?v=E84iKYuaSjk</v>
      </c>
      <c r="AO146" s="80" t="str">
        <f>REPLACE(INDEX(GroupVertices[Group],MATCH(Vertices[[#This Row],[Vertex]],GroupVertices[Vertex],0)),1,1,"")</f>
        <v>3</v>
      </c>
      <c r="AP146" s="48">
        <v>0</v>
      </c>
      <c r="AQ146" s="49">
        <v>0</v>
      </c>
      <c r="AR146" s="48">
        <v>3</v>
      </c>
      <c r="AS146" s="49">
        <v>27.272727272727273</v>
      </c>
      <c r="AT146" s="48">
        <v>0</v>
      </c>
      <c r="AU146" s="49">
        <v>0</v>
      </c>
      <c r="AV146" s="48">
        <v>8</v>
      </c>
      <c r="AW146" s="49">
        <v>72.72727272727273</v>
      </c>
      <c r="AX146" s="48">
        <v>11</v>
      </c>
      <c r="AY146" s="48"/>
      <c r="AZ146" s="48"/>
      <c r="BA146" s="48"/>
      <c r="BB146" s="48"/>
      <c r="BC146" s="2"/>
      <c r="BD146" s="3"/>
      <c r="BE146" s="3"/>
      <c r="BF146" s="3"/>
      <c r="BG146" s="3"/>
    </row>
    <row r="147" spans="1:59" ht="15">
      <c r="A147" s="66" t="s">
        <v>902</v>
      </c>
      <c r="B147" s="67" t="s">
        <v>4456</v>
      </c>
      <c r="C147" s="67" t="s">
        <v>56</v>
      </c>
      <c r="D147" s="68">
        <v>54</v>
      </c>
      <c r="E147" s="70"/>
      <c r="F147" s="97" t="str">
        <f>HYPERLINK("https://i.ytimg.com/vi/mlucDinIomI/default.jpg")</f>
        <v>https://i.ytimg.com/vi/mlucDinIomI/default.jpg</v>
      </c>
      <c r="G147" s="67"/>
      <c r="H147" s="71" t="s">
        <v>1640</v>
      </c>
      <c r="I147" s="72"/>
      <c r="J147" s="72" t="s">
        <v>159</v>
      </c>
      <c r="K147" s="71" t="s">
        <v>1640</v>
      </c>
      <c r="L147" s="75">
        <v>445.35555555555555</v>
      </c>
      <c r="M147" s="76">
        <v>9702.865234375</v>
      </c>
      <c r="N147" s="76">
        <v>5677.19921875</v>
      </c>
      <c r="O147" s="77"/>
      <c r="P147" s="78"/>
      <c r="Q147" s="78"/>
      <c r="R147" s="82"/>
      <c r="S147" s="48">
        <v>2</v>
      </c>
      <c r="T147" s="48">
        <v>0</v>
      </c>
      <c r="U147" s="49">
        <v>0.052632</v>
      </c>
      <c r="V147" s="49">
        <v>0.001473</v>
      </c>
      <c r="W147" s="49">
        <v>0.000928</v>
      </c>
      <c r="X147" s="49">
        <v>0.277971</v>
      </c>
      <c r="Y147" s="49">
        <v>0</v>
      </c>
      <c r="Z147" s="49">
        <v>0</v>
      </c>
      <c r="AA147" s="73">
        <v>147</v>
      </c>
      <c r="AB147" s="73"/>
      <c r="AC147" s="74"/>
      <c r="AD147" s="80" t="s">
        <v>1640</v>
      </c>
      <c r="AE147" s="80" t="s">
        <v>2277</v>
      </c>
      <c r="AF147" s="80" t="s">
        <v>2859</v>
      </c>
      <c r="AG147" s="80" t="s">
        <v>3340</v>
      </c>
      <c r="AH147" s="80" t="s">
        <v>4056</v>
      </c>
      <c r="AI147" s="80">
        <v>798244</v>
      </c>
      <c r="AJ147" s="80">
        <v>4703</v>
      </c>
      <c r="AK147" s="80">
        <v>8386</v>
      </c>
      <c r="AL147" s="80">
        <v>835</v>
      </c>
      <c r="AM147" s="80" t="s">
        <v>4098</v>
      </c>
      <c r="AN147" s="96" t="str">
        <f>HYPERLINK("https://www.youtube.com/watch?v=mlucDinIomI")</f>
        <v>https://www.youtube.com/watch?v=mlucDinIomI</v>
      </c>
      <c r="AO147" s="80" t="str">
        <f>REPLACE(INDEX(GroupVertices[Group],MATCH(Vertices[[#This Row],[Vertex]],GroupVertices[Vertex],0)),1,1,"")</f>
        <v>3</v>
      </c>
      <c r="AP147" s="48">
        <v>1</v>
      </c>
      <c r="AQ147" s="49">
        <v>1.4285714285714286</v>
      </c>
      <c r="AR147" s="48">
        <v>1</v>
      </c>
      <c r="AS147" s="49">
        <v>1.4285714285714286</v>
      </c>
      <c r="AT147" s="48">
        <v>0</v>
      </c>
      <c r="AU147" s="49">
        <v>0</v>
      </c>
      <c r="AV147" s="48">
        <v>68</v>
      </c>
      <c r="AW147" s="49">
        <v>97.14285714285714</v>
      </c>
      <c r="AX147" s="48">
        <v>70</v>
      </c>
      <c r="AY147" s="48"/>
      <c r="AZ147" s="48"/>
      <c r="BA147" s="48"/>
      <c r="BB147" s="48"/>
      <c r="BC147" s="2"/>
      <c r="BD147" s="3"/>
      <c r="BE147" s="3"/>
      <c r="BF147" s="3"/>
      <c r="BG147" s="3"/>
    </row>
    <row r="148" spans="1:59" ht="15">
      <c r="A148" s="66" t="s">
        <v>612</v>
      </c>
      <c r="B148" s="67" t="s">
        <v>4456</v>
      </c>
      <c r="C148" s="67" t="s">
        <v>56</v>
      </c>
      <c r="D148" s="68">
        <v>54</v>
      </c>
      <c r="E148" s="70"/>
      <c r="F148" s="97" t="str">
        <f>HYPERLINK("https://i.ytimg.com/vi/SDfZY99vO3s/default.jpg")</f>
        <v>https://i.ytimg.com/vi/SDfZY99vO3s/default.jpg</v>
      </c>
      <c r="G148" s="67"/>
      <c r="H148" s="71" t="s">
        <v>1352</v>
      </c>
      <c r="I148" s="72"/>
      <c r="J148" s="72" t="s">
        <v>159</v>
      </c>
      <c r="K148" s="71" t="s">
        <v>1352</v>
      </c>
      <c r="L148" s="75">
        <v>445.35555555555555</v>
      </c>
      <c r="M148" s="76">
        <v>3454.44921875</v>
      </c>
      <c r="N148" s="76">
        <v>9802.2900390625</v>
      </c>
      <c r="O148" s="77"/>
      <c r="P148" s="78"/>
      <c r="Q148" s="78"/>
      <c r="R148" s="82"/>
      <c r="S148" s="48">
        <v>2</v>
      </c>
      <c r="T148" s="48">
        <v>0</v>
      </c>
      <c r="U148" s="49">
        <v>0</v>
      </c>
      <c r="V148" s="49">
        <v>0.001425</v>
      </c>
      <c r="W148" s="49">
        <v>0.000803</v>
      </c>
      <c r="X148" s="49">
        <v>0.277631</v>
      </c>
      <c r="Y148" s="49">
        <v>0.5</v>
      </c>
      <c r="Z148" s="49">
        <v>0</v>
      </c>
      <c r="AA148" s="73">
        <v>148</v>
      </c>
      <c r="AB148" s="73"/>
      <c r="AC148" s="74"/>
      <c r="AD148" s="80" t="s">
        <v>1352</v>
      </c>
      <c r="AE148" s="80" t="s">
        <v>2018</v>
      </c>
      <c r="AF148" s="80" t="s">
        <v>2616</v>
      </c>
      <c r="AG148" s="80" t="s">
        <v>3158</v>
      </c>
      <c r="AH148" s="80" t="s">
        <v>3764</v>
      </c>
      <c r="AI148" s="80">
        <v>5038365</v>
      </c>
      <c r="AJ148" s="80">
        <v>34428</v>
      </c>
      <c r="AK148" s="80">
        <v>500256</v>
      </c>
      <c r="AL148" s="80">
        <v>4156</v>
      </c>
      <c r="AM148" s="80" t="s">
        <v>4098</v>
      </c>
      <c r="AN148" s="96" t="str">
        <f>HYPERLINK("https://www.youtube.com/watch?v=SDfZY99vO3s")</f>
        <v>https://www.youtube.com/watch?v=SDfZY99vO3s</v>
      </c>
      <c r="AO148" s="80" t="str">
        <f>REPLACE(INDEX(GroupVertices[Group],MATCH(Vertices[[#This Row],[Vertex]],GroupVertices[Vertex],0)),1,1,"")</f>
        <v>1</v>
      </c>
      <c r="AP148" s="48">
        <v>0</v>
      </c>
      <c r="AQ148" s="49">
        <v>0</v>
      </c>
      <c r="AR148" s="48">
        <v>0</v>
      </c>
      <c r="AS148" s="49">
        <v>0</v>
      </c>
      <c r="AT148" s="48">
        <v>0</v>
      </c>
      <c r="AU148" s="49">
        <v>0</v>
      </c>
      <c r="AV148" s="48">
        <v>1</v>
      </c>
      <c r="AW148" s="49">
        <v>100</v>
      </c>
      <c r="AX148" s="48">
        <v>1</v>
      </c>
      <c r="AY148" s="48"/>
      <c r="AZ148" s="48"/>
      <c r="BA148" s="48"/>
      <c r="BB148" s="48"/>
      <c r="BC148" s="2"/>
      <c r="BD148" s="3"/>
      <c r="BE148" s="3"/>
      <c r="BF148" s="3"/>
      <c r="BG148" s="3"/>
    </row>
    <row r="149" spans="1:59" ht="15">
      <c r="A149" s="66" t="s">
        <v>611</v>
      </c>
      <c r="B149" s="67" t="s">
        <v>4456</v>
      </c>
      <c r="C149" s="67" t="s">
        <v>56</v>
      </c>
      <c r="D149" s="68">
        <v>54</v>
      </c>
      <c r="E149" s="70"/>
      <c r="F149" s="97" t="str">
        <f>HYPERLINK("https://i.ytimg.com/vi/RC-yz4HV1Hk/default.jpg")</f>
        <v>https://i.ytimg.com/vi/RC-yz4HV1Hk/default.jpg</v>
      </c>
      <c r="G149" s="67"/>
      <c r="H149" s="71" t="s">
        <v>1351</v>
      </c>
      <c r="I149" s="72"/>
      <c r="J149" s="72" t="s">
        <v>159</v>
      </c>
      <c r="K149" s="71" t="s">
        <v>1351</v>
      </c>
      <c r="L149" s="75">
        <v>445.35555555555555</v>
      </c>
      <c r="M149" s="76">
        <v>2931.389892578125</v>
      </c>
      <c r="N149" s="76">
        <v>9854.505859375</v>
      </c>
      <c r="O149" s="77"/>
      <c r="P149" s="78"/>
      <c r="Q149" s="78"/>
      <c r="R149" s="82"/>
      <c r="S149" s="48">
        <v>2</v>
      </c>
      <c r="T149" s="48">
        <v>0</v>
      </c>
      <c r="U149" s="49">
        <v>0</v>
      </c>
      <c r="V149" s="49">
        <v>0.001425</v>
      </c>
      <c r="W149" s="49">
        <v>0.000803</v>
      </c>
      <c r="X149" s="49">
        <v>0.277631</v>
      </c>
      <c r="Y149" s="49">
        <v>0.5</v>
      </c>
      <c r="Z149" s="49">
        <v>0</v>
      </c>
      <c r="AA149" s="73">
        <v>149</v>
      </c>
      <c r="AB149" s="73"/>
      <c r="AC149" s="74"/>
      <c r="AD149" s="80" t="s">
        <v>1351</v>
      </c>
      <c r="AE149" s="80" t="s">
        <v>2017</v>
      </c>
      <c r="AF149" s="80" t="s">
        <v>2615</v>
      </c>
      <c r="AG149" s="80" t="s">
        <v>3157</v>
      </c>
      <c r="AH149" s="80" t="s">
        <v>3763</v>
      </c>
      <c r="AI149" s="80">
        <v>4627313</v>
      </c>
      <c r="AJ149" s="80">
        <v>26619</v>
      </c>
      <c r="AK149" s="80">
        <v>693233</v>
      </c>
      <c r="AL149" s="80">
        <v>2720</v>
      </c>
      <c r="AM149" s="80" t="s">
        <v>4098</v>
      </c>
      <c r="AN149" s="96" t="str">
        <f>HYPERLINK("https://www.youtube.com/watch?v=RC-yz4HV1Hk")</f>
        <v>https://www.youtube.com/watch?v=RC-yz4HV1Hk</v>
      </c>
      <c r="AO149" s="80" t="str">
        <f>REPLACE(INDEX(GroupVertices[Group],MATCH(Vertices[[#This Row],[Vertex]],GroupVertices[Vertex],0)),1,1,"")</f>
        <v>1</v>
      </c>
      <c r="AP149" s="48">
        <v>0</v>
      </c>
      <c r="AQ149" s="49">
        <v>0</v>
      </c>
      <c r="AR149" s="48">
        <v>0</v>
      </c>
      <c r="AS149" s="49">
        <v>0</v>
      </c>
      <c r="AT149" s="48">
        <v>0</v>
      </c>
      <c r="AU149" s="49">
        <v>0</v>
      </c>
      <c r="AV149" s="48">
        <v>11</v>
      </c>
      <c r="AW149" s="49">
        <v>100</v>
      </c>
      <c r="AX149" s="48">
        <v>11</v>
      </c>
      <c r="AY149" s="48"/>
      <c r="AZ149" s="48"/>
      <c r="BA149" s="48"/>
      <c r="BB149" s="48"/>
      <c r="BC149" s="2"/>
      <c r="BD149" s="3"/>
      <c r="BE149" s="3"/>
      <c r="BF149" s="3"/>
      <c r="BG149" s="3"/>
    </row>
    <row r="150" spans="1:59" ht="15">
      <c r="A150" s="66" t="s">
        <v>900</v>
      </c>
      <c r="B150" s="67" t="s">
        <v>4456</v>
      </c>
      <c r="C150" s="67" t="s">
        <v>56</v>
      </c>
      <c r="D150" s="68">
        <v>54</v>
      </c>
      <c r="E150" s="70"/>
      <c r="F150" s="97" t="str">
        <f>HYPERLINK("https://i.ytimg.com/vi/7YcW25PHnAA/default.jpg")</f>
        <v>https://i.ytimg.com/vi/7YcW25PHnAA/default.jpg</v>
      </c>
      <c r="G150" s="67"/>
      <c r="H150" s="71" t="s">
        <v>1638</v>
      </c>
      <c r="I150" s="72"/>
      <c r="J150" s="72" t="s">
        <v>159</v>
      </c>
      <c r="K150" s="71" t="s">
        <v>1638</v>
      </c>
      <c r="L150" s="75">
        <v>445.35555555555555</v>
      </c>
      <c r="M150" s="76">
        <v>4951.7236328125</v>
      </c>
      <c r="N150" s="76">
        <v>3830.687744140625</v>
      </c>
      <c r="O150" s="77"/>
      <c r="P150" s="78"/>
      <c r="Q150" s="78"/>
      <c r="R150" s="82"/>
      <c r="S150" s="48">
        <v>2</v>
      </c>
      <c r="T150" s="48">
        <v>0</v>
      </c>
      <c r="U150" s="49">
        <v>0</v>
      </c>
      <c r="V150" s="49">
        <v>0.00142</v>
      </c>
      <c r="W150" s="49">
        <v>0.000859</v>
      </c>
      <c r="X150" s="49">
        <v>0.273593</v>
      </c>
      <c r="Y150" s="49">
        <v>1</v>
      </c>
      <c r="Z150" s="49">
        <v>0</v>
      </c>
      <c r="AA150" s="73">
        <v>150</v>
      </c>
      <c r="AB150" s="73"/>
      <c r="AC150" s="74"/>
      <c r="AD150" s="80" t="s">
        <v>1638</v>
      </c>
      <c r="AE150" s="80" t="s">
        <v>2275</v>
      </c>
      <c r="AF150" s="80" t="s">
        <v>2857</v>
      </c>
      <c r="AG150" s="80" t="s">
        <v>3346</v>
      </c>
      <c r="AH150" s="80" t="s">
        <v>4054</v>
      </c>
      <c r="AI150" s="80">
        <v>4704424</v>
      </c>
      <c r="AJ150" s="80">
        <v>233</v>
      </c>
      <c r="AK150" s="80">
        <v>57685</v>
      </c>
      <c r="AL150" s="80">
        <v>1314</v>
      </c>
      <c r="AM150" s="80" t="s">
        <v>4098</v>
      </c>
      <c r="AN150" s="96" t="str">
        <f>HYPERLINK("https://www.youtube.com/watch?v=7YcW25PHnAA")</f>
        <v>https://www.youtube.com/watch?v=7YcW25PHnAA</v>
      </c>
      <c r="AO150" s="80" t="str">
        <f>REPLACE(INDEX(GroupVertices[Group],MATCH(Vertices[[#This Row],[Vertex]],GroupVertices[Vertex],0)),1,1,"")</f>
        <v>2</v>
      </c>
      <c r="AP150" s="48">
        <v>0</v>
      </c>
      <c r="AQ150" s="49">
        <v>0</v>
      </c>
      <c r="AR150" s="48">
        <v>0</v>
      </c>
      <c r="AS150" s="49">
        <v>0</v>
      </c>
      <c r="AT150" s="48">
        <v>0</v>
      </c>
      <c r="AU150" s="49">
        <v>0</v>
      </c>
      <c r="AV150" s="48">
        <v>13</v>
      </c>
      <c r="AW150" s="49">
        <v>100</v>
      </c>
      <c r="AX150" s="48">
        <v>13</v>
      </c>
      <c r="AY150" s="48"/>
      <c r="AZ150" s="48"/>
      <c r="BA150" s="48"/>
      <c r="BB150" s="48"/>
      <c r="BC150" s="2"/>
      <c r="BD150" s="3"/>
      <c r="BE150" s="3"/>
      <c r="BF150" s="3"/>
      <c r="BG150" s="3"/>
    </row>
    <row r="151" spans="1:59" ht="15">
      <c r="A151" s="66" t="s">
        <v>466</v>
      </c>
      <c r="B151" s="67" t="s">
        <v>4456</v>
      </c>
      <c r="C151" s="67" t="s">
        <v>56</v>
      </c>
      <c r="D151" s="68">
        <v>54</v>
      </c>
      <c r="E151" s="70"/>
      <c r="F151" s="97" t="str">
        <f>HYPERLINK("https://i.ytimg.com/vi/RqS_PxMHqV8/default.jpg")</f>
        <v>https://i.ytimg.com/vi/RqS_PxMHqV8/default.jpg</v>
      </c>
      <c r="G151" s="67"/>
      <c r="H151" s="71" t="s">
        <v>1177</v>
      </c>
      <c r="I151" s="72"/>
      <c r="J151" s="72" t="s">
        <v>159</v>
      </c>
      <c r="K151" s="71" t="s">
        <v>1177</v>
      </c>
      <c r="L151" s="75">
        <v>445.35555555555555</v>
      </c>
      <c r="M151" s="76">
        <v>884.8850708007812</v>
      </c>
      <c r="N151" s="76">
        <v>5475.2744140625</v>
      </c>
      <c r="O151" s="77"/>
      <c r="P151" s="78"/>
      <c r="Q151" s="78"/>
      <c r="R151" s="82"/>
      <c r="S151" s="48">
        <v>2</v>
      </c>
      <c r="T151" s="48">
        <v>0</v>
      </c>
      <c r="U151" s="49">
        <v>0</v>
      </c>
      <c r="V151" s="49">
        <v>0.001242</v>
      </c>
      <c r="W151" s="49">
        <v>0.000234</v>
      </c>
      <c r="X151" s="49">
        <v>0.314504</v>
      </c>
      <c r="Y151" s="49">
        <v>1</v>
      </c>
      <c r="Z151" s="49">
        <v>0</v>
      </c>
      <c r="AA151" s="73">
        <v>151</v>
      </c>
      <c r="AB151" s="73"/>
      <c r="AC151" s="74"/>
      <c r="AD151" s="80" t="s">
        <v>1177</v>
      </c>
      <c r="AE151" s="80" t="s">
        <v>1866</v>
      </c>
      <c r="AF151" s="80" t="s">
        <v>2483</v>
      </c>
      <c r="AG151" s="80" t="s">
        <v>3044</v>
      </c>
      <c r="AH151" s="80" t="s">
        <v>3590</v>
      </c>
      <c r="AI151" s="80">
        <v>3365151</v>
      </c>
      <c r="AJ151" s="80">
        <v>1212</v>
      </c>
      <c r="AK151" s="80">
        <v>29176</v>
      </c>
      <c r="AL151" s="80">
        <v>250</v>
      </c>
      <c r="AM151" s="80" t="s">
        <v>4098</v>
      </c>
      <c r="AN151" s="96" t="str">
        <f>HYPERLINK("https://www.youtube.com/watch?v=RqS_PxMHqV8")</f>
        <v>https://www.youtube.com/watch?v=RqS_PxMHqV8</v>
      </c>
      <c r="AO151" s="80" t="str">
        <f>REPLACE(INDEX(GroupVertices[Group],MATCH(Vertices[[#This Row],[Vertex]],GroupVertices[Vertex],0)),1,1,"")</f>
        <v>1</v>
      </c>
      <c r="AP151" s="48">
        <v>0</v>
      </c>
      <c r="AQ151" s="49">
        <v>0</v>
      </c>
      <c r="AR151" s="48">
        <v>0</v>
      </c>
      <c r="AS151" s="49">
        <v>0</v>
      </c>
      <c r="AT151" s="48">
        <v>0</v>
      </c>
      <c r="AU151" s="49">
        <v>0</v>
      </c>
      <c r="AV151" s="48">
        <v>11</v>
      </c>
      <c r="AW151" s="49">
        <v>100</v>
      </c>
      <c r="AX151" s="48">
        <v>11</v>
      </c>
      <c r="AY151" s="48"/>
      <c r="AZ151" s="48"/>
      <c r="BA151" s="48"/>
      <c r="BB151" s="48"/>
      <c r="BC151" s="2"/>
      <c r="BD151" s="3"/>
      <c r="BE151" s="3"/>
      <c r="BF151" s="3"/>
      <c r="BG151" s="3"/>
    </row>
    <row r="152" spans="1:59" ht="15">
      <c r="A152" s="66" t="s">
        <v>472</v>
      </c>
      <c r="B152" s="67" t="s">
        <v>4456</v>
      </c>
      <c r="C152" s="67" t="s">
        <v>56</v>
      </c>
      <c r="D152" s="68">
        <v>54</v>
      </c>
      <c r="E152" s="70"/>
      <c r="F152" s="97" t="str">
        <f>HYPERLINK("https://i.ytimg.com/vi/gOASqU7wHkQ/default.jpg")</f>
        <v>https://i.ytimg.com/vi/gOASqU7wHkQ/default.jpg</v>
      </c>
      <c r="G152" s="67"/>
      <c r="H152" s="71" t="s">
        <v>1183</v>
      </c>
      <c r="I152" s="72"/>
      <c r="J152" s="72" t="s">
        <v>159</v>
      </c>
      <c r="K152" s="71" t="s">
        <v>1183</v>
      </c>
      <c r="L152" s="75">
        <v>445.35555555555555</v>
      </c>
      <c r="M152" s="76">
        <v>1176.298828125</v>
      </c>
      <c r="N152" s="76">
        <v>5253.634765625</v>
      </c>
      <c r="O152" s="77"/>
      <c r="P152" s="78"/>
      <c r="Q152" s="78"/>
      <c r="R152" s="82"/>
      <c r="S152" s="48">
        <v>2</v>
      </c>
      <c r="T152" s="48">
        <v>0</v>
      </c>
      <c r="U152" s="49">
        <v>0</v>
      </c>
      <c r="V152" s="49">
        <v>0.001242</v>
      </c>
      <c r="W152" s="49">
        <v>0.000234</v>
      </c>
      <c r="X152" s="49">
        <v>0.314504</v>
      </c>
      <c r="Y152" s="49">
        <v>1</v>
      </c>
      <c r="Z152" s="49">
        <v>0</v>
      </c>
      <c r="AA152" s="73">
        <v>152</v>
      </c>
      <c r="AB152" s="73"/>
      <c r="AC152" s="74"/>
      <c r="AD152" s="80" t="s">
        <v>1183</v>
      </c>
      <c r="AE152" s="80" t="s">
        <v>1872</v>
      </c>
      <c r="AF152" s="80" t="s">
        <v>2486</v>
      </c>
      <c r="AG152" s="80" t="s">
        <v>3049</v>
      </c>
      <c r="AH152" s="80" t="s">
        <v>3596</v>
      </c>
      <c r="AI152" s="80">
        <v>635973</v>
      </c>
      <c r="AJ152" s="80">
        <v>199</v>
      </c>
      <c r="AK152" s="80">
        <v>6063</v>
      </c>
      <c r="AL152" s="80">
        <v>137</v>
      </c>
      <c r="AM152" s="80" t="s">
        <v>4098</v>
      </c>
      <c r="AN152" s="96" t="str">
        <f>HYPERLINK("https://www.youtube.com/watch?v=gOASqU7wHkQ")</f>
        <v>https://www.youtube.com/watch?v=gOASqU7wHkQ</v>
      </c>
      <c r="AO152" s="80" t="str">
        <f>REPLACE(INDEX(GroupVertices[Group],MATCH(Vertices[[#This Row],[Vertex]],GroupVertices[Vertex],0)),1,1,"")</f>
        <v>1</v>
      </c>
      <c r="AP152" s="48">
        <v>1</v>
      </c>
      <c r="AQ152" s="49">
        <v>33.333333333333336</v>
      </c>
      <c r="AR152" s="48">
        <v>0</v>
      </c>
      <c r="AS152" s="49">
        <v>0</v>
      </c>
      <c r="AT152" s="48">
        <v>0</v>
      </c>
      <c r="AU152" s="49">
        <v>0</v>
      </c>
      <c r="AV152" s="48">
        <v>2</v>
      </c>
      <c r="AW152" s="49">
        <v>66.66666666666667</v>
      </c>
      <c r="AX152" s="48">
        <v>3</v>
      </c>
      <c r="AY152" s="48"/>
      <c r="AZ152" s="48"/>
      <c r="BA152" s="48"/>
      <c r="BB152" s="48"/>
      <c r="BC152" s="2"/>
      <c r="BD152" s="3"/>
      <c r="BE152" s="3"/>
      <c r="BF152" s="3"/>
      <c r="BG152" s="3"/>
    </row>
    <row r="153" spans="1:59" ht="15">
      <c r="A153" s="66" t="s">
        <v>784</v>
      </c>
      <c r="B153" s="67" t="s">
        <v>4456</v>
      </c>
      <c r="C153" s="67" t="s">
        <v>56</v>
      </c>
      <c r="D153" s="68">
        <v>76</v>
      </c>
      <c r="E153" s="70"/>
      <c r="F153" s="97" t="str">
        <f>HYPERLINK("https://i.ytimg.com/vi/S9kYApoR8U4/default.jpg")</f>
        <v>https://i.ytimg.com/vi/S9kYApoR8U4/default.jpg</v>
      </c>
      <c r="G153" s="67"/>
      <c r="H153" s="71" t="s">
        <v>1524</v>
      </c>
      <c r="I153" s="72"/>
      <c r="J153" s="72" t="s">
        <v>159</v>
      </c>
      <c r="K153" s="71" t="s">
        <v>1524</v>
      </c>
      <c r="L153" s="75">
        <v>667.5333333333333</v>
      </c>
      <c r="M153" s="76">
        <v>727.9384155273438</v>
      </c>
      <c r="N153" s="76">
        <v>2048.919189453125</v>
      </c>
      <c r="O153" s="77"/>
      <c r="P153" s="78"/>
      <c r="Q153" s="78"/>
      <c r="R153" s="82"/>
      <c r="S153" s="48">
        <v>3</v>
      </c>
      <c r="T153" s="48">
        <v>0</v>
      </c>
      <c r="U153" s="49">
        <v>0</v>
      </c>
      <c r="V153" s="49">
        <v>0.001443</v>
      </c>
      <c r="W153" s="49">
        <v>0.001314</v>
      </c>
      <c r="X153" s="49">
        <v>0.327067</v>
      </c>
      <c r="Y153" s="49">
        <v>0.8333333333333334</v>
      </c>
      <c r="Z153" s="49">
        <v>0</v>
      </c>
      <c r="AA153" s="73">
        <v>153</v>
      </c>
      <c r="AB153" s="73"/>
      <c r="AC153" s="74"/>
      <c r="AD153" s="80" t="s">
        <v>1524</v>
      </c>
      <c r="AE153" s="80" t="s">
        <v>2174</v>
      </c>
      <c r="AF153" s="80" t="s">
        <v>2760</v>
      </c>
      <c r="AG153" s="80" t="s">
        <v>3096</v>
      </c>
      <c r="AH153" s="80" t="s">
        <v>3938</v>
      </c>
      <c r="AI153" s="80">
        <v>230633</v>
      </c>
      <c r="AJ153" s="80">
        <v>131</v>
      </c>
      <c r="AK153" s="80">
        <v>656</v>
      </c>
      <c r="AL153" s="80">
        <v>63</v>
      </c>
      <c r="AM153" s="80" t="s">
        <v>4098</v>
      </c>
      <c r="AN153" s="96" t="str">
        <f>HYPERLINK("https://www.youtube.com/watch?v=S9kYApoR8U4")</f>
        <v>https://www.youtube.com/watch?v=S9kYApoR8U4</v>
      </c>
      <c r="AO153" s="80" t="str">
        <f>REPLACE(INDEX(GroupVertices[Group],MATCH(Vertices[[#This Row],[Vertex]],GroupVertices[Vertex],0)),1,1,"")</f>
        <v>2</v>
      </c>
      <c r="AP153" s="48">
        <v>3</v>
      </c>
      <c r="AQ153" s="49">
        <v>18.75</v>
      </c>
      <c r="AR153" s="48">
        <v>0</v>
      </c>
      <c r="AS153" s="49">
        <v>0</v>
      </c>
      <c r="AT153" s="48">
        <v>0</v>
      </c>
      <c r="AU153" s="49">
        <v>0</v>
      </c>
      <c r="AV153" s="48">
        <v>13</v>
      </c>
      <c r="AW153" s="49">
        <v>81.25</v>
      </c>
      <c r="AX153" s="48">
        <v>16</v>
      </c>
      <c r="AY153" s="48"/>
      <c r="AZ153" s="48"/>
      <c r="BA153" s="48"/>
      <c r="BB153" s="48"/>
      <c r="BC153" s="2"/>
      <c r="BD153" s="3"/>
      <c r="BE153" s="3"/>
      <c r="BF153" s="3"/>
      <c r="BG153" s="3"/>
    </row>
    <row r="154" spans="1:59" ht="15">
      <c r="A154" s="66" t="s">
        <v>832</v>
      </c>
      <c r="B154" s="67" t="s">
        <v>4456</v>
      </c>
      <c r="C154" s="67" t="s">
        <v>56</v>
      </c>
      <c r="D154" s="68">
        <v>76</v>
      </c>
      <c r="E154" s="70"/>
      <c r="F154" s="97" t="str">
        <f>HYPERLINK("https://i.ytimg.com/vi/T7v7a2EPvUY/default.jpg")</f>
        <v>https://i.ytimg.com/vi/T7v7a2EPvUY/default.jpg</v>
      </c>
      <c r="G154" s="67"/>
      <c r="H154" s="71" t="s">
        <v>1571</v>
      </c>
      <c r="I154" s="72"/>
      <c r="J154" s="72" t="s">
        <v>159</v>
      </c>
      <c r="K154" s="71" t="s">
        <v>1571</v>
      </c>
      <c r="L154" s="75">
        <v>667.5333333333333</v>
      </c>
      <c r="M154" s="76">
        <v>6730.07666015625</v>
      </c>
      <c r="N154" s="76">
        <v>1357.142333984375</v>
      </c>
      <c r="O154" s="77"/>
      <c r="P154" s="78"/>
      <c r="Q154" s="78"/>
      <c r="R154" s="82"/>
      <c r="S154" s="48">
        <v>3</v>
      </c>
      <c r="T154" s="48">
        <v>0</v>
      </c>
      <c r="U154" s="49">
        <v>0</v>
      </c>
      <c r="V154" s="49">
        <v>0.001513</v>
      </c>
      <c r="W154" s="49">
        <v>0.00137</v>
      </c>
      <c r="X154" s="49">
        <v>0.342946</v>
      </c>
      <c r="Y154" s="49">
        <v>0.6666666666666666</v>
      </c>
      <c r="Z154" s="49">
        <v>0</v>
      </c>
      <c r="AA154" s="73">
        <v>154</v>
      </c>
      <c r="AB154" s="73"/>
      <c r="AC154" s="74"/>
      <c r="AD154" s="80" t="s">
        <v>1571</v>
      </c>
      <c r="AE154" s="80" t="s">
        <v>2218</v>
      </c>
      <c r="AF154" s="80" t="s">
        <v>2801</v>
      </c>
      <c r="AG154" s="80" t="s">
        <v>3310</v>
      </c>
      <c r="AH154" s="80" t="s">
        <v>3986</v>
      </c>
      <c r="AI154" s="80">
        <v>34533</v>
      </c>
      <c r="AJ154" s="80">
        <v>10</v>
      </c>
      <c r="AK154" s="80">
        <v>75</v>
      </c>
      <c r="AL154" s="80">
        <v>55</v>
      </c>
      <c r="AM154" s="80" t="s">
        <v>4098</v>
      </c>
      <c r="AN154" s="96" t="str">
        <f>HYPERLINK("https://www.youtube.com/watch?v=T7v7a2EPvUY")</f>
        <v>https://www.youtube.com/watch?v=T7v7a2EPvUY</v>
      </c>
      <c r="AO154" s="80" t="str">
        <f>REPLACE(INDEX(GroupVertices[Group],MATCH(Vertices[[#This Row],[Vertex]],GroupVertices[Vertex],0)),1,1,"")</f>
        <v>4</v>
      </c>
      <c r="AP154" s="48">
        <v>1</v>
      </c>
      <c r="AQ154" s="49">
        <v>20</v>
      </c>
      <c r="AR154" s="48">
        <v>0</v>
      </c>
      <c r="AS154" s="49">
        <v>0</v>
      </c>
      <c r="AT154" s="48">
        <v>0</v>
      </c>
      <c r="AU154" s="49">
        <v>0</v>
      </c>
      <c r="AV154" s="48">
        <v>4</v>
      </c>
      <c r="AW154" s="49">
        <v>80</v>
      </c>
      <c r="AX154" s="48">
        <v>5</v>
      </c>
      <c r="AY154" s="48"/>
      <c r="AZ154" s="48"/>
      <c r="BA154" s="48"/>
      <c r="BB154" s="48"/>
      <c r="BC154" s="2"/>
      <c r="BD154" s="3"/>
      <c r="BE154" s="3"/>
      <c r="BF154" s="3"/>
      <c r="BG154" s="3"/>
    </row>
    <row r="155" spans="1:59" ht="15">
      <c r="A155" s="66" t="s">
        <v>843</v>
      </c>
      <c r="B155" s="67" t="s">
        <v>4456</v>
      </c>
      <c r="C155" s="67" t="s">
        <v>56</v>
      </c>
      <c r="D155" s="68">
        <v>76</v>
      </c>
      <c r="E155" s="70"/>
      <c r="F155" s="97" t="str">
        <f>HYPERLINK("https://i.ytimg.com/vi/ZdY1Fp9dKzs/default.jpg")</f>
        <v>https://i.ytimg.com/vi/ZdY1Fp9dKzs/default.jpg</v>
      </c>
      <c r="G155" s="67"/>
      <c r="H155" s="71" t="s">
        <v>1582</v>
      </c>
      <c r="I155" s="72"/>
      <c r="J155" s="72" t="s">
        <v>159</v>
      </c>
      <c r="K155" s="71" t="s">
        <v>1582</v>
      </c>
      <c r="L155" s="75">
        <v>667.5333333333333</v>
      </c>
      <c r="M155" s="76">
        <v>9498.6884765625</v>
      </c>
      <c r="N155" s="76">
        <v>6583.30859375</v>
      </c>
      <c r="O155" s="77"/>
      <c r="P155" s="78"/>
      <c r="Q155" s="78"/>
      <c r="R155" s="82"/>
      <c r="S155" s="48">
        <v>3</v>
      </c>
      <c r="T155" s="48">
        <v>0</v>
      </c>
      <c r="U155" s="49">
        <v>0</v>
      </c>
      <c r="V155" s="49">
        <v>0.001495</v>
      </c>
      <c r="W155" s="49">
        <v>0.001421</v>
      </c>
      <c r="X155" s="49">
        <v>0.333782</v>
      </c>
      <c r="Y155" s="49">
        <v>0.6666666666666666</v>
      </c>
      <c r="Z155" s="49">
        <v>0</v>
      </c>
      <c r="AA155" s="73">
        <v>155</v>
      </c>
      <c r="AB155" s="73"/>
      <c r="AC155" s="74"/>
      <c r="AD155" s="80" t="s">
        <v>1582</v>
      </c>
      <c r="AE155" s="80" t="s">
        <v>2226</v>
      </c>
      <c r="AF155" s="80" t="s">
        <v>2812</v>
      </c>
      <c r="AG155" s="80" t="s">
        <v>3314</v>
      </c>
      <c r="AH155" s="80" t="s">
        <v>3997</v>
      </c>
      <c r="AI155" s="80">
        <v>345605</v>
      </c>
      <c r="AJ155" s="80">
        <v>98</v>
      </c>
      <c r="AK155" s="80">
        <v>2494</v>
      </c>
      <c r="AL155" s="80">
        <v>35</v>
      </c>
      <c r="AM155" s="80" t="s">
        <v>4098</v>
      </c>
      <c r="AN155" s="96" t="str">
        <f>HYPERLINK("https://www.youtube.com/watch?v=ZdY1Fp9dKzs")</f>
        <v>https://www.youtube.com/watch?v=ZdY1Fp9dKzs</v>
      </c>
      <c r="AO155" s="80" t="str">
        <f>REPLACE(INDEX(GroupVertices[Group],MATCH(Vertices[[#This Row],[Vertex]],GroupVertices[Vertex],0)),1,1,"")</f>
        <v>3</v>
      </c>
      <c r="AP155" s="48">
        <v>0</v>
      </c>
      <c r="AQ155" s="49">
        <v>0</v>
      </c>
      <c r="AR155" s="48">
        <v>0</v>
      </c>
      <c r="AS155" s="49">
        <v>0</v>
      </c>
      <c r="AT155" s="48">
        <v>0</v>
      </c>
      <c r="AU155" s="49">
        <v>0</v>
      </c>
      <c r="AV155" s="48">
        <v>14</v>
      </c>
      <c r="AW155" s="49">
        <v>100</v>
      </c>
      <c r="AX155" s="48">
        <v>14</v>
      </c>
      <c r="AY155" s="48"/>
      <c r="AZ155" s="48"/>
      <c r="BA155" s="48"/>
      <c r="BB155" s="48"/>
      <c r="BC155" s="2"/>
      <c r="BD155" s="3"/>
      <c r="BE155" s="3"/>
      <c r="BF155" s="3"/>
      <c r="BG155" s="3"/>
    </row>
    <row r="156" spans="1:59" ht="15">
      <c r="A156" s="66" t="s">
        <v>622</v>
      </c>
      <c r="B156" s="67" t="s">
        <v>4456</v>
      </c>
      <c r="C156" s="67" t="s">
        <v>56</v>
      </c>
      <c r="D156" s="68">
        <v>54</v>
      </c>
      <c r="E156" s="70"/>
      <c r="F156" s="97" t="str">
        <f>HYPERLINK("https://i.ytimg.com/vi/FyPSS5IwecI/default.jpg")</f>
        <v>https://i.ytimg.com/vi/FyPSS5IwecI/default.jpg</v>
      </c>
      <c r="G156" s="67"/>
      <c r="H156" s="71" t="s">
        <v>1362</v>
      </c>
      <c r="I156" s="72"/>
      <c r="J156" s="72" t="s">
        <v>159</v>
      </c>
      <c r="K156" s="71" t="s">
        <v>1362</v>
      </c>
      <c r="L156" s="75">
        <v>445.35555555555555</v>
      </c>
      <c r="M156" s="76">
        <v>1642.109130859375</v>
      </c>
      <c r="N156" s="76">
        <v>8977.71484375</v>
      </c>
      <c r="O156" s="77"/>
      <c r="P156" s="78"/>
      <c r="Q156" s="78"/>
      <c r="R156" s="82"/>
      <c r="S156" s="48">
        <v>2</v>
      </c>
      <c r="T156" s="48">
        <v>0</v>
      </c>
      <c r="U156" s="49">
        <v>0</v>
      </c>
      <c r="V156" s="49">
        <v>0.001443</v>
      </c>
      <c r="W156" s="49">
        <v>0.000732</v>
      </c>
      <c r="X156" s="49">
        <v>0.281527</v>
      </c>
      <c r="Y156" s="49">
        <v>0.5</v>
      </c>
      <c r="Z156" s="49">
        <v>0</v>
      </c>
      <c r="AA156" s="73">
        <v>156</v>
      </c>
      <c r="AB156" s="73"/>
      <c r="AC156" s="74"/>
      <c r="AD156" s="80" t="s">
        <v>1362</v>
      </c>
      <c r="AE156" s="80" t="s">
        <v>2028</v>
      </c>
      <c r="AF156" s="80" t="s">
        <v>2626</v>
      </c>
      <c r="AG156" s="80" t="s">
        <v>3168</v>
      </c>
      <c r="AH156" s="80" t="s">
        <v>3774</v>
      </c>
      <c r="AI156" s="80">
        <v>48223</v>
      </c>
      <c r="AJ156" s="80">
        <v>4</v>
      </c>
      <c r="AK156" s="80">
        <v>37</v>
      </c>
      <c r="AL156" s="80">
        <v>31</v>
      </c>
      <c r="AM156" s="80" t="s">
        <v>4098</v>
      </c>
      <c r="AN156" s="96" t="str">
        <f>HYPERLINK("https://www.youtube.com/watch?v=FyPSS5IwecI")</f>
        <v>https://www.youtube.com/watch?v=FyPSS5IwecI</v>
      </c>
      <c r="AO156" s="80" t="str">
        <f>REPLACE(INDEX(GroupVertices[Group],MATCH(Vertices[[#This Row],[Vertex]],GroupVertices[Vertex],0)),1,1,"")</f>
        <v>1</v>
      </c>
      <c r="AP156" s="48">
        <v>1</v>
      </c>
      <c r="AQ156" s="49">
        <v>50</v>
      </c>
      <c r="AR156" s="48">
        <v>0</v>
      </c>
      <c r="AS156" s="49">
        <v>0</v>
      </c>
      <c r="AT156" s="48">
        <v>0</v>
      </c>
      <c r="AU156" s="49">
        <v>0</v>
      </c>
      <c r="AV156" s="48">
        <v>1</v>
      </c>
      <c r="AW156" s="49">
        <v>50</v>
      </c>
      <c r="AX156" s="48">
        <v>2</v>
      </c>
      <c r="AY156" s="48"/>
      <c r="AZ156" s="48"/>
      <c r="BA156" s="48"/>
      <c r="BB156" s="48"/>
      <c r="BC156" s="2"/>
      <c r="BD156" s="3"/>
      <c r="BE156" s="3"/>
      <c r="BF156" s="3"/>
      <c r="BG156" s="3"/>
    </row>
    <row r="157" spans="1:59" ht="15">
      <c r="A157" s="66" t="s">
        <v>813</v>
      </c>
      <c r="B157" s="67" t="s">
        <v>4456</v>
      </c>
      <c r="C157" s="67" t="s">
        <v>56</v>
      </c>
      <c r="D157" s="68">
        <v>76</v>
      </c>
      <c r="E157" s="70"/>
      <c r="F157" s="97" t="str">
        <f>HYPERLINK("https://i.ytimg.com/vi/ptqt2zr9ZRE/default.jpg")</f>
        <v>https://i.ytimg.com/vi/ptqt2zr9ZRE/default.jpg</v>
      </c>
      <c r="G157" s="67"/>
      <c r="H157" s="71" t="s">
        <v>34</v>
      </c>
      <c r="I157" s="72"/>
      <c r="J157" s="72" t="s">
        <v>159</v>
      </c>
      <c r="K157" s="71" t="s">
        <v>34</v>
      </c>
      <c r="L157" s="75">
        <v>667.5333333333333</v>
      </c>
      <c r="M157" s="76">
        <v>5103.9853515625</v>
      </c>
      <c r="N157" s="76">
        <v>3651.6650390625</v>
      </c>
      <c r="O157" s="77"/>
      <c r="P157" s="78"/>
      <c r="Q157" s="78"/>
      <c r="R157" s="82"/>
      <c r="S157" s="48">
        <v>3</v>
      </c>
      <c r="T157" s="48">
        <v>0</v>
      </c>
      <c r="U157" s="49">
        <v>0</v>
      </c>
      <c r="V157" s="49">
        <v>0.001464</v>
      </c>
      <c r="W157" s="49">
        <v>0.001475</v>
      </c>
      <c r="X157" s="49">
        <v>0.326311</v>
      </c>
      <c r="Y157" s="49">
        <v>0.6666666666666666</v>
      </c>
      <c r="Z157" s="49">
        <v>0</v>
      </c>
      <c r="AA157" s="73">
        <v>157</v>
      </c>
      <c r="AB157" s="73"/>
      <c r="AC157" s="74"/>
      <c r="AD157" s="80" t="s">
        <v>34</v>
      </c>
      <c r="AE157" s="80" t="s">
        <v>2201</v>
      </c>
      <c r="AF157" s="80" t="s">
        <v>2786</v>
      </c>
      <c r="AG157" s="80" t="s">
        <v>3298</v>
      </c>
      <c r="AH157" s="80" t="s">
        <v>3967</v>
      </c>
      <c r="AI157" s="80">
        <v>61499</v>
      </c>
      <c r="AJ157" s="80">
        <v>77</v>
      </c>
      <c r="AK157" s="80">
        <v>599</v>
      </c>
      <c r="AL157" s="80">
        <v>22</v>
      </c>
      <c r="AM157" s="80" t="s">
        <v>4098</v>
      </c>
      <c r="AN157" s="96" t="str">
        <f>HYPERLINK("https://www.youtube.com/watch?v=ptqt2zr9ZRE")</f>
        <v>https://www.youtube.com/watch?v=ptqt2zr9ZRE</v>
      </c>
      <c r="AO157" s="80" t="str">
        <f>REPLACE(INDEX(GroupVertices[Group],MATCH(Vertices[[#This Row],[Vertex]],GroupVertices[Vertex],0)),1,1,"")</f>
        <v>2</v>
      </c>
      <c r="AP157" s="48">
        <v>0</v>
      </c>
      <c r="AQ157" s="49">
        <v>0</v>
      </c>
      <c r="AR157" s="48">
        <v>1</v>
      </c>
      <c r="AS157" s="49">
        <v>5</v>
      </c>
      <c r="AT157" s="48">
        <v>0</v>
      </c>
      <c r="AU157" s="49">
        <v>0</v>
      </c>
      <c r="AV157" s="48">
        <v>19</v>
      </c>
      <c r="AW157" s="49">
        <v>95</v>
      </c>
      <c r="AX157" s="48">
        <v>20</v>
      </c>
      <c r="AY157" s="48"/>
      <c r="AZ157" s="48"/>
      <c r="BA157" s="48"/>
      <c r="BB157" s="48"/>
      <c r="BC157" s="2"/>
      <c r="BD157" s="3"/>
      <c r="BE157" s="3"/>
      <c r="BF157" s="3"/>
      <c r="BG157" s="3"/>
    </row>
    <row r="158" spans="1:59" ht="15">
      <c r="A158" s="66" t="s">
        <v>692</v>
      </c>
      <c r="B158" s="67" t="s">
        <v>4456</v>
      </c>
      <c r="C158" s="67" t="s">
        <v>56</v>
      </c>
      <c r="D158" s="68">
        <v>54</v>
      </c>
      <c r="E158" s="70"/>
      <c r="F158" s="97" t="str">
        <f>HYPERLINK("https://i.ytimg.com/vi/wlnx-7cm4Gg/default.jpg")</f>
        <v>https://i.ytimg.com/vi/wlnx-7cm4Gg/default.jpg</v>
      </c>
      <c r="G158" s="67"/>
      <c r="H158" s="71" t="s">
        <v>1433</v>
      </c>
      <c r="I158" s="72"/>
      <c r="J158" s="72" t="s">
        <v>159</v>
      </c>
      <c r="K158" s="71" t="s">
        <v>1433</v>
      </c>
      <c r="L158" s="75">
        <v>445.35555555555555</v>
      </c>
      <c r="M158" s="76">
        <v>5404.87548828125</v>
      </c>
      <c r="N158" s="76">
        <v>890.2771606445312</v>
      </c>
      <c r="O158" s="77"/>
      <c r="P158" s="78"/>
      <c r="Q158" s="78"/>
      <c r="R158" s="82"/>
      <c r="S158" s="48">
        <v>2</v>
      </c>
      <c r="T158" s="48">
        <v>0</v>
      </c>
      <c r="U158" s="49">
        <v>0</v>
      </c>
      <c r="V158" s="49">
        <v>0.001346</v>
      </c>
      <c r="W158" s="49">
        <v>0.000653</v>
      </c>
      <c r="X158" s="49">
        <v>0.272837</v>
      </c>
      <c r="Y158" s="49">
        <v>0.5</v>
      </c>
      <c r="Z158" s="49">
        <v>0</v>
      </c>
      <c r="AA158" s="73">
        <v>158</v>
      </c>
      <c r="AB158" s="73"/>
      <c r="AC158" s="74"/>
      <c r="AD158" s="80" t="s">
        <v>1433</v>
      </c>
      <c r="AE158" s="80" t="s">
        <v>2091</v>
      </c>
      <c r="AF158" s="80" t="s">
        <v>2682</v>
      </c>
      <c r="AG158" s="80" t="s">
        <v>3216</v>
      </c>
      <c r="AH158" s="80" t="s">
        <v>3845</v>
      </c>
      <c r="AI158" s="80">
        <v>110596</v>
      </c>
      <c r="AJ158" s="80">
        <v>510</v>
      </c>
      <c r="AK158" s="80">
        <v>1378</v>
      </c>
      <c r="AL158" s="80">
        <v>22</v>
      </c>
      <c r="AM158" s="80" t="s">
        <v>4098</v>
      </c>
      <c r="AN158" s="96" t="str">
        <f>HYPERLINK("https://www.youtube.com/watch?v=wlnx-7cm4Gg")</f>
        <v>https://www.youtube.com/watch?v=wlnx-7cm4Gg</v>
      </c>
      <c r="AO158" s="80" t="str">
        <f>REPLACE(INDEX(GroupVertices[Group],MATCH(Vertices[[#This Row],[Vertex]],GroupVertices[Vertex],0)),1,1,"")</f>
        <v>2</v>
      </c>
      <c r="AP158" s="48">
        <v>0</v>
      </c>
      <c r="AQ158" s="49">
        <v>0</v>
      </c>
      <c r="AR158" s="48">
        <v>0</v>
      </c>
      <c r="AS158" s="49">
        <v>0</v>
      </c>
      <c r="AT158" s="48">
        <v>0</v>
      </c>
      <c r="AU158" s="49">
        <v>0</v>
      </c>
      <c r="AV158" s="48">
        <v>32</v>
      </c>
      <c r="AW158" s="49">
        <v>100</v>
      </c>
      <c r="AX158" s="48">
        <v>32</v>
      </c>
      <c r="AY158" s="48"/>
      <c r="AZ158" s="48"/>
      <c r="BA158" s="48"/>
      <c r="BB158" s="48"/>
      <c r="BC158" s="2"/>
      <c r="BD158" s="3"/>
      <c r="BE158" s="3"/>
      <c r="BF158" s="3"/>
      <c r="BG158" s="3"/>
    </row>
    <row r="159" spans="1:59" ht="15">
      <c r="A159" s="66" t="s">
        <v>853</v>
      </c>
      <c r="B159" s="67" t="s">
        <v>4456</v>
      </c>
      <c r="C159" s="67" t="s">
        <v>56</v>
      </c>
      <c r="D159" s="68">
        <v>76</v>
      </c>
      <c r="E159" s="70"/>
      <c r="F159" s="97" t="str">
        <f>HYPERLINK("https://i.ytimg.com/vi/yZ0G9jljCto/default.jpg")</f>
        <v>https://i.ytimg.com/vi/yZ0G9jljCto/default.jpg</v>
      </c>
      <c r="G159" s="67"/>
      <c r="H159" s="71" t="s">
        <v>1592</v>
      </c>
      <c r="I159" s="72"/>
      <c r="J159" s="72" t="s">
        <v>159</v>
      </c>
      <c r="K159" s="71" t="s">
        <v>1592</v>
      </c>
      <c r="L159" s="75">
        <v>667.5333333333333</v>
      </c>
      <c r="M159" s="76">
        <v>9120.72265625</v>
      </c>
      <c r="N159" s="76">
        <v>3652.5634765625</v>
      </c>
      <c r="O159" s="77"/>
      <c r="P159" s="78"/>
      <c r="Q159" s="78"/>
      <c r="R159" s="82"/>
      <c r="S159" s="48">
        <v>3</v>
      </c>
      <c r="T159" s="48">
        <v>0</v>
      </c>
      <c r="U159" s="49">
        <v>0</v>
      </c>
      <c r="V159" s="49">
        <v>0.001475</v>
      </c>
      <c r="W159" s="49">
        <v>0.001196</v>
      </c>
      <c r="X159" s="49">
        <v>0.341052</v>
      </c>
      <c r="Y159" s="49">
        <v>0.8333333333333334</v>
      </c>
      <c r="Z159" s="49">
        <v>0</v>
      </c>
      <c r="AA159" s="73">
        <v>159</v>
      </c>
      <c r="AB159" s="73"/>
      <c r="AC159" s="74"/>
      <c r="AD159" s="80" t="s">
        <v>1592</v>
      </c>
      <c r="AE159" s="80" t="s">
        <v>2234</v>
      </c>
      <c r="AF159" s="80" t="s">
        <v>2818</v>
      </c>
      <c r="AG159" s="80" t="s">
        <v>3318</v>
      </c>
      <c r="AH159" s="80" t="s">
        <v>4007</v>
      </c>
      <c r="AI159" s="80">
        <v>30040</v>
      </c>
      <c r="AJ159" s="80">
        <v>9</v>
      </c>
      <c r="AK159" s="80">
        <v>61</v>
      </c>
      <c r="AL159" s="80">
        <v>21</v>
      </c>
      <c r="AM159" s="80" t="s">
        <v>4098</v>
      </c>
      <c r="AN159" s="96" t="str">
        <f>HYPERLINK("https://www.youtube.com/watch?v=yZ0G9jljCto")</f>
        <v>https://www.youtube.com/watch?v=yZ0G9jljCto</v>
      </c>
      <c r="AO159" s="80" t="str">
        <f>REPLACE(INDEX(GroupVertices[Group],MATCH(Vertices[[#This Row],[Vertex]],GroupVertices[Vertex],0)),1,1,"")</f>
        <v>4</v>
      </c>
      <c r="AP159" s="48">
        <v>0</v>
      </c>
      <c r="AQ159" s="49">
        <v>0</v>
      </c>
      <c r="AR159" s="48">
        <v>0</v>
      </c>
      <c r="AS159" s="49">
        <v>0</v>
      </c>
      <c r="AT159" s="48">
        <v>0</v>
      </c>
      <c r="AU159" s="49">
        <v>0</v>
      </c>
      <c r="AV159" s="48">
        <v>54</v>
      </c>
      <c r="AW159" s="49">
        <v>100</v>
      </c>
      <c r="AX159" s="48">
        <v>54</v>
      </c>
      <c r="AY159" s="48"/>
      <c r="AZ159" s="48"/>
      <c r="BA159" s="48"/>
      <c r="BB159" s="48"/>
      <c r="BC159" s="2"/>
      <c r="BD159" s="3"/>
      <c r="BE159" s="3"/>
      <c r="BF159" s="3"/>
      <c r="BG159" s="3"/>
    </row>
    <row r="160" spans="1:59" ht="15">
      <c r="A160" s="66" t="s">
        <v>803</v>
      </c>
      <c r="B160" s="67" t="s">
        <v>4456</v>
      </c>
      <c r="C160" s="67" t="s">
        <v>56</v>
      </c>
      <c r="D160" s="68">
        <v>54</v>
      </c>
      <c r="E160" s="70"/>
      <c r="F160" s="97" t="str">
        <f>HYPERLINK("https://i.ytimg.com/vi/DuSblq8Fehw/default.jpg")</f>
        <v>https://i.ytimg.com/vi/DuSblq8Fehw/default.jpg</v>
      </c>
      <c r="G160" s="67"/>
      <c r="H160" s="71" t="s">
        <v>1543</v>
      </c>
      <c r="I160" s="72"/>
      <c r="J160" s="72" t="s">
        <v>159</v>
      </c>
      <c r="K160" s="71" t="s">
        <v>1543</v>
      </c>
      <c r="L160" s="75">
        <v>445.35555555555555</v>
      </c>
      <c r="M160" s="76">
        <v>612.2796630859375</v>
      </c>
      <c r="N160" s="76">
        <v>7364.66455078125</v>
      </c>
      <c r="O160" s="77"/>
      <c r="P160" s="78"/>
      <c r="Q160" s="78"/>
      <c r="R160" s="82"/>
      <c r="S160" s="48">
        <v>2</v>
      </c>
      <c r="T160" s="48">
        <v>0</v>
      </c>
      <c r="U160" s="49">
        <v>0</v>
      </c>
      <c r="V160" s="49">
        <v>0.00141</v>
      </c>
      <c r="W160" s="49">
        <v>0.000588</v>
      </c>
      <c r="X160" s="49">
        <v>0.286928</v>
      </c>
      <c r="Y160" s="49">
        <v>1</v>
      </c>
      <c r="Z160" s="49">
        <v>0</v>
      </c>
      <c r="AA160" s="73">
        <v>160</v>
      </c>
      <c r="AB160" s="73"/>
      <c r="AC160" s="74"/>
      <c r="AD160" s="80" t="s">
        <v>1543</v>
      </c>
      <c r="AE160" s="80" t="s">
        <v>2192</v>
      </c>
      <c r="AF160" s="80" t="s">
        <v>2778</v>
      </c>
      <c r="AG160" s="80" t="s">
        <v>3293</v>
      </c>
      <c r="AH160" s="80" t="s">
        <v>3957</v>
      </c>
      <c r="AI160" s="80">
        <v>100195</v>
      </c>
      <c r="AJ160" s="80">
        <v>11</v>
      </c>
      <c r="AK160" s="80">
        <v>335</v>
      </c>
      <c r="AL160" s="80">
        <v>21</v>
      </c>
      <c r="AM160" s="80" t="s">
        <v>4098</v>
      </c>
      <c r="AN160" s="96" t="str">
        <f>HYPERLINK("https://www.youtube.com/watch?v=DuSblq8Fehw")</f>
        <v>https://www.youtube.com/watch?v=DuSblq8Fehw</v>
      </c>
      <c r="AO160" s="80" t="str">
        <f>REPLACE(INDEX(GroupVertices[Group],MATCH(Vertices[[#This Row],[Vertex]],GroupVertices[Vertex],0)),1,1,"")</f>
        <v>1</v>
      </c>
      <c r="AP160" s="48">
        <v>4</v>
      </c>
      <c r="AQ160" s="49">
        <v>18.181818181818183</v>
      </c>
      <c r="AR160" s="48">
        <v>0</v>
      </c>
      <c r="AS160" s="49">
        <v>0</v>
      </c>
      <c r="AT160" s="48">
        <v>0</v>
      </c>
      <c r="AU160" s="49">
        <v>0</v>
      </c>
      <c r="AV160" s="48">
        <v>18</v>
      </c>
      <c r="AW160" s="49">
        <v>81.81818181818181</v>
      </c>
      <c r="AX160" s="48">
        <v>22</v>
      </c>
      <c r="AY160" s="48"/>
      <c r="AZ160" s="48"/>
      <c r="BA160" s="48"/>
      <c r="BB160" s="48"/>
      <c r="BC160" s="2"/>
      <c r="BD160" s="3"/>
      <c r="BE160" s="3"/>
      <c r="BF160" s="3"/>
      <c r="BG160" s="3"/>
    </row>
    <row r="161" spans="1:59" ht="15">
      <c r="A161" s="66" t="s">
        <v>837</v>
      </c>
      <c r="B161" s="67" t="s">
        <v>4456</v>
      </c>
      <c r="C161" s="67" t="s">
        <v>56</v>
      </c>
      <c r="D161" s="68">
        <v>54</v>
      </c>
      <c r="E161" s="70"/>
      <c r="F161" s="97" t="str">
        <f>HYPERLINK("https://i.ytimg.com/vi/82zlRaRUsaY/default.jpg")</f>
        <v>https://i.ytimg.com/vi/82zlRaRUsaY/default.jpg</v>
      </c>
      <c r="G161" s="67"/>
      <c r="H161" s="71" t="s">
        <v>1576</v>
      </c>
      <c r="I161" s="72"/>
      <c r="J161" s="72" t="s">
        <v>159</v>
      </c>
      <c r="K161" s="71" t="s">
        <v>1576</v>
      </c>
      <c r="L161" s="75">
        <v>445.35555555555555</v>
      </c>
      <c r="M161" s="76">
        <v>9892.853515625</v>
      </c>
      <c r="N161" s="76">
        <v>6589.42919921875</v>
      </c>
      <c r="O161" s="77"/>
      <c r="P161" s="78"/>
      <c r="Q161" s="78"/>
      <c r="R161" s="82"/>
      <c r="S161" s="48">
        <v>2</v>
      </c>
      <c r="T161" s="48">
        <v>0</v>
      </c>
      <c r="U161" s="49">
        <v>0</v>
      </c>
      <c r="V161" s="49">
        <v>0.001468</v>
      </c>
      <c r="W161" s="49">
        <v>0.000995</v>
      </c>
      <c r="X161" s="49">
        <v>0.276168</v>
      </c>
      <c r="Y161" s="49">
        <v>1</v>
      </c>
      <c r="Z161" s="49">
        <v>0</v>
      </c>
      <c r="AA161" s="73">
        <v>161</v>
      </c>
      <c r="AB161" s="73"/>
      <c r="AC161" s="74"/>
      <c r="AD161" s="80" t="s">
        <v>1576</v>
      </c>
      <c r="AE161" s="80" t="s">
        <v>2221</v>
      </c>
      <c r="AF161" s="80" t="s">
        <v>2806</v>
      </c>
      <c r="AG161" s="80" t="s">
        <v>3250</v>
      </c>
      <c r="AH161" s="80" t="s">
        <v>3991</v>
      </c>
      <c r="AI161" s="80">
        <v>95723</v>
      </c>
      <c r="AJ161" s="80">
        <v>20</v>
      </c>
      <c r="AK161" s="80">
        <v>797</v>
      </c>
      <c r="AL161" s="80">
        <v>18</v>
      </c>
      <c r="AM161" s="80" t="s">
        <v>4098</v>
      </c>
      <c r="AN161" s="96" t="str">
        <f>HYPERLINK("https://www.youtube.com/watch?v=82zlRaRUsaY")</f>
        <v>https://www.youtube.com/watch?v=82zlRaRUsaY</v>
      </c>
      <c r="AO161" s="80" t="str">
        <f>REPLACE(INDEX(GroupVertices[Group],MATCH(Vertices[[#This Row],[Vertex]],GroupVertices[Vertex],0)),1,1,"")</f>
        <v>3</v>
      </c>
      <c r="AP161" s="48">
        <v>0</v>
      </c>
      <c r="AQ161" s="49">
        <v>0</v>
      </c>
      <c r="AR161" s="48">
        <v>1</v>
      </c>
      <c r="AS161" s="49">
        <v>3.4482758620689653</v>
      </c>
      <c r="AT161" s="48">
        <v>0</v>
      </c>
      <c r="AU161" s="49">
        <v>0</v>
      </c>
      <c r="AV161" s="48">
        <v>28</v>
      </c>
      <c r="AW161" s="49">
        <v>96.55172413793103</v>
      </c>
      <c r="AX161" s="48">
        <v>29</v>
      </c>
      <c r="AY161" s="48"/>
      <c r="AZ161" s="48"/>
      <c r="BA161" s="48"/>
      <c r="BB161" s="48"/>
      <c r="BC161" s="2"/>
      <c r="BD161" s="3"/>
      <c r="BE161" s="3"/>
      <c r="BF161" s="3"/>
      <c r="BG161" s="3"/>
    </row>
    <row r="162" spans="1:59" ht="15">
      <c r="A162" s="66" t="s">
        <v>885</v>
      </c>
      <c r="B162" s="67" t="s">
        <v>4456</v>
      </c>
      <c r="C162" s="67" t="s">
        <v>56</v>
      </c>
      <c r="D162" s="68">
        <v>120</v>
      </c>
      <c r="E162" s="70"/>
      <c r="F162" s="97" t="str">
        <f>HYPERLINK("https://i.ytimg.com/vi/2FqM4gKeNO4/default.jpg")</f>
        <v>https://i.ytimg.com/vi/2FqM4gKeNO4/default.jpg</v>
      </c>
      <c r="G162" s="67"/>
      <c r="H162" s="71" t="s">
        <v>1624</v>
      </c>
      <c r="I162" s="72"/>
      <c r="J162" s="72" t="s">
        <v>159</v>
      </c>
      <c r="K162" s="71" t="s">
        <v>1624</v>
      </c>
      <c r="L162" s="75">
        <v>1111.888888888889</v>
      </c>
      <c r="M162" s="76">
        <v>3576.44091796875</v>
      </c>
      <c r="N162" s="76">
        <v>4015.78515625</v>
      </c>
      <c r="O162" s="77"/>
      <c r="P162" s="78"/>
      <c r="Q162" s="78"/>
      <c r="R162" s="82"/>
      <c r="S162" s="48">
        <v>5</v>
      </c>
      <c r="T162" s="48">
        <v>0</v>
      </c>
      <c r="U162" s="49">
        <v>0</v>
      </c>
      <c r="V162" s="49">
        <v>0.001488</v>
      </c>
      <c r="W162" s="49">
        <v>0.002149</v>
      </c>
      <c r="X162" s="49">
        <v>0.44742</v>
      </c>
      <c r="Y162" s="49">
        <v>0.85</v>
      </c>
      <c r="Z162" s="49">
        <v>0</v>
      </c>
      <c r="AA162" s="73">
        <v>162</v>
      </c>
      <c r="AB162" s="73"/>
      <c r="AC162" s="74"/>
      <c r="AD162" s="80" t="s">
        <v>1624</v>
      </c>
      <c r="AE162" s="80" t="s">
        <v>2261</v>
      </c>
      <c r="AF162" s="80" t="s">
        <v>2843</v>
      </c>
      <c r="AG162" s="80" t="s">
        <v>3336</v>
      </c>
      <c r="AH162" s="80" t="s">
        <v>4039</v>
      </c>
      <c r="AI162" s="80">
        <v>87206</v>
      </c>
      <c r="AJ162" s="80">
        <v>36</v>
      </c>
      <c r="AK162" s="80">
        <v>603</v>
      </c>
      <c r="AL162" s="80">
        <v>16</v>
      </c>
      <c r="AM162" s="80" t="s">
        <v>4098</v>
      </c>
      <c r="AN162" s="96" t="str">
        <f>HYPERLINK("https://www.youtube.com/watch?v=2FqM4gKeNO4")</f>
        <v>https://www.youtube.com/watch?v=2FqM4gKeNO4</v>
      </c>
      <c r="AO162" s="80" t="str">
        <f>REPLACE(INDEX(GroupVertices[Group],MATCH(Vertices[[#This Row],[Vertex]],GroupVertices[Vertex],0)),1,1,"")</f>
        <v>2</v>
      </c>
      <c r="AP162" s="48">
        <v>0</v>
      </c>
      <c r="AQ162" s="49">
        <v>0</v>
      </c>
      <c r="AR162" s="48">
        <v>0</v>
      </c>
      <c r="AS162" s="49">
        <v>0</v>
      </c>
      <c r="AT162" s="48">
        <v>0</v>
      </c>
      <c r="AU162" s="49">
        <v>0</v>
      </c>
      <c r="AV162" s="48">
        <v>3</v>
      </c>
      <c r="AW162" s="49">
        <v>100</v>
      </c>
      <c r="AX162" s="48">
        <v>3</v>
      </c>
      <c r="AY162" s="48"/>
      <c r="AZ162" s="48"/>
      <c r="BA162" s="48"/>
      <c r="BB162" s="48"/>
      <c r="BC162" s="2"/>
      <c r="BD162" s="3"/>
      <c r="BE162" s="3"/>
      <c r="BF162" s="3"/>
      <c r="BG162" s="3"/>
    </row>
    <row r="163" spans="1:59" ht="15">
      <c r="A163" s="66" t="s">
        <v>557</v>
      </c>
      <c r="B163" s="67" t="s">
        <v>4456</v>
      </c>
      <c r="C163" s="67" t="s">
        <v>56</v>
      </c>
      <c r="D163" s="68">
        <v>54</v>
      </c>
      <c r="E163" s="70"/>
      <c r="F163" s="97" t="str">
        <f>HYPERLINK("https://i.ytimg.com/vi/0xsM0MbRPGE/default.jpg")</f>
        <v>https://i.ytimg.com/vi/0xsM0MbRPGE/default.jpg</v>
      </c>
      <c r="G163" s="67"/>
      <c r="H163" s="71" t="s">
        <v>1291</v>
      </c>
      <c r="I163" s="72"/>
      <c r="J163" s="72" t="s">
        <v>159</v>
      </c>
      <c r="K163" s="71" t="s">
        <v>1291</v>
      </c>
      <c r="L163" s="75">
        <v>445.35555555555555</v>
      </c>
      <c r="M163" s="76">
        <v>6627.6865234375</v>
      </c>
      <c r="N163" s="76">
        <v>2426.37744140625</v>
      </c>
      <c r="O163" s="77"/>
      <c r="P163" s="78"/>
      <c r="Q163" s="78"/>
      <c r="R163" s="82"/>
      <c r="S163" s="48">
        <v>2</v>
      </c>
      <c r="T163" s="48">
        <v>0</v>
      </c>
      <c r="U163" s="49">
        <v>0</v>
      </c>
      <c r="V163" s="49">
        <v>0.001439</v>
      </c>
      <c r="W163" s="49">
        <v>0.000771</v>
      </c>
      <c r="X163" s="49">
        <v>0.282709</v>
      </c>
      <c r="Y163" s="49">
        <v>0.5</v>
      </c>
      <c r="Z163" s="49">
        <v>0</v>
      </c>
      <c r="AA163" s="73">
        <v>163</v>
      </c>
      <c r="AB163" s="73"/>
      <c r="AC163" s="74"/>
      <c r="AD163" s="80" t="s">
        <v>1291</v>
      </c>
      <c r="AE163" s="80" t="s">
        <v>1965</v>
      </c>
      <c r="AF163" s="80" t="s">
        <v>2571</v>
      </c>
      <c r="AG163" s="80" t="s">
        <v>2988</v>
      </c>
      <c r="AH163" s="80" t="s">
        <v>3703</v>
      </c>
      <c r="AI163" s="80">
        <v>46117</v>
      </c>
      <c r="AJ163" s="80">
        <v>131</v>
      </c>
      <c r="AK163" s="80">
        <v>735</v>
      </c>
      <c r="AL163" s="80">
        <v>13</v>
      </c>
      <c r="AM163" s="80" t="s">
        <v>4098</v>
      </c>
      <c r="AN163" s="96" t="str">
        <f>HYPERLINK("https://www.youtube.com/watch?v=0xsM0MbRPGE")</f>
        <v>https://www.youtube.com/watch?v=0xsM0MbRPGE</v>
      </c>
      <c r="AO163" s="80" t="str">
        <f>REPLACE(INDEX(GroupVertices[Group],MATCH(Vertices[[#This Row],[Vertex]],GroupVertices[Vertex],0)),1,1,"")</f>
        <v>4</v>
      </c>
      <c r="AP163" s="48">
        <v>0</v>
      </c>
      <c r="AQ163" s="49">
        <v>0</v>
      </c>
      <c r="AR163" s="48">
        <v>0</v>
      </c>
      <c r="AS163" s="49">
        <v>0</v>
      </c>
      <c r="AT163" s="48">
        <v>0</v>
      </c>
      <c r="AU163" s="49">
        <v>0</v>
      </c>
      <c r="AV163" s="48">
        <v>9</v>
      </c>
      <c r="AW163" s="49">
        <v>100</v>
      </c>
      <c r="AX163" s="48">
        <v>9</v>
      </c>
      <c r="AY163" s="48"/>
      <c r="AZ163" s="48"/>
      <c r="BA163" s="48"/>
      <c r="BB163" s="48"/>
      <c r="BC163" s="2"/>
      <c r="BD163" s="3"/>
      <c r="BE163" s="3"/>
      <c r="BF163" s="3"/>
      <c r="BG163" s="3"/>
    </row>
    <row r="164" spans="1:59" ht="15">
      <c r="A164" s="66" t="s">
        <v>536</v>
      </c>
      <c r="B164" s="67" t="s">
        <v>4456</v>
      </c>
      <c r="C164" s="67" t="s">
        <v>56</v>
      </c>
      <c r="D164" s="68">
        <v>54</v>
      </c>
      <c r="E164" s="70"/>
      <c r="F164" s="97" t="str">
        <f>HYPERLINK("https://i.ytimg.com/vi/xFLVfkJ1AbY/default.jpg")</f>
        <v>https://i.ytimg.com/vi/xFLVfkJ1AbY/default.jpg</v>
      </c>
      <c r="G164" s="67"/>
      <c r="H164" s="71" t="s">
        <v>1268</v>
      </c>
      <c r="I164" s="72"/>
      <c r="J164" s="72" t="s">
        <v>159</v>
      </c>
      <c r="K164" s="71" t="s">
        <v>1268</v>
      </c>
      <c r="L164" s="75">
        <v>445.35555555555555</v>
      </c>
      <c r="M164" s="76">
        <v>6656.91943359375</v>
      </c>
      <c r="N164" s="76">
        <v>912.8544311523438</v>
      </c>
      <c r="O164" s="77"/>
      <c r="P164" s="78"/>
      <c r="Q164" s="78"/>
      <c r="R164" s="82"/>
      <c r="S164" s="48">
        <v>2</v>
      </c>
      <c r="T164" s="48">
        <v>0</v>
      </c>
      <c r="U164" s="49">
        <v>0</v>
      </c>
      <c r="V164" s="49">
        <v>0.001414</v>
      </c>
      <c r="W164" s="49">
        <v>0.000525</v>
      </c>
      <c r="X164" s="49">
        <v>0.288679</v>
      </c>
      <c r="Y164" s="49">
        <v>0.5</v>
      </c>
      <c r="Z164" s="49">
        <v>0</v>
      </c>
      <c r="AA164" s="73">
        <v>164</v>
      </c>
      <c r="AB164" s="73"/>
      <c r="AC164" s="74"/>
      <c r="AD164" s="80" t="s">
        <v>1268</v>
      </c>
      <c r="AE164" s="80" t="s">
        <v>1944</v>
      </c>
      <c r="AF164" s="80" t="s">
        <v>2553</v>
      </c>
      <c r="AG164" s="80" t="s">
        <v>3103</v>
      </c>
      <c r="AH164" s="80" t="s">
        <v>3680</v>
      </c>
      <c r="AI164" s="80">
        <v>38260</v>
      </c>
      <c r="AJ164" s="80">
        <v>23</v>
      </c>
      <c r="AK164" s="80">
        <v>196</v>
      </c>
      <c r="AL164" s="80">
        <v>13</v>
      </c>
      <c r="AM164" s="80" t="s">
        <v>4098</v>
      </c>
      <c r="AN164" s="96" t="str">
        <f>HYPERLINK("https://www.youtube.com/watch?v=xFLVfkJ1AbY")</f>
        <v>https://www.youtube.com/watch?v=xFLVfkJ1AbY</v>
      </c>
      <c r="AO164" s="80" t="str">
        <f>REPLACE(INDEX(GroupVertices[Group],MATCH(Vertices[[#This Row],[Vertex]],GroupVertices[Vertex],0)),1,1,"")</f>
        <v>4</v>
      </c>
      <c r="AP164" s="48">
        <v>1</v>
      </c>
      <c r="AQ164" s="49">
        <v>1.4285714285714286</v>
      </c>
      <c r="AR164" s="48">
        <v>10</v>
      </c>
      <c r="AS164" s="49">
        <v>14.285714285714286</v>
      </c>
      <c r="AT164" s="48">
        <v>0</v>
      </c>
      <c r="AU164" s="49">
        <v>0</v>
      </c>
      <c r="AV164" s="48">
        <v>59</v>
      </c>
      <c r="AW164" s="49">
        <v>84.28571428571429</v>
      </c>
      <c r="AX164" s="48">
        <v>70</v>
      </c>
      <c r="AY164" s="48"/>
      <c r="AZ164" s="48"/>
      <c r="BA164" s="48"/>
      <c r="BB164" s="48"/>
      <c r="BC164" s="2"/>
      <c r="BD164" s="3"/>
      <c r="BE164" s="3"/>
      <c r="BF164" s="3"/>
      <c r="BG164" s="3"/>
    </row>
    <row r="165" spans="1:59" ht="15">
      <c r="A165" s="66" t="s">
        <v>613</v>
      </c>
      <c r="B165" s="67" t="s">
        <v>4456</v>
      </c>
      <c r="C165" s="67" t="s">
        <v>56</v>
      </c>
      <c r="D165" s="68">
        <v>54</v>
      </c>
      <c r="E165" s="70"/>
      <c r="F165" s="97" t="str">
        <f>HYPERLINK("https://i.ytimg.com/vi/LqbmbEsimgY/default.jpg")</f>
        <v>https://i.ytimg.com/vi/LqbmbEsimgY/default.jpg</v>
      </c>
      <c r="G165" s="67"/>
      <c r="H165" s="71" t="s">
        <v>1353</v>
      </c>
      <c r="I165" s="72"/>
      <c r="J165" s="72" t="s">
        <v>159</v>
      </c>
      <c r="K165" s="71" t="s">
        <v>1353</v>
      </c>
      <c r="L165" s="75">
        <v>445.35555555555555</v>
      </c>
      <c r="M165" s="76">
        <v>3928.802490234375</v>
      </c>
      <c r="N165" s="76">
        <v>9724.7958984375</v>
      </c>
      <c r="O165" s="77"/>
      <c r="P165" s="78"/>
      <c r="Q165" s="78"/>
      <c r="R165" s="82"/>
      <c r="S165" s="48">
        <v>2</v>
      </c>
      <c r="T165" s="48">
        <v>0</v>
      </c>
      <c r="U165" s="49">
        <v>0</v>
      </c>
      <c r="V165" s="49">
        <v>0.001425</v>
      </c>
      <c r="W165" s="49">
        <v>0.000803</v>
      </c>
      <c r="X165" s="49">
        <v>0.277631</v>
      </c>
      <c r="Y165" s="49">
        <v>0.5</v>
      </c>
      <c r="Z165" s="49">
        <v>0</v>
      </c>
      <c r="AA165" s="73">
        <v>165</v>
      </c>
      <c r="AB165" s="73"/>
      <c r="AC165" s="74"/>
      <c r="AD165" s="80" t="s">
        <v>1353</v>
      </c>
      <c r="AE165" s="80" t="s">
        <v>2019</v>
      </c>
      <c r="AF165" s="80" t="s">
        <v>2617</v>
      </c>
      <c r="AG165" s="80" t="s">
        <v>3159</v>
      </c>
      <c r="AH165" s="80" t="s">
        <v>3765</v>
      </c>
      <c r="AI165" s="80">
        <v>32513</v>
      </c>
      <c r="AJ165" s="80">
        <v>8</v>
      </c>
      <c r="AK165" s="80">
        <v>118</v>
      </c>
      <c r="AL165" s="80">
        <v>13</v>
      </c>
      <c r="AM165" s="80" t="s">
        <v>4098</v>
      </c>
      <c r="AN165" s="96" t="str">
        <f>HYPERLINK("https://www.youtube.com/watch?v=LqbmbEsimgY")</f>
        <v>https://www.youtube.com/watch?v=LqbmbEsimgY</v>
      </c>
      <c r="AO165" s="80" t="str">
        <f>REPLACE(INDEX(GroupVertices[Group],MATCH(Vertices[[#This Row],[Vertex]],GroupVertices[Vertex],0)),1,1,"")</f>
        <v>1</v>
      </c>
      <c r="AP165" s="48">
        <v>3</v>
      </c>
      <c r="AQ165" s="49">
        <v>5.769230769230769</v>
      </c>
      <c r="AR165" s="48">
        <v>1</v>
      </c>
      <c r="AS165" s="49">
        <v>1.9230769230769231</v>
      </c>
      <c r="AT165" s="48">
        <v>0</v>
      </c>
      <c r="AU165" s="49">
        <v>0</v>
      </c>
      <c r="AV165" s="48">
        <v>48</v>
      </c>
      <c r="AW165" s="49">
        <v>92.3076923076923</v>
      </c>
      <c r="AX165" s="48">
        <v>52</v>
      </c>
      <c r="AY165" s="48"/>
      <c r="AZ165" s="48"/>
      <c r="BA165" s="48"/>
      <c r="BB165" s="48"/>
      <c r="BC165" s="2"/>
      <c r="BD165" s="3"/>
      <c r="BE165" s="3"/>
      <c r="BF165" s="3"/>
      <c r="BG165" s="3"/>
    </row>
    <row r="166" spans="1:59" ht="15">
      <c r="A166" s="66" t="s">
        <v>375</v>
      </c>
      <c r="B166" s="67" t="s">
        <v>4456</v>
      </c>
      <c r="C166" s="67" t="s">
        <v>56</v>
      </c>
      <c r="D166" s="68">
        <v>54</v>
      </c>
      <c r="E166" s="70"/>
      <c r="F166" s="97" t="str">
        <f>HYPERLINK("https://i.ytimg.com/vi/Jl-_dDqSaUQ/default.jpg")</f>
        <v>https://i.ytimg.com/vi/Jl-_dDqSaUQ/default.jpg</v>
      </c>
      <c r="G166" s="67"/>
      <c r="H166" s="71" t="s">
        <v>1082</v>
      </c>
      <c r="I166" s="72"/>
      <c r="J166" s="72" t="s">
        <v>159</v>
      </c>
      <c r="K166" s="71" t="s">
        <v>1082</v>
      </c>
      <c r="L166" s="75">
        <v>445.35555555555555</v>
      </c>
      <c r="M166" s="76">
        <v>4690.09521484375</v>
      </c>
      <c r="N166" s="76">
        <v>707.0391845703125</v>
      </c>
      <c r="O166" s="77"/>
      <c r="P166" s="78"/>
      <c r="Q166" s="78"/>
      <c r="R166" s="82"/>
      <c r="S166" s="48">
        <v>2</v>
      </c>
      <c r="T166" s="48">
        <v>0</v>
      </c>
      <c r="U166" s="49">
        <v>0</v>
      </c>
      <c r="V166" s="49">
        <v>0.001399</v>
      </c>
      <c r="W166" s="49">
        <v>0.000764</v>
      </c>
      <c r="X166" s="49">
        <v>0.274728</v>
      </c>
      <c r="Y166" s="49">
        <v>1</v>
      </c>
      <c r="Z166" s="49">
        <v>0</v>
      </c>
      <c r="AA166" s="73">
        <v>166</v>
      </c>
      <c r="AB166" s="73"/>
      <c r="AC166" s="74"/>
      <c r="AD166" s="80" t="s">
        <v>1082</v>
      </c>
      <c r="AE166" s="80" t="s">
        <v>1790</v>
      </c>
      <c r="AF166" s="80" t="s">
        <v>2416</v>
      </c>
      <c r="AG166" s="80" t="s">
        <v>2990</v>
      </c>
      <c r="AH166" s="80" t="s">
        <v>3495</v>
      </c>
      <c r="AI166" s="80">
        <v>13446</v>
      </c>
      <c r="AJ166" s="80">
        <v>76</v>
      </c>
      <c r="AK166" s="80">
        <v>190</v>
      </c>
      <c r="AL166" s="80">
        <v>13</v>
      </c>
      <c r="AM166" s="80" t="s">
        <v>4098</v>
      </c>
      <c r="AN166" s="96" t="str">
        <f>HYPERLINK("https://www.youtube.com/watch?v=Jl-_dDqSaUQ")</f>
        <v>https://www.youtube.com/watch?v=Jl-_dDqSaUQ</v>
      </c>
      <c r="AO166" s="80" t="str">
        <f>REPLACE(INDEX(GroupVertices[Group],MATCH(Vertices[[#This Row],[Vertex]],GroupVertices[Vertex],0)),1,1,"")</f>
        <v>2</v>
      </c>
      <c r="AP166" s="48">
        <v>0</v>
      </c>
      <c r="AQ166" s="49">
        <v>0</v>
      </c>
      <c r="AR166" s="48">
        <v>0</v>
      </c>
      <c r="AS166" s="49">
        <v>0</v>
      </c>
      <c r="AT166" s="48">
        <v>0</v>
      </c>
      <c r="AU166" s="49">
        <v>0</v>
      </c>
      <c r="AV166" s="48">
        <v>23</v>
      </c>
      <c r="AW166" s="49">
        <v>100</v>
      </c>
      <c r="AX166" s="48">
        <v>23</v>
      </c>
      <c r="AY166" s="48"/>
      <c r="AZ166" s="48"/>
      <c r="BA166" s="48"/>
      <c r="BB166" s="48"/>
      <c r="BC166" s="2"/>
      <c r="BD166" s="3"/>
      <c r="BE166" s="3"/>
      <c r="BF166" s="3"/>
      <c r="BG166" s="3"/>
    </row>
    <row r="167" spans="1:59" ht="15">
      <c r="A167" s="66" t="s">
        <v>860</v>
      </c>
      <c r="B167" s="67" t="s">
        <v>4456</v>
      </c>
      <c r="C167" s="67" t="s">
        <v>56</v>
      </c>
      <c r="D167" s="68">
        <v>76</v>
      </c>
      <c r="E167" s="70"/>
      <c r="F167" s="97" t="str">
        <f>HYPERLINK("https://i.ytimg.com/vi/fgr_g1q2ikA/default.jpg")</f>
        <v>https://i.ytimg.com/vi/fgr_g1q2ikA/default.jpg</v>
      </c>
      <c r="G167" s="67"/>
      <c r="H167" s="71" t="s">
        <v>1599</v>
      </c>
      <c r="I167" s="72"/>
      <c r="J167" s="72" t="s">
        <v>159</v>
      </c>
      <c r="K167" s="71" t="s">
        <v>1599</v>
      </c>
      <c r="L167" s="75">
        <v>667.5333333333333</v>
      </c>
      <c r="M167" s="76">
        <v>8354.3828125</v>
      </c>
      <c r="N167" s="76">
        <v>3386.77392578125</v>
      </c>
      <c r="O167" s="77"/>
      <c r="P167" s="78"/>
      <c r="Q167" s="78"/>
      <c r="R167" s="82"/>
      <c r="S167" s="48">
        <v>3</v>
      </c>
      <c r="T167" s="48">
        <v>0</v>
      </c>
      <c r="U167" s="49">
        <v>0</v>
      </c>
      <c r="V167" s="49">
        <v>0.001468</v>
      </c>
      <c r="W167" s="49">
        <v>0.001314</v>
      </c>
      <c r="X167" s="49">
        <v>0.337022</v>
      </c>
      <c r="Y167" s="49">
        <v>0.5</v>
      </c>
      <c r="Z167" s="49">
        <v>0</v>
      </c>
      <c r="AA167" s="73">
        <v>167</v>
      </c>
      <c r="AB167" s="73"/>
      <c r="AC167" s="74"/>
      <c r="AD167" s="80" t="s">
        <v>1599</v>
      </c>
      <c r="AE167" s="80" t="s">
        <v>2240</v>
      </c>
      <c r="AF167" s="80" t="s">
        <v>2824</v>
      </c>
      <c r="AG167" s="80" t="s">
        <v>3250</v>
      </c>
      <c r="AH167" s="80" t="s">
        <v>4014</v>
      </c>
      <c r="AI167" s="80">
        <v>55879</v>
      </c>
      <c r="AJ167" s="80">
        <v>12</v>
      </c>
      <c r="AK167" s="80">
        <v>269</v>
      </c>
      <c r="AL167" s="80">
        <v>12</v>
      </c>
      <c r="AM167" s="80" t="s">
        <v>4098</v>
      </c>
      <c r="AN167" s="96" t="str">
        <f>HYPERLINK("https://www.youtube.com/watch?v=fgr_g1q2ikA")</f>
        <v>https://www.youtube.com/watch?v=fgr_g1q2ikA</v>
      </c>
      <c r="AO167" s="80" t="str">
        <f>REPLACE(INDEX(GroupVertices[Group],MATCH(Vertices[[#This Row],[Vertex]],GroupVertices[Vertex],0)),1,1,"")</f>
        <v>4</v>
      </c>
      <c r="AP167" s="48">
        <v>0</v>
      </c>
      <c r="AQ167" s="49">
        <v>0</v>
      </c>
      <c r="AR167" s="48">
        <v>1</v>
      </c>
      <c r="AS167" s="49">
        <v>3.0303030303030303</v>
      </c>
      <c r="AT167" s="48">
        <v>0</v>
      </c>
      <c r="AU167" s="49">
        <v>0</v>
      </c>
      <c r="AV167" s="48">
        <v>32</v>
      </c>
      <c r="AW167" s="49">
        <v>96.96969696969697</v>
      </c>
      <c r="AX167" s="48">
        <v>33</v>
      </c>
      <c r="AY167" s="48"/>
      <c r="AZ167" s="48"/>
      <c r="BA167" s="48"/>
      <c r="BB167" s="48"/>
      <c r="BC167" s="2"/>
      <c r="BD167" s="3"/>
      <c r="BE167" s="3"/>
      <c r="BF167" s="3"/>
      <c r="BG167" s="3"/>
    </row>
    <row r="168" spans="1:59" ht="15">
      <c r="A168" s="66" t="s">
        <v>617</v>
      </c>
      <c r="B168" s="67" t="s">
        <v>4456</v>
      </c>
      <c r="C168" s="67" t="s">
        <v>56</v>
      </c>
      <c r="D168" s="68">
        <v>98</v>
      </c>
      <c r="E168" s="70"/>
      <c r="F168" s="97" t="str">
        <f>HYPERLINK("https://i.ytimg.com/vi/LG-pdJnKDGU/default.jpg")</f>
        <v>https://i.ytimg.com/vi/LG-pdJnKDGU/default.jpg</v>
      </c>
      <c r="G168" s="67"/>
      <c r="H168" s="71" t="s">
        <v>1357</v>
      </c>
      <c r="I168" s="72"/>
      <c r="J168" s="72" t="s">
        <v>159</v>
      </c>
      <c r="K168" s="71" t="s">
        <v>1357</v>
      </c>
      <c r="L168" s="75">
        <v>889.7111111111111</v>
      </c>
      <c r="M168" s="76">
        <v>2239.352294921875</v>
      </c>
      <c r="N168" s="76">
        <v>8816.1982421875</v>
      </c>
      <c r="O168" s="77"/>
      <c r="P168" s="78"/>
      <c r="Q168" s="78"/>
      <c r="R168" s="82"/>
      <c r="S168" s="48">
        <v>4</v>
      </c>
      <c r="T168" s="48">
        <v>0</v>
      </c>
      <c r="U168" s="49">
        <v>0</v>
      </c>
      <c r="V168" s="49">
        <v>0.001475</v>
      </c>
      <c r="W168" s="49">
        <v>0.001085</v>
      </c>
      <c r="X168" s="49">
        <v>0.422501</v>
      </c>
      <c r="Y168" s="49">
        <v>0.75</v>
      </c>
      <c r="Z168" s="49">
        <v>0</v>
      </c>
      <c r="AA168" s="73">
        <v>168</v>
      </c>
      <c r="AB168" s="73"/>
      <c r="AC168" s="74"/>
      <c r="AD168" s="80" t="s">
        <v>1357</v>
      </c>
      <c r="AE168" s="80" t="s">
        <v>2023</v>
      </c>
      <c r="AF168" s="80" t="s">
        <v>2621</v>
      </c>
      <c r="AG168" s="80" t="s">
        <v>3163</v>
      </c>
      <c r="AH168" s="80" t="s">
        <v>3769</v>
      </c>
      <c r="AI168" s="80">
        <v>17884</v>
      </c>
      <c r="AJ168" s="80">
        <v>21</v>
      </c>
      <c r="AK168" s="80">
        <v>255</v>
      </c>
      <c r="AL168" s="80">
        <v>11</v>
      </c>
      <c r="AM168" s="80" t="s">
        <v>4098</v>
      </c>
      <c r="AN168" s="96" t="str">
        <f>HYPERLINK("https://www.youtube.com/watch?v=LG-pdJnKDGU")</f>
        <v>https://www.youtube.com/watch?v=LG-pdJnKDGU</v>
      </c>
      <c r="AO168" s="80" t="str">
        <f>REPLACE(INDEX(GroupVertices[Group],MATCH(Vertices[[#This Row],[Vertex]],GroupVertices[Vertex],0)),1,1,"")</f>
        <v>1</v>
      </c>
      <c r="AP168" s="48">
        <v>0</v>
      </c>
      <c r="AQ168" s="49">
        <v>0</v>
      </c>
      <c r="AR168" s="48">
        <v>0</v>
      </c>
      <c r="AS168" s="49">
        <v>0</v>
      </c>
      <c r="AT168" s="48">
        <v>0</v>
      </c>
      <c r="AU168" s="49">
        <v>0</v>
      </c>
      <c r="AV168" s="48">
        <v>7</v>
      </c>
      <c r="AW168" s="49">
        <v>100</v>
      </c>
      <c r="AX168" s="48">
        <v>7</v>
      </c>
      <c r="AY168" s="48"/>
      <c r="AZ168" s="48"/>
      <c r="BA168" s="48"/>
      <c r="BB168" s="48"/>
      <c r="BC168" s="2"/>
      <c r="BD168" s="3"/>
      <c r="BE168" s="3"/>
      <c r="BF168" s="3"/>
      <c r="BG168" s="3"/>
    </row>
    <row r="169" spans="1:59" ht="15">
      <c r="A169" s="66" t="s">
        <v>888</v>
      </c>
      <c r="B169" s="67" t="s">
        <v>4456</v>
      </c>
      <c r="C169" s="67" t="s">
        <v>56</v>
      </c>
      <c r="D169" s="68">
        <v>98</v>
      </c>
      <c r="E169" s="70"/>
      <c r="F169" s="97" t="str">
        <f>HYPERLINK("https://i.ytimg.com/vi/7LMnpM0p4cM/default.jpg")</f>
        <v>https://i.ytimg.com/vi/7LMnpM0p4cM/default.jpg</v>
      </c>
      <c r="G169" s="67"/>
      <c r="H169" s="71" t="s">
        <v>1626</v>
      </c>
      <c r="I169" s="72"/>
      <c r="J169" s="72" t="s">
        <v>159</v>
      </c>
      <c r="K169" s="71" t="s">
        <v>1626</v>
      </c>
      <c r="L169" s="75">
        <v>889.7111111111111</v>
      </c>
      <c r="M169" s="76">
        <v>9605.72265625</v>
      </c>
      <c r="N169" s="76">
        <v>2864.8359375</v>
      </c>
      <c r="O169" s="77"/>
      <c r="P169" s="78"/>
      <c r="Q169" s="78"/>
      <c r="R169" s="82"/>
      <c r="S169" s="48">
        <v>4</v>
      </c>
      <c r="T169" s="48">
        <v>0</v>
      </c>
      <c r="U169" s="49">
        <v>0</v>
      </c>
      <c r="V169" s="49">
        <v>0.001529</v>
      </c>
      <c r="W169" s="49">
        <v>0.001868</v>
      </c>
      <c r="X169" s="49">
        <v>0.395602</v>
      </c>
      <c r="Y169" s="49">
        <v>0.6666666666666666</v>
      </c>
      <c r="Z169" s="49">
        <v>0</v>
      </c>
      <c r="AA169" s="73">
        <v>169</v>
      </c>
      <c r="AB169" s="73"/>
      <c r="AC169" s="74"/>
      <c r="AD169" s="80" t="s">
        <v>1626</v>
      </c>
      <c r="AE169" s="80" t="s">
        <v>2264</v>
      </c>
      <c r="AF169" s="80" t="s">
        <v>2846</v>
      </c>
      <c r="AG169" s="80" t="s">
        <v>2912</v>
      </c>
      <c r="AH169" s="80" t="s">
        <v>4042</v>
      </c>
      <c r="AI169" s="80">
        <v>68541</v>
      </c>
      <c r="AJ169" s="80">
        <v>10</v>
      </c>
      <c r="AK169" s="80">
        <v>226</v>
      </c>
      <c r="AL169" s="80">
        <v>10</v>
      </c>
      <c r="AM169" s="80" t="s">
        <v>4098</v>
      </c>
      <c r="AN169" s="96" t="str">
        <f>HYPERLINK("https://www.youtube.com/watch?v=7LMnpM0p4cM")</f>
        <v>https://www.youtube.com/watch?v=7LMnpM0p4cM</v>
      </c>
      <c r="AO169" s="80" t="str">
        <f>REPLACE(INDEX(GroupVertices[Group],MATCH(Vertices[[#This Row],[Vertex]],GroupVertices[Vertex],0)),1,1,"")</f>
        <v>4</v>
      </c>
      <c r="AP169" s="48">
        <v>0</v>
      </c>
      <c r="AQ169" s="49">
        <v>0</v>
      </c>
      <c r="AR169" s="48">
        <v>0</v>
      </c>
      <c r="AS169" s="49">
        <v>0</v>
      </c>
      <c r="AT169" s="48">
        <v>0</v>
      </c>
      <c r="AU169" s="49">
        <v>0</v>
      </c>
      <c r="AV169" s="48">
        <v>6</v>
      </c>
      <c r="AW169" s="49">
        <v>100</v>
      </c>
      <c r="AX169" s="48">
        <v>6</v>
      </c>
      <c r="AY169" s="48"/>
      <c r="AZ169" s="48"/>
      <c r="BA169" s="48"/>
      <c r="BB169" s="48"/>
      <c r="BC169" s="2"/>
      <c r="BD169" s="3"/>
      <c r="BE169" s="3"/>
      <c r="BF169" s="3"/>
      <c r="BG169" s="3"/>
    </row>
    <row r="170" spans="1:59" ht="15">
      <c r="A170" s="66" t="s">
        <v>672</v>
      </c>
      <c r="B170" s="67" t="s">
        <v>4456</v>
      </c>
      <c r="C170" s="67" t="s">
        <v>56</v>
      </c>
      <c r="D170" s="68">
        <v>76</v>
      </c>
      <c r="E170" s="70"/>
      <c r="F170" s="97" t="str">
        <f>HYPERLINK("https://i.ytimg.com/vi/lT4Kosc_ers/default.jpg")</f>
        <v>https://i.ytimg.com/vi/lT4Kosc_ers/default.jpg</v>
      </c>
      <c r="G170" s="67"/>
      <c r="H170" s="71" t="s">
        <v>1413</v>
      </c>
      <c r="I170" s="72"/>
      <c r="J170" s="72" t="s">
        <v>159</v>
      </c>
      <c r="K170" s="71" t="s">
        <v>1413</v>
      </c>
      <c r="L170" s="75">
        <v>667.5333333333333</v>
      </c>
      <c r="M170" s="76">
        <v>5074.3779296875</v>
      </c>
      <c r="N170" s="76">
        <v>656.3251342773438</v>
      </c>
      <c r="O170" s="77"/>
      <c r="P170" s="78"/>
      <c r="Q170" s="78"/>
      <c r="R170" s="82"/>
      <c r="S170" s="48">
        <v>3</v>
      </c>
      <c r="T170" s="48">
        <v>0</v>
      </c>
      <c r="U170" s="49">
        <v>0</v>
      </c>
      <c r="V170" s="49">
        <v>0.001416</v>
      </c>
      <c r="W170" s="49">
        <v>0.001189</v>
      </c>
      <c r="X170" s="49">
        <v>0.330143</v>
      </c>
      <c r="Y170" s="49">
        <v>0.6666666666666666</v>
      </c>
      <c r="Z170" s="49">
        <v>0</v>
      </c>
      <c r="AA170" s="73">
        <v>170</v>
      </c>
      <c r="AB170" s="73"/>
      <c r="AC170" s="74"/>
      <c r="AD170" s="80" t="s">
        <v>1413</v>
      </c>
      <c r="AE170" s="80" t="s">
        <v>2073</v>
      </c>
      <c r="AF170" s="80" t="s">
        <v>2663</v>
      </c>
      <c r="AG170" s="80" t="s">
        <v>3204</v>
      </c>
      <c r="AH170" s="80" t="s">
        <v>3825</v>
      </c>
      <c r="AI170" s="80">
        <v>73625</v>
      </c>
      <c r="AJ170" s="80">
        <v>116</v>
      </c>
      <c r="AK170" s="80">
        <v>495</v>
      </c>
      <c r="AL170" s="80">
        <v>10</v>
      </c>
      <c r="AM170" s="80" t="s">
        <v>4098</v>
      </c>
      <c r="AN170" s="96" t="str">
        <f>HYPERLINK("https://www.youtube.com/watch?v=lT4Kosc_ers")</f>
        <v>https://www.youtube.com/watch?v=lT4Kosc_ers</v>
      </c>
      <c r="AO170" s="80" t="str">
        <f>REPLACE(INDEX(GroupVertices[Group],MATCH(Vertices[[#This Row],[Vertex]],GroupVertices[Vertex],0)),1,1,"")</f>
        <v>2</v>
      </c>
      <c r="AP170" s="48">
        <v>0</v>
      </c>
      <c r="AQ170" s="49">
        <v>0</v>
      </c>
      <c r="AR170" s="48">
        <v>0</v>
      </c>
      <c r="AS170" s="49">
        <v>0</v>
      </c>
      <c r="AT170" s="48">
        <v>0</v>
      </c>
      <c r="AU170" s="49">
        <v>0</v>
      </c>
      <c r="AV170" s="48">
        <v>29</v>
      </c>
      <c r="AW170" s="49">
        <v>100</v>
      </c>
      <c r="AX170" s="48">
        <v>29</v>
      </c>
      <c r="AY170" s="48"/>
      <c r="AZ170" s="48"/>
      <c r="BA170" s="48"/>
      <c r="BB170" s="48"/>
      <c r="BC170" s="2"/>
      <c r="BD170" s="3"/>
      <c r="BE170" s="3"/>
      <c r="BF170" s="3"/>
      <c r="BG170" s="3"/>
    </row>
    <row r="171" spans="1:59" ht="15">
      <c r="A171" s="66" t="s">
        <v>317</v>
      </c>
      <c r="B171" s="67" t="s">
        <v>4456</v>
      </c>
      <c r="C171" s="67" t="s">
        <v>56</v>
      </c>
      <c r="D171" s="68">
        <v>54</v>
      </c>
      <c r="E171" s="70"/>
      <c r="F171" s="97" t="str">
        <f>HYPERLINK("https://i.ytimg.com/vi/DDYS6Yhq1_E/default.jpg")</f>
        <v>https://i.ytimg.com/vi/DDYS6Yhq1_E/default.jpg</v>
      </c>
      <c r="G171" s="67"/>
      <c r="H171" s="71" t="s">
        <v>1017</v>
      </c>
      <c r="I171" s="72"/>
      <c r="J171" s="72" t="s">
        <v>159</v>
      </c>
      <c r="K171" s="71" t="s">
        <v>1017</v>
      </c>
      <c r="L171" s="75">
        <v>445.35555555555555</v>
      </c>
      <c r="M171" s="76">
        <v>7281.865234375</v>
      </c>
      <c r="N171" s="76">
        <v>559.3030395507812</v>
      </c>
      <c r="O171" s="77"/>
      <c r="P171" s="78"/>
      <c r="Q171" s="78"/>
      <c r="R171" s="82"/>
      <c r="S171" s="48">
        <v>2</v>
      </c>
      <c r="T171" s="48">
        <v>0</v>
      </c>
      <c r="U171" s="49">
        <v>0</v>
      </c>
      <c r="V171" s="49">
        <v>0.001431</v>
      </c>
      <c r="W171" s="49">
        <v>0.000742</v>
      </c>
      <c r="X171" s="49">
        <v>0.279413</v>
      </c>
      <c r="Y171" s="49">
        <v>0.5</v>
      </c>
      <c r="Z171" s="49">
        <v>0</v>
      </c>
      <c r="AA171" s="73">
        <v>171</v>
      </c>
      <c r="AB171" s="73"/>
      <c r="AC171" s="74"/>
      <c r="AD171" s="80" t="s">
        <v>1017</v>
      </c>
      <c r="AE171" s="80" t="s">
        <v>1735</v>
      </c>
      <c r="AF171" s="80"/>
      <c r="AG171" s="80" t="s">
        <v>2946</v>
      </c>
      <c r="AH171" s="80" t="s">
        <v>3432</v>
      </c>
      <c r="AI171" s="80">
        <v>16192</v>
      </c>
      <c r="AJ171" s="80">
        <v>8</v>
      </c>
      <c r="AK171" s="80">
        <v>103</v>
      </c>
      <c r="AL171" s="80">
        <v>10</v>
      </c>
      <c r="AM171" s="80" t="s">
        <v>4098</v>
      </c>
      <c r="AN171" s="96" t="str">
        <f>HYPERLINK("https://www.youtube.com/watch?v=DDYS6Yhq1_E")</f>
        <v>https://www.youtube.com/watch?v=DDYS6Yhq1_E</v>
      </c>
      <c r="AO171" s="80" t="str">
        <f>REPLACE(INDEX(GroupVertices[Group],MATCH(Vertices[[#This Row],[Vertex]],GroupVertices[Vertex],0)),1,1,"")</f>
        <v>4</v>
      </c>
      <c r="AP171" s="48"/>
      <c r="AQ171" s="49"/>
      <c r="AR171" s="48"/>
      <c r="AS171" s="49"/>
      <c r="AT171" s="48"/>
      <c r="AU171" s="49"/>
      <c r="AV171" s="48"/>
      <c r="AW171" s="49"/>
      <c r="AX171" s="48"/>
      <c r="AY171" s="48"/>
      <c r="AZ171" s="48"/>
      <c r="BA171" s="48"/>
      <c r="BB171" s="48"/>
      <c r="BC171" s="2"/>
      <c r="BD171" s="3"/>
      <c r="BE171" s="3"/>
      <c r="BF171" s="3"/>
      <c r="BG171" s="3"/>
    </row>
    <row r="172" spans="1:59" ht="15">
      <c r="A172" s="66" t="s">
        <v>889</v>
      </c>
      <c r="B172" s="67" t="s">
        <v>4456</v>
      </c>
      <c r="C172" s="67" t="s">
        <v>64</v>
      </c>
      <c r="D172" s="68">
        <v>142</v>
      </c>
      <c r="E172" s="70"/>
      <c r="F172" s="97" t="str">
        <f>HYPERLINK("https://i.ytimg.com/vi/NgUj8DEH5Tc/default.jpg")</f>
        <v>https://i.ytimg.com/vi/NgUj8DEH5Tc/default.jpg</v>
      </c>
      <c r="G172" s="67"/>
      <c r="H172" s="71" t="s">
        <v>1627</v>
      </c>
      <c r="I172" s="72"/>
      <c r="J172" s="72" t="s">
        <v>75</v>
      </c>
      <c r="K172" s="71" t="s">
        <v>1627</v>
      </c>
      <c r="L172" s="75">
        <v>1334.0666666666666</v>
      </c>
      <c r="M172" s="76">
        <v>2855.2236328125</v>
      </c>
      <c r="N172" s="76">
        <v>4047.292236328125</v>
      </c>
      <c r="O172" s="77"/>
      <c r="P172" s="78"/>
      <c r="Q172" s="78"/>
      <c r="R172" s="82"/>
      <c r="S172" s="48">
        <v>6</v>
      </c>
      <c r="T172" s="48">
        <v>0</v>
      </c>
      <c r="U172" s="49">
        <v>0</v>
      </c>
      <c r="V172" s="49">
        <v>0.001577</v>
      </c>
      <c r="W172" s="49">
        <v>0.002785</v>
      </c>
      <c r="X172" s="49">
        <v>0.518882</v>
      </c>
      <c r="Y172" s="49">
        <v>0.6</v>
      </c>
      <c r="Z172" s="49">
        <v>0</v>
      </c>
      <c r="AA172" s="73">
        <v>172</v>
      </c>
      <c r="AB172" s="73"/>
      <c r="AC172" s="74"/>
      <c r="AD172" s="80" t="s">
        <v>1627</v>
      </c>
      <c r="AE172" s="80" t="s">
        <v>2265</v>
      </c>
      <c r="AF172" s="80" t="s">
        <v>2847</v>
      </c>
      <c r="AG172" s="80" t="s">
        <v>3250</v>
      </c>
      <c r="AH172" s="80" t="s">
        <v>4043</v>
      </c>
      <c r="AI172" s="80">
        <v>40904</v>
      </c>
      <c r="AJ172" s="80">
        <v>14</v>
      </c>
      <c r="AK172" s="80">
        <v>353</v>
      </c>
      <c r="AL172" s="80">
        <v>7</v>
      </c>
      <c r="AM172" s="80" t="s">
        <v>4098</v>
      </c>
      <c r="AN172" s="96" t="str">
        <f>HYPERLINK("https://www.youtube.com/watch?v=NgUj8DEH5Tc")</f>
        <v>https://www.youtube.com/watch?v=NgUj8DEH5Tc</v>
      </c>
      <c r="AO172" s="80" t="str">
        <f>REPLACE(INDEX(GroupVertices[Group],MATCH(Vertices[[#This Row],[Vertex]],GroupVertices[Vertex],0)),1,1,"")</f>
        <v>2</v>
      </c>
      <c r="AP172" s="48">
        <v>0</v>
      </c>
      <c r="AQ172" s="49">
        <v>0</v>
      </c>
      <c r="AR172" s="48">
        <v>1</v>
      </c>
      <c r="AS172" s="49">
        <v>2.857142857142857</v>
      </c>
      <c r="AT172" s="48">
        <v>0</v>
      </c>
      <c r="AU172" s="49">
        <v>0</v>
      </c>
      <c r="AV172" s="48">
        <v>34</v>
      </c>
      <c r="AW172" s="49">
        <v>97.14285714285714</v>
      </c>
      <c r="AX172" s="48">
        <v>35</v>
      </c>
      <c r="AY172" s="48"/>
      <c r="AZ172" s="48"/>
      <c r="BA172" s="48"/>
      <c r="BB172" s="48"/>
      <c r="BC172" s="2"/>
      <c r="BD172" s="3"/>
      <c r="BE172" s="3"/>
      <c r="BF172" s="3"/>
      <c r="BG172" s="3"/>
    </row>
    <row r="173" spans="1:59" ht="15">
      <c r="A173" s="66" t="s">
        <v>664</v>
      </c>
      <c r="B173" s="67" t="s">
        <v>4456</v>
      </c>
      <c r="C173" s="67" t="s">
        <v>56</v>
      </c>
      <c r="D173" s="68">
        <v>76</v>
      </c>
      <c r="E173" s="70"/>
      <c r="F173" s="97" t="str">
        <f>HYPERLINK("https://i.ytimg.com/vi/FpOIbhOmGUs/default.jpg")</f>
        <v>https://i.ytimg.com/vi/FpOIbhOmGUs/default.jpg</v>
      </c>
      <c r="G173" s="67"/>
      <c r="H173" s="71" t="s">
        <v>1404</v>
      </c>
      <c r="I173" s="72"/>
      <c r="J173" s="72" t="s">
        <v>159</v>
      </c>
      <c r="K173" s="71" t="s">
        <v>1404</v>
      </c>
      <c r="L173" s="75">
        <v>667.5333333333333</v>
      </c>
      <c r="M173" s="76">
        <v>1699.2882080078125</v>
      </c>
      <c r="N173" s="76">
        <v>3856.89404296875</v>
      </c>
      <c r="O173" s="77"/>
      <c r="P173" s="78"/>
      <c r="Q173" s="78"/>
      <c r="R173" s="82"/>
      <c r="S173" s="48">
        <v>3</v>
      </c>
      <c r="T173" s="48">
        <v>0</v>
      </c>
      <c r="U173" s="49">
        <v>0</v>
      </c>
      <c r="V173" s="49">
        <v>0.001408</v>
      </c>
      <c r="W173" s="49">
        <v>0.001171</v>
      </c>
      <c r="X173" s="49">
        <v>0.335142</v>
      </c>
      <c r="Y173" s="49">
        <v>0.8333333333333334</v>
      </c>
      <c r="Z173" s="49">
        <v>0</v>
      </c>
      <c r="AA173" s="73">
        <v>173</v>
      </c>
      <c r="AB173" s="73"/>
      <c r="AC173" s="74"/>
      <c r="AD173" s="80" t="s">
        <v>1404</v>
      </c>
      <c r="AE173" s="80"/>
      <c r="AF173" s="80"/>
      <c r="AG173" s="80" t="s">
        <v>3196</v>
      </c>
      <c r="AH173" s="80" t="s">
        <v>3816</v>
      </c>
      <c r="AI173" s="80">
        <v>30876</v>
      </c>
      <c r="AJ173" s="80">
        <v>14</v>
      </c>
      <c r="AK173" s="80">
        <v>152</v>
      </c>
      <c r="AL173" s="80">
        <v>7</v>
      </c>
      <c r="AM173" s="80" t="s">
        <v>4098</v>
      </c>
      <c r="AN173" s="96" t="str">
        <f>HYPERLINK("https://www.youtube.com/watch?v=FpOIbhOmGUs")</f>
        <v>https://www.youtube.com/watch?v=FpOIbhOmGUs</v>
      </c>
      <c r="AO173" s="80" t="str">
        <f>REPLACE(INDEX(GroupVertices[Group],MATCH(Vertices[[#This Row],[Vertex]],GroupVertices[Vertex],0)),1,1,"")</f>
        <v>2</v>
      </c>
      <c r="AP173" s="48"/>
      <c r="AQ173" s="49"/>
      <c r="AR173" s="48"/>
      <c r="AS173" s="49"/>
      <c r="AT173" s="48"/>
      <c r="AU173" s="49"/>
      <c r="AV173" s="48"/>
      <c r="AW173" s="49"/>
      <c r="AX173" s="48"/>
      <c r="AY173" s="48"/>
      <c r="AZ173" s="48"/>
      <c r="BA173" s="48"/>
      <c r="BB173" s="48"/>
      <c r="BC173" s="2"/>
      <c r="BD173" s="3"/>
      <c r="BE173" s="3"/>
      <c r="BF173" s="3"/>
      <c r="BG173" s="3"/>
    </row>
    <row r="174" spans="1:59" ht="15">
      <c r="A174" s="66" t="s">
        <v>715</v>
      </c>
      <c r="B174" s="67" t="s">
        <v>4456</v>
      </c>
      <c r="C174" s="67" t="s">
        <v>56</v>
      </c>
      <c r="D174" s="68">
        <v>54</v>
      </c>
      <c r="E174" s="70"/>
      <c r="F174" s="97" t="str">
        <f>HYPERLINK("https://i.ytimg.com/vi/r1pKvDdLxVM/default.jpg")</f>
        <v>https://i.ytimg.com/vi/r1pKvDdLxVM/default.jpg</v>
      </c>
      <c r="G174" s="67"/>
      <c r="H174" s="71" t="s">
        <v>1456</v>
      </c>
      <c r="I174" s="72"/>
      <c r="J174" s="72" t="s">
        <v>159</v>
      </c>
      <c r="K174" s="71" t="s">
        <v>1456</v>
      </c>
      <c r="L174" s="75">
        <v>445.35555555555555</v>
      </c>
      <c r="M174" s="76">
        <v>7492.49658203125</v>
      </c>
      <c r="N174" s="76">
        <v>9253.9677734375</v>
      </c>
      <c r="O174" s="77"/>
      <c r="P174" s="78"/>
      <c r="Q174" s="78"/>
      <c r="R174" s="82"/>
      <c r="S174" s="48">
        <v>2</v>
      </c>
      <c r="T174" s="48">
        <v>0</v>
      </c>
      <c r="U174" s="49">
        <v>0</v>
      </c>
      <c r="V174" s="49">
        <v>0.001368</v>
      </c>
      <c r="W174" s="49">
        <v>0.000536</v>
      </c>
      <c r="X174" s="49">
        <v>0.280374</v>
      </c>
      <c r="Y174" s="49">
        <v>0.5</v>
      </c>
      <c r="Z174" s="49">
        <v>0</v>
      </c>
      <c r="AA174" s="73">
        <v>174</v>
      </c>
      <c r="AB174" s="73"/>
      <c r="AC174" s="74"/>
      <c r="AD174" s="80" t="s">
        <v>1456</v>
      </c>
      <c r="AE174" s="80" t="s">
        <v>2114</v>
      </c>
      <c r="AF174" s="80" t="s">
        <v>2703</v>
      </c>
      <c r="AG174" s="80" t="s">
        <v>3234</v>
      </c>
      <c r="AH174" s="80" t="s">
        <v>3869</v>
      </c>
      <c r="AI174" s="80">
        <v>24436</v>
      </c>
      <c r="AJ174" s="80">
        <v>7</v>
      </c>
      <c r="AK174" s="80">
        <v>111</v>
      </c>
      <c r="AL174" s="80">
        <v>7</v>
      </c>
      <c r="AM174" s="80" t="s">
        <v>4098</v>
      </c>
      <c r="AN174" s="96" t="str">
        <f>HYPERLINK("https://www.youtube.com/watch?v=r1pKvDdLxVM")</f>
        <v>https://www.youtube.com/watch?v=r1pKvDdLxVM</v>
      </c>
      <c r="AO174" s="80" t="str">
        <f>REPLACE(INDEX(GroupVertices[Group],MATCH(Vertices[[#This Row],[Vertex]],GroupVertices[Vertex],0)),1,1,"")</f>
        <v>3</v>
      </c>
      <c r="AP174" s="48">
        <v>0</v>
      </c>
      <c r="AQ174" s="49">
        <v>0</v>
      </c>
      <c r="AR174" s="48">
        <v>0</v>
      </c>
      <c r="AS174" s="49">
        <v>0</v>
      </c>
      <c r="AT174" s="48">
        <v>0</v>
      </c>
      <c r="AU174" s="49">
        <v>0</v>
      </c>
      <c r="AV174" s="48">
        <v>8</v>
      </c>
      <c r="AW174" s="49">
        <v>100</v>
      </c>
      <c r="AX174" s="48">
        <v>8</v>
      </c>
      <c r="AY174" s="48"/>
      <c r="AZ174" s="48"/>
      <c r="BA174" s="48"/>
      <c r="BB174" s="48"/>
      <c r="BC174" s="2"/>
      <c r="BD174" s="3"/>
      <c r="BE174" s="3"/>
      <c r="BF174" s="3"/>
      <c r="BG174" s="3"/>
    </row>
    <row r="175" spans="1:59" ht="15">
      <c r="A175" s="66" t="s">
        <v>365</v>
      </c>
      <c r="B175" s="67" t="s">
        <v>4456</v>
      </c>
      <c r="C175" s="67" t="s">
        <v>56</v>
      </c>
      <c r="D175" s="68">
        <v>54</v>
      </c>
      <c r="E175" s="70"/>
      <c r="F175" s="97" t="str">
        <f>HYPERLINK("https://i.ytimg.com/vi/isBm5RTslow/default.jpg")</f>
        <v>https://i.ytimg.com/vi/isBm5RTslow/default.jpg</v>
      </c>
      <c r="G175" s="67"/>
      <c r="H175" s="71" t="s">
        <v>1071</v>
      </c>
      <c r="I175" s="72"/>
      <c r="J175" s="72" t="s">
        <v>159</v>
      </c>
      <c r="K175" s="71" t="s">
        <v>1071</v>
      </c>
      <c r="L175" s="75">
        <v>445.35555555555555</v>
      </c>
      <c r="M175" s="76">
        <v>6968.66943359375</v>
      </c>
      <c r="N175" s="76">
        <v>4948.59130859375</v>
      </c>
      <c r="O175" s="77"/>
      <c r="P175" s="78"/>
      <c r="Q175" s="78"/>
      <c r="R175" s="82"/>
      <c r="S175" s="48">
        <v>2</v>
      </c>
      <c r="T175" s="48">
        <v>0</v>
      </c>
      <c r="U175" s="49">
        <v>0</v>
      </c>
      <c r="V175" s="49">
        <v>0.001381</v>
      </c>
      <c r="W175" s="49">
        <v>0.000731</v>
      </c>
      <c r="X175" s="49">
        <v>0.275481</v>
      </c>
      <c r="Y175" s="49">
        <v>0.5</v>
      </c>
      <c r="Z175" s="49">
        <v>0</v>
      </c>
      <c r="AA175" s="73">
        <v>175</v>
      </c>
      <c r="AB175" s="73"/>
      <c r="AC175" s="74"/>
      <c r="AD175" s="80" t="s">
        <v>1071</v>
      </c>
      <c r="AE175" s="80" t="s">
        <v>1782</v>
      </c>
      <c r="AF175" s="80" t="s">
        <v>2408</v>
      </c>
      <c r="AG175" s="80" t="s">
        <v>2907</v>
      </c>
      <c r="AH175" s="80" t="s">
        <v>3484</v>
      </c>
      <c r="AI175" s="80">
        <v>22082</v>
      </c>
      <c r="AJ175" s="80">
        <v>13</v>
      </c>
      <c r="AK175" s="80">
        <v>191</v>
      </c>
      <c r="AL175" s="80">
        <v>7</v>
      </c>
      <c r="AM175" s="80" t="s">
        <v>4098</v>
      </c>
      <c r="AN175" s="96" t="str">
        <f>HYPERLINK("https://www.youtube.com/watch?v=isBm5RTslow")</f>
        <v>https://www.youtube.com/watch?v=isBm5RTslow</v>
      </c>
      <c r="AO175" s="80" t="str">
        <f>REPLACE(INDEX(GroupVertices[Group],MATCH(Vertices[[#This Row],[Vertex]],GroupVertices[Vertex],0)),1,1,"")</f>
        <v>3</v>
      </c>
      <c r="AP175" s="48">
        <v>0</v>
      </c>
      <c r="AQ175" s="49">
        <v>0</v>
      </c>
      <c r="AR175" s="48">
        <v>0</v>
      </c>
      <c r="AS175" s="49">
        <v>0</v>
      </c>
      <c r="AT175" s="48">
        <v>0</v>
      </c>
      <c r="AU175" s="49">
        <v>0</v>
      </c>
      <c r="AV175" s="48">
        <v>16</v>
      </c>
      <c r="AW175" s="49">
        <v>100</v>
      </c>
      <c r="AX175" s="48">
        <v>16</v>
      </c>
      <c r="AY175" s="48"/>
      <c r="AZ175" s="48"/>
      <c r="BA175" s="48"/>
      <c r="BB175" s="48"/>
      <c r="BC175" s="2"/>
      <c r="BD175" s="3"/>
      <c r="BE175" s="3"/>
      <c r="BF175" s="3"/>
      <c r="BG175" s="3"/>
    </row>
    <row r="176" spans="1:59" ht="15">
      <c r="A176" s="66" t="s">
        <v>914</v>
      </c>
      <c r="B176" s="67" t="s">
        <v>4456</v>
      </c>
      <c r="C176" s="67" t="s">
        <v>56</v>
      </c>
      <c r="D176" s="68">
        <v>98</v>
      </c>
      <c r="E176" s="70"/>
      <c r="F176" s="97" t="str">
        <f>HYPERLINK("https://i.ytimg.com/vi/GGbLcgBAzlc/default.jpg")</f>
        <v>https://i.ytimg.com/vi/GGbLcgBAzlc/default.jpg</v>
      </c>
      <c r="G176" s="67"/>
      <c r="H176" s="71" t="s">
        <v>1652</v>
      </c>
      <c r="I176" s="72"/>
      <c r="J176" s="72" t="s">
        <v>159</v>
      </c>
      <c r="K176" s="71" t="s">
        <v>1652</v>
      </c>
      <c r="L176" s="75">
        <v>889.7111111111111</v>
      </c>
      <c r="M176" s="76">
        <v>5157.5341796875</v>
      </c>
      <c r="N176" s="76">
        <v>8452.1669921875</v>
      </c>
      <c r="O176" s="77"/>
      <c r="P176" s="78"/>
      <c r="Q176" s="78"/>
      <c r="R176" s="82"/>
      <c r="S176" s="48">
        <v>4</v>
      </c>
      <c r="T176" s="48">
        <v>0</v>
      </c>
      <c r="U176" s="49">
        <v>0</v>
      </c>
      <c r="V176" s="49">
        <v>0.001451</v>
      </c>
      <c r="W176" s="49">
        <v>0.001769</v>
      </c>
      <c r="X176" s="49">
        <v>0.390192</v>
      </c>
      <c r="Y176" s="49">
        <v>0.9166666666666666</v>
      </c>
      <c r="Z176" s="49">
        <v>0</v>
      </c>
      <c r="AA176" s="73">
        <v>176</v>
      </c>
      <c r="AB176" s="73"/>
      <c r="AC176" s="74"/>
      <c r="AD176" s="80" t="s">
        <v>1652</v>
      </c>
      <c r="AE176" s="80" t="s">
        <v>2288</v>
      </c>
      <c r="AF176" s="80" t="s">
        <v>2870</v>
      </c>
      <c r="AG176" s="80" t="s">
        <v>3054</v>
      </c>
      <c r="AH176" s="80" t="s">
        <v>4068</v>
      </c>
      <c r="AI176" s="80">
        <v>37431</v>
      </c>
      <c r="AJ176" s="80">
        <v>1</v>
      </c>
      <c r="AK176" s="80">
        <v>40</v>
      </c>
      <c r="AL176" s="80">
        <v>6</v>
      </c>
      <c r="AM176" s="80" t="s">
        <v>4098</v>
      </c>
      <c r="AN176" s="96" t="str">
        <f>HYPERLINK("https://www.youtube.com/watch?v=GGbLcgBAzlc")</f>
        <v>https://www.youtube.com/watch?v=GGbLcgBAzlc</v>
      </c>
      <c r="AO176" s="80" t="str">
        <f>REPLACE(INDEX(GroupVertices[Group],MATCH(Vertices[[#This Row],[Vertex]],GroupVertices[Vertex],0)),1,1,"")</f>
        <v>1</v>
      </c>
      <c r="AP176" s="48">
        <v>0</v>
      </c>
      <c r="AQ176" s="49">
        <v>0</v>
      </c>
      <c r="AR176" s="48">
        <v>0</v>
      </c>
      <c r="AS176" s="49">
        <v>0</v>
      </c>
      <c r="AT176" s="48">
        <v>0</v>
      </c>
      <c r="AU176" s="49">
        <v>0</v>
      </c>
      <c r="AV176" s="48">
        <v>4</v>
      </c>
      <c r="AW176" s="49">
        <v>100</v>
      </c>
      <c r="AX176" s="48">
        <v>4</v>
      </c>
      <c r="AY176" s="48"/>
      <c r="AZ176" s="48"/>
      <c r="BA176" s="48"/>
      <c r="BB176" s="48"/>
      <c r="BC176" s="2"/>
      <c r="BD176" s="3"/>
      <c r="BE176" s="3"/>
      <c r="BF176" s="3"/>
      <c r="BG176" s="3"/>
    </row>
    <row r="177" spans="1:59" ht="15">
      <c r="A177" s="66" t="s">
        <v>733</v>
      </c>
      <c r="B177" s="67" t="s">
        <v>4456</v>
      </c>
      <c r="C177" s="67" t="s">
        <v>56</v>
      </c>
      <c r="D177" s="68">
        <v>98</v>
      </c>
      <c r="E177" s="70"/>
      <c r="F177" s="97" t="str">
        <f>HYPERLINK("https://i.ytimg.com/vi/6rURezjoEDo/default.jpg")</f>
        <v>https://i.ytimg.com/vi/6rURezjoEDo/default.jpg</v>
      </c>
      <c r="G177" s="67"/>
      <c r="H177" s="71" t="s">
        <v>1474</v>
      </c>
      <c r="I177" s="72"/>
      <c r="J177" s="72" t="s">
        <v>159</v>
      </c>
      <c r="K177" s="71" t="s">
        <v>1474</v>
      </c>
      <c r="L177" s="75">
        <v>889.7111111111111</v>
      </c>
      <c r="M177" s="76">
        <v>2055.60009765625</v>
      </c>
      <c r="N177" s="76">
        <v>7013.81201171875</v>
      </c>
      <c r="O177" s="77"/>
      <c r="P177" s="78"/>
      <c r="Q177" s="78"/>
      <c r="R177" s="82"/>
      <c r="S177" s="48">
        <v>4</v>
      </c>
      <c r="T177" s="48">
        <v>0</v>
      </c>
      <c r="U177" s="49">
        <v>0</v>
      </c>
      <c r="V177" s="49">
        <v>0.001534</v>
      </c>
      <c r="W177" s="49">
        <v>0.001479</v>
      </c>
      <c r="X177" s="49">
        <v>0.408965</v>
      </c>
      <c r="Y177" s="49">
        <v>0.6666666666666666</v>
      </c>
      <c r="Z177" s="49">
        <v>0</v>
      </c>
      <c r="AA177" s="73">
        <v>177</v>
      </c>
      <c r="AB177" s="73"/>
      <c r="AC177" s="74"/>
      <c r="AD177" s="80" t="s">
        <v>1474</v>
      </c>
      <c r="AE177" s="80" t="s">
        <v>2131</v>
      </c>
      <c r="AF177" s="80" t="s">
        <v>2719</v>
      </c>
      <c r="AG177" s="80" t="s">
        <v>3244</v>
      </c>
      <c r="AH177" s="80" t="s">
        <v>3887</v>
      </c>
      <c r="AI177" s="80">
        <v>25947</v>
      </c>
      <c r="AJ177" s="80">
        <v>4</v>
      </c>
      <c r="AK177" s="80">
        <v>30</v>
      </c>
      <c r="AL177" s="80">
        <v>6</v>
      </c>
      <c r="AM177" s="80" t="s">
        <v>4098</v>
      </c>
      <c r="AN177" s="96" t="str">
        <f>HYPERLINK("https://www.youtube.com/watch?v=6rURezjoEDo")</f>
        <v>https://www.youtube.com/watch?v=6rURezjoEDo</v>
      </c>
      <c r="AO177" s="80" t="str">
        <f>REPLACE(INDEX(GroupVertices[Group],MATCH(Vertices[[#This Row],[Vertex]],GroupVertices[Vertex],0)),1,1,"")</f>
        <v>1</v>
      </c>
      <c r="AP177" s="48">
        <v>0</v>
      </c>
      <c r="AQ177" s="49">
        <v>0</v>
      </c>
      <c r="AR177" s="48">
        <v>0</v>
      </c>
      <c r="AS177" s="49">
        <v>0</v>
      </c>
      <c r="AT177" s="48">
        <v>0</v>
      </c>
      <c r="AU177" s="49">
        <v>0</v>
      </c>
      <c r="AV177" s="48">
        <v>13</v>
      </c>
      <c r="AW177" s="49">
        <v>100</v>
      </c>
      <c r="AX177" s="48">
        <v>13</v>
      </c>
      <c r="AY177" s="48"/>
      <c r="AZ177" s="48"/>
      <c r="BA177" s="48"/>
      <c r="BB177" s="48"/>
      <c r="BC177" s="2"/>
      <c r="BD177" s="3"/>
      <c r="BE177" s="3"/>
      <c r="BF177" s="3"/>
      <c r="BG177" s="3"/>
    </row>
    <row r="178" spans="1:59" ht="15">
      <c r="A178" s="66" t="s">
        <v>920</v>
      </c>
      <c r="B178" s="67" t="s">
        <v>4456</v>
      </c>
      <c r="C178" s="67" t="s">
        <v>56</v>
      </c>
      <c r="D178" s="68">
        <v>98</v>
      </c>
      <c r="E178" s="70"/>
      <c r="F178" s="97" t="str">
        <f>HYPERLINK("https://i.ytimg.com/vi/E72zEz0961o/default.jpg")</f>
        <v>https://i.ytimg.com/vi/E72zEz0961o/default.jpg</v>
      </c>
      <c r="G178" s="67"/>
      <c r="H178" s="71" t="s">
        <v>1658</v>
      </c>
      <c r="I178" s="72"/>
      <c r="J178" s="72" t="s">
        <v>159</v>
      </c>
      <c r="K178" s="71" t="s">
        <v>1658</v>
      </c>
      <c r="L178" s="75">
        <v>889.7111111111111</v>
      </c>
      <c r="M178" s="76">
        <v>3929.092529296875</v>
      </c>
      <c r="N178" s="76">
        <v>8218.8623046875</v>
      </c>
      <c r="O178" s="77"/>
      <c r="P178" s="78"/>
      <c r="Q178" s="78"/>
      <c r="R178" s="82"/>
      <c r="S178" s="48">
        <v>4</v>
      </c>
      <c r="T178" s="48">
        <v>0</v>
      </c>
      <c r="U178" s="49">
        <v>0</v>
      </c>
      <c r="V178" s="49">
        <v>0.001508</v>
      </c>
      <c r="W178" s="49">
        <v>0.001737</v>
      </c>
      <c r="X178" s="49">
        <v>0.399018</v>
      </c>
      <c r="Y178" s="49">
        <v>0.75</v>
      </c>
      <c r="Z178" s="49">
        <v>0</v>
      </c>
      <c r="AA178" s="73">
        <v>178</v>
      </c>
      <c r="AB178" s="73"/>
      <c r="AC178" s="74"/>
      <c r="AD178" s="80" t="s">
        <v>1658</v>
      </c>
      <c r="AE178" s="80" t="s">
        <v>2294</v>
      </c>
      <c r="AF178" s="80" t="s">
        <v>2875</v>
      </c>
      <c r="AG178" s="80" t="s">
        <v>3359</v>
      </c>
      <c r="AH178" s="80" t="s">
        <v>4074</v>
      </c>
      <c r="AI178" s="80">
        <v>21480</v>
      </c>
      <c r="AJ178" s="80">
        <v>42</v>
      </c>
      <c r="AK178" s="80">
        <v>292</v>
      </c>
      <c r="AL178" s="80">
        <v>6</v>
      </c>
      <c r="AM178" s="80" t="s">
        <v>4098</v>
      </c>
      <c r="AN178" s="96" t="str">
        <f>HYPERLINK("https://www.youtube.com/watch?v=E72zEz0961o")</f>
        <v>https://www.youtube.com/watch?v=E72zEz0961o</v>
      </c>
      <c r="AO178" s="80" t="str">
        <f>REPLACE(INDEX(GroupVertices[Group],MATCH(Vertices[[#This Row],[Vertex]],GroupVertices[Vertex],0)),1,1,"")</f>
        <v>1</v>
      </c>
      <c r="AP178" s="48">
        <v>0</v>
      </c>
      <c r="AQ178" s="49">
        <v>0</v>
      </c>
      <c r="AR178" s="48">
        <v>0</v>
      </c>
      <c r="AS178" s="49">
        <v>0</v>
      </c>
      <c r="AT178" s="48">
        <v>0</v>
      </c>
      <c r="AU178" s="49">
        <v>0</v>
      </c>
      <c r="AV178" s="48">
        <v>8</v>
      </c>
      <c r="AW178" s="49">
        <v>100</v>
      </c>
      <c r="AX178" s="48">
        <v>8</v>
      </c>
      <c r="AY178" s="48"/>
      <c r="AZ178" s="48"/>
      <c r="BA178" s="48"/>
      <c r="BB178" s="48"/>
      <c r="BC178" s="2"/>
      <c r="BD178" s="3"/>
      <c r="BE178" s="3"/>
      <c r="BF178" s="3"/>
      <c r="BG178" s="3"/>
    </row>
    <row r="179" spans="1:59" ht="15">
      <c r="A179" s="66" t="s">
        <v>554</v>
      </c>
      <c r="B179" s="67" t="s">
        <v>4456</v>
      </c>
      <c r="C179" s="67" t="s">
        <v>56</v>
      </c>
      <c r="D179" s="68">
        <v>76</v>
      </c>
      <c r="E179" s="70"/>
      <c r="F179" s="97" t="str">
        <f>HYPERLINK("https://i.ytimg.com/vi/xnX555j2sI8/default.jpg")</f>
        <v>https://i.ytimg.com/vi/xnX555j2sI8/default.jpg</v>
      </c>
      <c r="G179" s="67"/>
      <c r="H179" s="71" t="s">
        <v>1288</v>
      </c>
      <c r="I179" s="72"/>
      <c r="J179" s="72" t="s">
        <v>159</v>
      </c>
      <c r="K179" s="71" t="s">
        <v>1288</v>
      </c>
      <c r="L179" s="75">
        <v>667.5333333333333</v>
      </c>
      <c r="M179" s="76">
        <v>6735.87939453125</v>
      </c>
      <c r="N179" s="76">
        <v>2192.140625</v>
      </c>
      <c r="O179" s="77"/>
      <c r="P179" s="78"/>
      <c r="Q179" s="78"/>
      <c r="R179" s="82"/>
      <c r="S179" s="48">
        <v>3</v>
      </c>
      <c r="T179" s="48">
        <v>0</v>
      </c>
      <c r="U179" s="49">
        <v>0</v>
      </c>
      <c r="V179" s="49">
        <v>0.001466</v>
      </c>
      <c r="W179" s="49">
        <v>0.001107</v>
      </c>
      <c r="X179" s="49">
        <v>0.343364</v>
      </c>
      <c r="Y179" s="49">
        <v>0.5</v>
      </c>
      <c r="Z179" s="49">
        <v>0</v>
      </c>
      <c r="AA179" s="73">
        <v>179</v>
      </c>
      <c r="AB179" s="73"/>
      <c r="AC179" s="74"/>
      <c r="AD179" s="80" t="s">
        <v>1288</v>
      </c>
      <c r="AE179" s="80" t="s">
        <v>1962</v>
      </c>
      <c r="AF179" s="80" t="s">
        <v>2568</v>
      </c>
      <c r="AG179" s="80" t="s">
        <v>3115</v>
      </c>
      <c r="AH179" s="80" t="s">
        <v>3700</v>
      </c>
      <c r="AI179" s="80">
        <v>40755</v>
      </c>
      <c r="AJ179" s="80">
        <v>1</v>
      </c>
      <c r="AK179" s="80">
        <v>216</v>
      </c>
      <c r="AL179" s="80">
        <v>6</v>
      </c>
      <c r="AM179" s="80" t="s">
        <v>4098</v>
      </c>
      <c r="AN179" s="96" t="str">
        <f>HYPERLINK("https://www.youtube.com/watch?v=xnX555j2sI8")</f>
        <v>https://www.youtube.com/watch?v=xnX555j2sI8</v>
      </c>
      <c r="AO179" s="80" t="str">
        <f>REPLACE(INDEX(GroupVertices[Group],MATCH(Vertices[[#This Row],[Vertex]],GroupVertices[Vertex],0)),1,1,"")</f>
        <v>4</v>
      </c>
      <c r="AP179" s="48">
        <v>0</v>
      </c>
      <c r="AQ179" s="49">
        <v>0</v>
      </c>
      <c r="AR179" s="48">
        <v>0</v>
      </c>
      <c r="AS179" s="49">
        <v>0</v>
      </c>
      <c r="AT179" s="48">
        <v>0</v>
      </c>
      <c r="AU179" s="49">
        <v>0</v>
      </c>
      <c r="AV179" s="48">
        <v>21</v>
      </c>
      <c r="AW179" s="49">
        <v>100</v>
      </c>
      <c r="AX179" s="48">
        <v>21</v>
      </c>
      <c r="AY179" s="48"/>
      <c r="AZ179" s="48"/>
      <c r="BA179" s="48"/>
      <c r="BB179" s="48"/>
      <c r="BC179" s="2"/>
      <c r="BD179" s="3"/>
      <c r="BE179" s="3"/>
      <c r="BF179" s="3"/>
      <c r="BG179" s="3"/>
    </row>
    <row r="180" spans="1:59" ht="15">
      <c r="A180" s="66" t="s">
        <v>373</v>
      </c>
      <c r="B180" s="67" t="s">
        <v>4456</v>
      </c>
      <c r="C180" s="67" t="s">
        <v>56</v>
      </c>
      <c r="D180" s="68">
        <v>54</v>
      </c>
      <c r="E180" s="70"/>
      <c r="F180" s="97" t="str">
        <f>HYPERLINK("https://i.ytimg.com/vi/QETCjkQ3CBw/default.jpg")</f>
        <v>https://i.ytimg.com/vi/QETCjkQ3CBw/default.jpg</v>
      </c>
      <c r="G180" s="67"/>
      <c r="H180" s="71" t="s">
        <v>1080</v>
      </c>
      <c r="I180" s="72"/>
      <c r="J180" s="72" t="s">
        <v>159</v>
      </c>
      <c r="K180" s="71" t="s">
        <v>1080</v>
      </c>
      <c r="L180" s="75">
        <v>445.35555555555555</v>
      </c>
      <c r="M180" s="76">
        <v>5156.3798828125</v>
      </c>
      <c r="N180" s="76">
        <v>1077.86474609375</v>
      </c>
      <c r="O180" s="77"/>
      <c r="P180" s="78"/>
      <c r="Q180" s="78"/>
      <c r="R180" s="82"/>
      <c r="S180" s="48">
        <v>2</v>
      </c>
      <c r="T180" s="48">
        <v>0</v>
      </c>
      <c r="U180" s="49">
        <v>0</v>
      </c>
      <c r="V180" s="49">
        <v>0.001399</v>
      </c>
      <c r="W180" s="49">
        <v>0.000764</v>
      </c>
      <c r="X180" s="49">
        <v>0.274728</v>
      </c>
      <c r="Y180" s="49">
        <v>1</v>
      </c>
      <c r="Z180" s="49">
        <v>0</v>
      </c>
      <c r="AA180" s="73">
        <v>180</v>
      </c>
      <c r="AB180" s="73"/>
      <c r="AC180" s="74"/>
      <c r="AD180" s="80" t="s">
        <v>1080</v>
      </c>
      <c r="AE180" s="80" t="s">
        <v>1788</v>
      </c>
      <c r="AF180" s="80" t="s">
        <v>2414</v>
      </c>
      <c r="AG180" s="80" t="s">
        <v>2988</v>
      </c>
      <c r="AH180" s="80" t="s">
        <v>3493</v>
      </c>
      <c r="AI180" s="80">
        <v>33580</v>
      </c>
      <c r="AJ180" s="80">
        <v>171</v>
      </c>
      <c r="AK180" s="80">
        <v>320</v>
      </c>
      <c r="AL180" s="80">
        <v>6</v>
      </c>
      <c r="AM180" s="80" t="s">
        <v>4098</v>
      </c>
      <c r="AN180" s="96" t="str">
        <f>HYPERLINK("https://www.youtube.com/watch?v=QETCjkQ3CBw")</f>
        <v>https://www.youtube.com/watch?v=QETCjkQ3CBw</v>
      </c>
      <c r="AO180" s="80" t="str">
        <f>REPLACE(INDEX(GroupVertices[Group],MATCH(Vertices[[#This Row],[Vertex]],GroupVertices[Vertex],0)),1,1,"")</f>
        <v>2</v>
      </c>
      <c r="AP180" s="48">
        <v>0</v>
      </c>
      <c r="AQ180" s="49">
        <v>0</v>
      </c>
      <c r="AR180" s="48">
        <v>0</v>
      </c>
      <c r="AS180" s="49">
        <v>0</v>
      </c>
      <c r="AT180" s="48">
        <v>0</v>
      </c>
      <c r="AU180" s="49">
        <v>0</v>
      </c>
      <c r="AV180" s="48">
        <v>8</v>
      </c>
      <c r="AW180" s="49">
        <v>100</v>
      </c>
      <c r="AX180" s="48">
        <v>8</v>
      </c>
      <c r="AY180" s="48"/>
      <c r="AZ180" s="48"/>
      <c r="BA180" s="48"/>
      <c r="BB180" s="48"/>
      <c r="BC180" s="2"/>
      <c r="BD180" s="3"/>
      <c r="BE180" s="3"/>
      <c r="BF180" s="3"/>
      <c r="BG180" s="3"/>
    </row>
    <row r="181" spans="1:59" ht="15">
      <c r="A181" s="66" t="s">
        <v>880</v>
      </c>
      <c r="B181" s="67" t="s">
        <v>4456</v>
      </c>
      <c r="C181" s="67" t="s">
        <v>56</v>
      </c>
      <c r="D181" s="68">
        <v>54</v>
      </c>
      <c r="E181" s="70"/>
      <c r="F181" s="97" t="str">
        <f>HYPERLINK("https://i.ytimg.com/vi/Jqq66INlQ0U/default.jpg")</f>
        <v>https://i.ytimg.com/vi/Jqq66INlQ0U/default.jpg</v>
      </c>
      <c r="G181" s="67"/>
      <c r="H181" s="71" t="s">
        <v>1619</v>
      </c>
      <c r="I181" s="72"/>
      <c r="J181" s="72" t="s">
        <v>159</v>
      </c>
      <c r="K181" s="71" t="s">
        <v>1619</v>
      </c>
      <c r="L181" s="75">
        <v>445.35555555555555</v>
      </c>
      <c r="M181" s="76">
        <v>5858.04443359375</v>
      </c>
      <c r="N181" s="76">
        <v>7919.12353515625</v>
      </c>
      <c r="O181" s="77"/>
      <c r="P181" s="78"/>
      <c r="Q181" s="78"/>
      <c r="R181" s="82"/>
      <c r="S181" s="48">
        <v>2</v>
      </c>
      <c r="T181" s="48">
        <v>0</v>
      </c>
      <c r="U181" s="49">
        <v>0</v>
      </c>
      <c r="V181" s="49">
        <v>0.001399</v>
      </c>
      <c r="W181" s="49">
        <v>0.000874</v>
      </c>
      <c r="X181" s="49">
        <v>0.270142</v>
      </c>
      <c r="Y181" s="49">
        <v>1</v>
      </c>
      <c r="Z181" s="49">
        <v>0</v>
      </c>
      <c r="AA181" s="73">
        <v>181</v>
      </c>
      <c r="AB181" s="73"/>
      <c r="AC181" s="74"/>
      <c r="AD181" s="80" t="s">
        <v>1619</v>
      </c>
      <c r="AE181" s="80" t="s">
        <v>2257</v>
      </c>
      <c r="AF181" s="80" t="s">
        <v>2838</v>
      </c>
      <c r="AG181" s="80" t="s">
        <v>3333</v>
      </c>
      <c r="AH181" s="80" t="s">
        <v>4034</v>
      </c>
      <c r="AI181" s="80">
        <v>30154</v>
      </c>
      <c r="AJ181" s="80">
        <v>16</v>
      </c>
      <c r="AK181" s="80">
        <v>124</v>
      </c>
      <c r="AL181" s="80">
        <v>6</v>
      </c>
      <c r="AM181" s="80" t="s">
        <v>4098</v>
      </c>
      <c r="AN181" s="96" t="str">
        <f>HYPERLINK("https://www.youtube.com/watch?v=Jqq66INlQ0U")</f>
        <v>https://www.youtube.com/watch?v=Jqq66INlQ0U</v>
      </c>
      <c r="AO181" s="80" t="str">
        <f>REPLACE(INDEX(GroupVertices[Group],MATCH(Vertices[[#This Row],[Vertex]],GroupVertices[Vertex],0)),1,1,"")</f>
        <v>1</v>
      </c>
      <c r="AP181" s="48">
        <v>0</v>
      </c>
      <c r="AQ181" s="49">
        <v>0</v>
      </c>
      <c r="AR181" s="48">
        <v>0</v>
      </c>
      <c r="AS181" s="49">
        <v>0</v>
      </c>
      <c r="AT181" s="48">
        <v>0</v>
      </c>
      <c r="AU181" s="49">
        <v>0</v>
      </c>
      <c r="AV181" s="48">
        <v>25</v>
      </c>
      <c r="AW181" s="49">
        <v>100</v>
      </c>
      <c r="AX181" s="48">
        <v>25</v>
      </c>
      <c r="AY181" s="48"/>
      <c r="AZ181" s="48"/>
      <c r="BA181" s="48"/>
      <c r="BB181" s="48"/>
      <c r="BC181" s="2"/>
      <c r="BD181" s="3"/>
      <c r="BE181" s="3"/>
      <c r="BF181" s="3"/>
      <c r="BG181" s="3"/>
    </row>
    <row r="182" spans="1:59" ht="15">
      <c r="A182" s="66" t="s">
        <v>796</v>
      </c>
      <c r="B182" s="67" t="s">
        <v>4456</v>
      </c>
      <c r="C182" s="67" t="s">
        <v>56</v>
      </c>
      <c r="D182" s="68">
        <v>54</v>
      </c>
      <c r="E182" s="70"/>
      <c r="F182" s="97" t="str">
        <f>HYPERLINK("https://i.ytimg.com/vi/eLu2RxENv6o/default.jpg")</f>
        <v>https://i.ytimg.com/vi/eLu2RxENv6o/default.jpg</v>
      </c>
      <c r="G182" s="67"/>
      <c r="H182" s="71" t="s">
        <v>1536</v>
      </c>
      <c r="I182" s="72"/>
      <c r="J182" s="72" t="s">
        <v>159</v>
      </c>
      <c r="K182" s="71" t="s">
        <v>1536</v>
      </c>
      <c r="L182" s="75">
        <v>445.35555555555555</v>
      </c>
      <c r="M182" s="76">
        <v>961.8314819335938</v>
      </c>
      <c r="N182" s="76">
        <v>8151.04052734375</v>
      </c>
      <c r="O182" s="77"/>
      <c r="P182" s="78"/>
      <c r="Q182" s="78"/>
      <c r="R182" s="82"/>
      <c r="S182" s="48">
        <v>2</v>
      </c>
      <c r="T182" s="48">
        <v>0</v>
      </c>
      <c r="U182" s="49">
        <v>0</v>
      </c>
      <c r="V182" s="49">
        <v>0.00141</v>
      </c>
      <c r="W182" s="49">
        <v>0.000588</v>
      </c>
      <c r="X182" s="49">
        <v>0.286928</v>
      </c>
      <c r="Y182" s="49">
        <v>1</v>
      </c>
      <c r="Z182" s="49">
        <v>0</v>
      </c>
      <c r="AA182" s="73">
        <v>182</v>
      </c>
      <c r="AB182" s="73"/>
      <c r="AC182" s="74"/>
      <c r="AD182" s="80" t="s">
        <v>1536</v>
      </c>
      <c r="AE182" s="80" t="s">
        <v>2185</v>
      </c>
      <c r="AF182" s="80" t="s">
        <v>2771</v>
      </c>
      <c r="AG182" s="80" t="s">
        <v>3057</v>
      </c>
      <c r="AH182" s="80" t="s">
        <v>3950</v>
      </c>
      <c r="AI182" s="80">
        <v>22539</v>
      </c>
      <c r="AJ182" s="80">
        <v>6</v>
      </c>
      <c r="AK182" s="80">
        <v>41</v>
      </c>
      <c r="AL182" s="80">
        <v>5</v>
      </c>
      <c r="AM182" s="80" t="s">
        <v>4098</v>
      </c>
      <c r="AN182" s="96" t="str">
        <f>HYPERLINK("https://www.youtube.com/watch?v=eLu2RxENv6o")</f>
        <v>https://www.youtube.com/watch?v=eLu2RxENv6o</v>
      </c>
      <c r="AO182" s="80" t="str">
        <f>REPLACE(INDEX(GroupVertices[Group],MATCH(Vertices[[#This Row],[Vertex]],GroupVertices[Vertex],0)),1,1,"")</f>
        <v>1</v>
      </c>
      <c r="AP182" s="48">
        <v>0</v>
      </c>
      <c r="AQ182" s="49">
        <v>0</v>
      </c>
      <c r="AR182" s="48">
        <v>0</v>
      </c>
      <c r="AS182" s="49">
        <v>0</v>
      </c>
      <c r="AT182" s="48">
        <v>0</v>
      </c>
      <c r="AU182" s="49">
        <v>0</v>
      </c>
      <c r="AV182" s="48">
        <v>3</v>
      </c>
      <c r="AW182" s="49">
        <v>100</v>
      </c>
      <c r="AX182" s="48">
        <v>3</v>
      </c>
      <c r="AY182" s="48"/>
      <c r="AZ182" s="48"/>
      <c r="BA182" s="48"/>
      <c r="BB182" s="48"/>
      <c r="BC182" s="2"/>
      <c r="BD182" s="3"/>
      <c r="BE182" s="3"/>
      <c r="BF182" s="3"/>
      <c r="BG182" s="3"/>
    </row>
    <row r="183" spans="1:59" ht="15">
      <c r="A183" s="66" t="s">
        <v>935</v>
      </c>
      <c r="B183" s="67" t="s">
        <v>4456</v>
      </c>
      <c r="C183" s="67" t="s">
        <v>56</v>
      </c>
      <c r="D183" s="68">
        <v>54</v>
      </c>
      <c r="E183" s="70"/>
      <c r="F183" s="97" t="str">
        <f>HYPERLINK("https://i.ytimg.com/vi/mV-AgEmBNss/default.jpg")</f>
        <v>https://i.ytimg.com/vi/mV-AgEmBNss/default.jpg</v>
      </c>
      <c r="G183" s="67"/>
      <c r="H183" s="71" t="s">
        <v>1673</v>
      </c>
      <c r="I183" s="72"/>
      <c r="J183" s="72" t="s">
        <v>159</v>
      </c>
      <c r="K183" s="71" t="s">
        <v>1673</v>
      </c>
      <c r="L183" s="75">
        <v>445.35555555555555</v>
      </c>
      <c r="M183" s="76">
        <v>9816.857421875</v>
      </c>
      <c r="N183" s="76">
        <v>6048.75048828125</v>
      </c>
      <c r="O183" s="77"/>
      <c r="P183" s="78"/>
      <c r="Q183" s="78"/>
      <c r="R183" s="82"/>
      <c r="S183" s="48">
        <v>2</v>
      </c>
      <c r="T183" s="48">
        <v>0</v>
      </c>
      <c r="U183" s="49">
        <v>0</v>
      </c>
      <c r="V183" s="49">
        <v>0.001475</v>
      </c>
      <c r="W183" s="49">
        <v>0.000985</v>
      </c>
      <c r="X183" s="49">
        <v>0.276366</v>
      </c>
      <c r="Y183" s="49">
        <v>1</v>
      </c>
      <c r="Z183" s="49">
        <v>0</v>
      </c>
      <c r="AA183" s="73">
        <v>183</v>
      </c>
      <c r="AB183" s="73"/>
      <c r="AC183" s="74"/>
      <c r="AD183" s="80" t="s">
        <v>1673</v>
      </c>
      <c r="AE183" s="80" t="s">
        <v>2307</v>
      </c>
      <c r="AF183" s="80" t="s">
        <v>1673</v>
      </c>
      <c r="AG183" s="80" t="s">
        <v>3367</v>
      </c>
      <c r="AH183" s="80" t="s">
        <v>4089</v>
      </c>
      <c r="AI183" s="80">
        <v>21700</v>
      </c>
      <c r="AJ183" s="80">
        <v>29</v>
      </c>
      <c r="AK183" s="80">
        <v>120</v>
      </c>
      <c r="AL183" s="80">
        <v>5</v>
      </c>
      <c r="AM183" s="80" t="s">
        <v>4098</v>
      </c>
      <c r="AN183" s="96" t="str">
        <f>HYPERLINK("https://www.youtube.com/watch?v=mV-AgEmBNss")</f>
        <v>https://www.youtube.com/watch?v=mV-AgEmBNss</v>
      </c>
      <c r="AO183" s="80" t="str">
        <f>REPLACE(INDEX(GroupVertices[Group],MATCH(Vertices[[#This Row],[Vertex]],GroupVertices[Vertex],0)),1,1,"")</f>
        <v>3</v>
      </c>
      <c r="AP183" s="48">
        <v>0</v>
      </c>
      <c r="AQ183" s="49">
        <v>0</v>
      </c>
      <c r="AR183" s="48">
        <v>0</v>
      </c>
      <c r="AS183" s="49">
        <v>0</v>
      </c>
      <c r="AT183" s="48">
        <v>0</v>
      </c>
      <c r="AU183" s="49">
        <v>0</v>
      </c>
      <c r="AV183" s="48">
        <v>3</v>
      </c>
      <c r="AW183" s="49">
        <v>100</v>
      </c>
      <c r="AX183" s="48">
        <v>3</v>
      </c>
      <c r="AY183" s="48"/>
      <c r="AZ183" s="48"/>
      <c r="BA183" s="48"/>
      <c r="BB183" s="48"/>
      <c r="BC183" s="2"/>
      <c r="BD183" s="3"/>
      <c r="BE183" s="3"/>
      <c r="BF183" s="3"/>
      <c r="BG183" s="3"/>
    </row>
    <row r="184" spans="1:59" ht="15">
      <c r="A184" s="66" t="s">
        <v>921</v>
      </c>
      <c r="B184" s="67" t="s">
        <v>4456</v>
      </c>
      <c r="C184" s="67" t="s">
        <v>56</v>
      </c>
      <c r="D184" s="68">
        <v>54</v>
      </c>
      <c r="E184" s="70"/>
      <c r="F184" s="97" t="str">
        <f>HYPERLINK("https://i.ytimg.com/vi/WhZ2EsbvGdM/default.jpg")</f>
        <v>https://i.ytimg.com/vi/WhZ2EsbvGdM/default.jpg</v>
      </c>
      <c r="G184" s="67"/>
      <c r="H184" s="71" t="s">
        <v>1659</v>
      </c>
      <c r="I184" s="72"/>
      <c r="J184" s="72" t="s">
        <v>159</v>
      </c>
      <c r="K184" s="71" t="s">
        <v>1659</v>
      </c>
      <c r="L184" s="75">
        <v>445.35555555555555</v>
      </c>
      <c r="M184" s="76">
        <v>5976.0478515625</v>
      </c>
      <c r="N184" s="76">
        <v>8475.119140625</v>
      </c>
      <c r="O184" s="77"/>
      <c r="P184" s="78"/>
      <c r="Q184" s="78"/>
      <c r="R184" s="82"/>
      <c r="S184" s="48">
        <v>2</v>
      </c>
      <c r="T184" s="48">
        <v>0</v>
      </c>
      <c r="U184" s="49">
        <v>0</v>
      </c>
      <c r="V184" s="49">
        <v>0.001408</v>
      </c>
      <c r="W184" s="49">
        <v>0.000934</v>
      </c>
      <c r="X184" s="49">
        <v>0.270636</v>
      </c>
      <c r="Y184" s="49">
        <v>0.5</v>
      </c>
      <c r="Z184" s="49">
        <v>0</v>
      </c>
      <c r="AA184" s="73">
        <v>184</v>
      </c>
      <c r="AB184" s="73"/>
      <c r="AC184" s="74"/>
      <c r="AD184" s="80" t="s">
        <v>1659</v>
      </c>
      <c r="AE184" s="80" t="s">
        <v>2295</v>
      </c>
      <c r="AF184" s="80" t="s">
        <v>2876</v>
      </c>
      <c r="AG184" s="80" t="s">
        <v>3360</v>
      </c>
      <c r="AH184" s="80" t="s">
        <v>4075</v>
      </c>
      <c r="AI184" s="80">
        <v>13549</v>
      </c>
      <c r="AJ184" s="80">
        <v>0</v>
      </c>
      <c r="AK184" s="80">
        <v>48</v>
      </c>
      <c r="AL184" s="80">
        <v>5</v>
      </c>
      <c r="AM184" s="80" t="s">
        <v>4098</v>
      </c>
      <c r="AN184" s="96" t="str">
        <f>HYPERLINK("https://www.youtube.com/watch?v=WhZ2EsbvGdM")</f>
        <v>https://www.youtube.com/watch?v=WhZ2EsbvGdM</v>
      </c>
      <c r="AO184" s="80" t="str">
        <f>REPLACE(INDEX(GroupVertices[Group],MATCH(Vertices[[#This Row],[Vertex]],GroupVertices[Vertex],0)),1,1,"")</f>
        <v>1</v>
      </c>
      <c r="AP184" s="48">
        <v>0</v>
      </c>
      <c r="AQ184" s="49">
        <v>0</v>
      </c>
      <c r="AR184" s="48">
        <v>0</v>
      </c>
      <c r="AS184" s="49">
        <v>0</v>
      </c>
      <c r="AT184" s="48">
        <v>0</v>
      </c>
      <c r="AU184" s="49">
        <v>0</v>
      </c>
      <c r="AV184" s="48">
        <v>7</v>
      </c>
      <c r="AW184" s="49">
        <v>100</v>
      </c>
      <c r="AX184" s="48">
        <v>7</v>
      </c>
      <c r="AY184" s="48"/>
      <c r="AZ184" s="48"/>
      <c r="BA184" s="48"/>
      <c r="BB184" s="48"/>
      <c r="BC184" s="2"/>
      <c r="BD184" s="3"/>
      <c r="BE184" s="3"/>
      <c r="BF184" s="3"/>
      <c r="BG184" s="3"/>
    </row>
    <row r="185" spans="1:59" ht="15">
      <c r="A185" s="66" t="s">
        <v>753</v>
      </c>
      <c r="B185" s="67" t="s">
        <v>4456</v>
      </c>
      <c r="C185" s="67" t="s">
        <v>56</v>
      </c>
      <c r="D185" s="68">
        <v>54</v>
      </c>
      <c r="E185" s="70"/>
      <c r="F185" s="97" t="str">
        <f>HYPERLINK("https://i.ytimg.com/vi/n3qawyqTb38/default.jpg")</f>
        <v>https://i.ytimg.com/vi/n3qawyqTb38/default.jpg</v>
      </c>
      <c r="G185" s="67"/>
      <c r="H185" s="71" t="s">
        <v>1493</v>
      </c>
      <c r="I185" s="72"/>
      <c r="J185" s="72" t="s">
        <v>159</v>
      </c>
      <c r="K185" s="71" t="s">
        <v>1493</v>
      </c>
      <c r="L185" s="75">
        <v>445.35555555555555</v>
      </c>
      <c r="M185" s="76">
        <v>183.404296875</v>
      </c>
      <c r="N185" s="76">
        <v>7850.89892578125</v>
      </c>
      <c r="O185" s="77"/>
      <c r="P185" s="78"/>
      <c r="Q185" s="78"/>
      <c r="R185" s="82"/>
      <c r="S185" s="48">
        <v>2</v>
      </c>
      <c r="T185" s="48">
        <v>0</v>
      </c>
      <c r="U185" s="49">
        <v>0</v>
      </c>
      <c r="V185" s="49">
        <v>0.001326</v>
      </c>
      <c r="W185" s="49">
        <v>0.000353</v>
      </c>
      <c r="X185" s="49">
        <v>0.290974</v>
      </c>
      <c r="Y185" s="49">
        <v>1</v>
      </c>
      <c r="Z185" s="49">
        <v>0</v>
      </c>
      <c r="AA185" s="73">
        <v>185</v>
      </c>
      <c r="AB185" s="73"/>
      <c r="AC185" s="74"/>
      <c r="AD185" s="80" t="s">
        <v>1493</v>
      </c>
      <c r="AE185" s="80" t="s">
        <v>2149</v>
      </c>
      <c r="AF185" s="80" t="s">
        <v>2735</v>
      </c>
      <c r="AG185" s="80" t="s">
        <v>3261</v>
      </c>
      <c r="AH185" s="80" t="s">
        <v>3907</v>
      </c>
      <c r="AI185" s="80">
        <v>9069</v>
      </c>
      <c r="AJ185" s="80">
        <v>1</v>
      </c>
      <c r="AK185" s="80">
        <v>20</v>
      </c>
      <c r="AL185" s="80">
        <v>5</v>
      </c>
      <c r="AM185" s="80" t="s">
        <v>4098</v>
      </c>
      <c r="AN185" s="96" t="str">
        <f>HYPERLINK("https://www.youtube.com/watch?v=n3qawyqTb38")</f>
        <v>https://www.youtube.com/watch?v=n3qawyqTb38</v>
      </c>
      <c r="AO185" s="80" t="str">
        <f>REPLACE(INDEX(GroupVertices[Group],MATCH(Vertices[[#This Row],[Vertex]],GroupVertices[Vertex],0)),1,1,"")</f>
        <v>1</v>
      </c>
      <c r="AP185" s="48">
        <v>0</v>
      </c>
      <c r="AQ185" s="49">
        <v>0</v>
      </c>
      <c r="AR185" s="48">
        <v>0</v>
      </c>
      <c r="AS185" s="49">
        <v>0</v>
      </c>
      <c r="AT185" s="48">
        <v>0</v>
      </c>
      <c r="AU185" s="49">
        <v>0</v>
      </c>
      <c r="AV185" s="48">
        <v>4</v>
      </c>
      <c r="AW185" s="49">
        <v>100</v>
      </c>
      <c r="AX185" s="48">
        <v>4</v>
      </c>
      <c r="AY185" s="48"/>
      <c r="AZ185" s="48"/>
      <c r="BA185" s="48"/>
      <c r="BB185" s="48"/>
      <c r="BC185" s="2"/>
      <c r="BD185" s="3"/>
      <c r="BE185" s="3"/>
      <c r="BF185" s="3"/>
      <c r="BG185" s="3"/>
    </row>
    <row r="186" spans="1:59" ht="15">
      <c r="A186" s="66" t="s">
        <v>915</v>
      </c>
      <c r="B186" s="67" t="s">
        <v>4456</v>
      </c>
      <c r="C186" s="67" t="s">
        <v>56</v>
      </c>
      <c r="D186" s="68">
        <v>76</v>
      </c>
      <c r="E186" s="70"/>
      <c r="F186" s="97" t="str">
        <f>HYPERLINK("https://i.ytimg.com/vi/qJTp8AUpdFE/default.jpg")</f>
        <v>https://i.ytimg.com/vi/qJTp8AUpdFE/default.jpg</v>
      </c>
      <c r="G186" s="67"/>
      <c r="H186" s="71" t="s">
        <v>1653</v>
      </c>
      <c r="I186" s="72"/>
      <c r="J186" s="72" t="s">
        <v>159</v>
      </c>
      <c r="K186" s="71" t="s">
        <v>1653</v>
      </c>
      <c r="L186" s="75">
        <v>667.5333333333333</v>
      </c>
      <c r="M186" s="76">
        <v>5634.99560546875</v>
      </c>
      <c r="N186" s="76">
        <v>8211.8857421875</v>
      </c>
      <c r="O186" s="77"/>
      <c r="P186" s="78"/>
      <c r="Q186" s="78"/>
      <c r="R186" s="82"/>
      <c r="S186" s="48">
        <v>3</v>
      </c>
      <c r="T186" s="48">
        <v>0</v>
      </c>
      <c r="U186" s="49">
        <v>0</v>
      </c>
      <c r="V186" s="49">
        <v>0.001433</v>
      </c>
      <c r="W186" s="49">
        <v>0.001369</v>
      </c>
      <c r="X186" s="49">
        <v>0.33108</v>
      </c>
      <c r="Y186" s="49">
        <v>0.8333333333333334</v>
      </c>
      <c r="Z186" s="49">
        <v>0</v>
      </c>
      <c r="AA186" s="73">
        <v>186</v>
      </c>
      <c r="AB186" s="73"/>
      <c r="AC186" s="74"/>
      <c r="AD186" s="80" t="s">
        <v>1653</v>
      </c>
      <c r="AE186" s="80" t="s">
        <v>2289</v>
      </c>
      <c r="AF186" s="80" t="s">
        <v>2871</v>
      </c>
      <c r="AG186" s="80" t="s">
        <v>3356</v>
      </c>
      <c r="AH186" s="80" t="s">
        <v>4069</v>
      </c>
      <c r="AI186" s="80">
        <v>40586</v>
      </c>
      <c r="AJ186" s="80">
        <v>9</v>
      </c>
      <c r="AK186" s="80">
        <v>199</v>
      </c>
      <c r="AL186" s="80">
        <v>4</v>
      </c>
      <c r="AM186" s="80" t="s">
        <v>4098</v>
      </c>
      <c r="AN186" s="96" t="str">
        <f>HYPERLINK("https://www.youtube.com/watch?v=qJTp8AUpdFE")</f>
        <v>https://www.youtube.com/watch?v=qJTp8AUpdFE</v>
      </c>
      <c r="AO186" s="80" t="str">
        <f>REPLACE(INDEX(GroupVertices[Group],MATCH(Vertices[[#This Row],[Vertex]],GroupVertices[Vertex],0)),1,1,"")</f>
        <v>1</v>
      </c>
      <c r="AP186" s="48">
        <v>0</v>
      </c>
      <c r="AQ186" s="49">
        <v>0</v>
      </c>
      <c r="AR186" s="48">
        <v>0</v>
      </c>
      <c r="AS186" s="49">
        <v>0</v>
      </c>
      <c r="AT186" s="48">
        <v>0</v>
      </c>
      <c r="AU186" s="49">
        <v>0</v>
      </c>
      <c r="AV186" s="48">
        <v>9</v>
      </c>
      <c r="AW186" s="49">
        <v>100</v>
      </c>
      <c r="AX186" s="48">
        <v>9</v>
      </c>
      <c r="AY186" s="48"/>
      <c r="AZ186" s="48"/>
      <c r="BA186" s="48"/>
      <c r="BB186" s="48"/>
      <c r="BC186" s="2"/>
      <c r="BD186" s="3"/>
      <c r="BE186" s="3"/>
      <c r="BF186" s="3"/>
      <c r="BG186" s="3"/>
    </row>
    <row r="187" spans="1:59" ht="15">
      <c r="A187" s="66" t="s">
        <v>887</v>
      </c>
      <c r="B187" s="67" t="s">
        <v>4456</v>
      </c>
      <c r="C187" s="67" t="s">
        <v>56</v>
      </c>
      <c r="D187" s="68">
        <v>76</v>
      </c>
      <c r="E187" s="70"/>
      <c r="F187" s="97" t="str">
        <f>HYPERLINK("https://i.ytimg.com/vi/DSKvHwcI75E/default.jpg")</f>
        <v>https://i.ytimg.com/vi/DSKvHwcI75E/default.jpg</v>
      </c>
      <c r="G187" s="67"/>
      <c r="H187" s="71" t="s">
        <v>1625</v>
      </c>
      <c r="I187" s="72"/>
      <c r="J187" s="72" t="s">
        <v>159</v>
      </c>
      <c r="K187" s="71" t="s">
        <v>1625</v>
      </c>
      <c r="L187" s="75">
        <v>667.5333333333333</v>
      </c>
      <c r="M187" s="76">
        <v>164.98167419433594</v>
      </c>
      <c r="N187" s="76">
        <v>2743.43408203125</v>
      </c>
      <c r="O187" s="77"/>
      <c r="P187" s="78"/>
      <c r="Q187" s="78"/>
      <c r="R187" s="82"/>
      <c r="S187" s="48">
        <v>3</v>
      </c>
      <c r="T187" s="48">
        <v>0</v>
      </c>
      <c r="U187" s="49">
        <v>0</v>
      </c>
      <c r="V187" s="49">
        <v>0.001481</v>
      </c>
      <c r="W187" s="49">
        <v>0.001453</v>
      </c>
      <c r="X187" s="49">
        <v>0.329739</v>
      </c>
      <c r="Y187" s="49">
        <v>0.5</v>
      </c>
      <c r="Z187" s="49">
        <v>0</v>
      </c>
      <c r="AA187" s="73">
        <v>187</v>
      </c>
      <c r="AB187" s="73"/>
      <c r="AC187" s="74"/>
      <c r="AD187" s="80" t="s">
        <v>1625</v>
      </c>
      <c r="AE187" s="80" t="s">
        <v>2263</v>
      </c>
      <c r="AF187" s="80" t="s">
        <v>2845</v>
      </c>
      <c r="AG187" s="80" t="s">
        <v>2912</v>
      </c>
      <c r="AH187" s="80" t="s">
        <v>4041</v>
      </c>
      <c r="AI187" s="80">
        <v>27718</v>
      </c>
      <c r="AJ187" s="80">
        <v>7</v>
      </c>
      <c r="AK187" s="80">
        <v>94</v>
      </c>
      <c r="AL187" s="80">
        <v>4</v>
      </c>
      <c r="AM187" s="80" t="s">
        <v>4098</v>
      </c>
      <c r="AN187" s="96" t="str">
        <f>HYPERLINK("https://www.youtube.com/watch?v=DSKvHwcI75E")</f>
        <v>https://www.youtube.com/watch?v=DSKvHwcI75E</v>
      </c>
      <c r="AO187" s="80" t="str">
        <f>REPLACE(INDEX(GroupVertices[Group],MATCH(Vertices[[#This Row],[Vertex]],GroupVertices[Vertex],0)),1,1,"")</f>
        <v>2</v>
      </c>
      <c r="AP187" s="48">
        <v>0</v>
      </c>
      <c r="AQ187" s="49">
        <v>0</v>
      </c>
      <c r="AR187" s="48">
        <v>0</v>
      </c>
      <c r="AS187" s="49">
        <v>0</v>
      </c>
      <c r="AT187" s="48">
        <v>0</v>
      </c>
      <c r="AU187" s="49">
        <v>0</v>
      </c>
      <c r="AV187" s="48">
        <v>6</v>
      </c>
      <c r="AW187" s="49">
        <v>100</v>
      </c>
      <c r="AX187" s="48">
        <v>6</v>
      </c>
      <c r="AY187" s="48"/>
      <c r="AZ187" s="48"/>
      <c r="BA187" s="48"/>
      <c r="BB187" s="48"/>
      <c r="BC187" s="2"/>
      <c r="BD187" s="3"/>
      <c r="BE187" s="3"/>
      <c r="BF187" s="3"/>
      <c r="BG187" s="3"/>
    </row>
    <row r="188" spans="1:59" ht="15">
      <c r="A188" s="66" t="s">
        <v>882</v>
      </c>
      <c r="B188" s="67" t="s">
        <v>4456</v>
      </c>
      <c r="C188" s="67" t="s">
        <v>56</v>
      </c>
      <c r="D188" s="68">
        <v>76</v>
      </c>
      <c r="E188" s="70"/>
      <c r="F188" s="97" t="str">
        <f>HYPERLINK("https://i.ytimg.com/vi/DfV-pjRTlLg/default.jpg")</f>
        <v>https://i.ytimg.com/vi/DfV-pjRTlLg/default.jpg</v>
      </c>
      <c r="G188" s="67"/>
      <c r="H188" s="71" t="s">
        <v>1621</v>
      </c>
      <c r="I188" s="72"/>
      <c r="J188" s="72" t="s">
        <v>159</v>
      </c>
      <c r="K188" s="71" t="s">
        <v>1621</v>
      </c>
      <c r="L188" s="75">
        <v>667.5333333333333</v>
      </c>
      <c r="M188" s="76">
        <v>6276.8916015625</v>
      </c>
      <c r="N188" s="76">
        <v>3462.071533203125</v>
      </c>
      <c r="O188" s="77"/>
      <c r="P188" s="78"/>
      <c r="Q188" s="78"/>
      <c r="R188" s="82"/>
      <c r="S188" s="48">
        <v>3</v>
      </c>
      <c r="T188" s="48">
        <v>0</v>
      </c>
      <c r="U188" s="49">
        <v>0</v>
      </c>
      <c r="V188" s="49">
        <v>0.001522</v>
      </c>
      <c r="W188" s="49">
        <v>0.001381</v>
      </c>
      <c r="X188" s="49">
        <v>0.342296</v>
      </c>
      <c r="Y188" s="49">
        <v>0.6666666666666666</v>
      </c>
      <c r="Z188" s="49">
        <v>0</v>
      </c>
      <c r="AA188" s="73">
        <v>188</v>
      </c>
      <c r="AB188" s="73"/>
      <c r="AC188" s="74"/>
      <c r="AD188" s="80" t="s">
        <v>1621</v>
      </c>
      <c r="AE188" s="80" t="s">
        <v>2259</v>
      </c>
      <c r="AF188" s="80" t="s">
        <v>2840</v>
      </c>
      <c r="AG188" s="80" t="s">
        <v>2940</v>
      </c>
      <c r="AH188" s="80" t="s">
        <v>4036</v>
      </c>
      <c r="AI188" s="80">
        <v>24219</v>
      </c>
      <c r="AJ188" s="80">
        <v>12</v>
      </c>
      <c r="AK188" s="80">
        <v>205</v>
      </c>
      <c r="AL188" s="80">
        <v>4</v>
      </c>
      <c r="AM188" s="80" t="s">
        <v>4098</v>
      </c>
      <c r="AN188" s="96" t="str">
        <f>HYPERLINK("https://www.youtube.com/watch?v=DfV-pjRTlLg")</f>
        <v>https://www.youtube.com/watch?v=DfV-pjRTlLg</v>
      </c>
      <c r="AO188" s="80" t="str">
        <f>REPLACE(INDEX(GroupVertices[Group],MATCH(Vertices[[#This Row],[Vertex]],GroupVertices[Vertex],0)),1,1,"")</f>
        <v>4</v>
      </c>
      <c r="AP188" s="48">
        <v>0</v>
      </c>
      <c r="AQ188" s="49">
        <v>0</v>
      </c>
      <c r="AR188" s="48">
        <v>0</v>
      </c>
      <c r="AS188" s="49">
        <v>0</v>
      </c>
      <c r="AT188" s="48">
        <v>0</v>
      </c>
      <c r="AU188" s="49">
        <v>0</v>
      </c>
      <c r="AV188" s="48">
        <v>18</v>
      </c>
      <c r="AW188" s="49">
        <v>100</v>
      </c>
      <c r="AX188" s="48">
        <v>18</v>
      </c>
      <c r="AY188" s="48"/>
      <c r="AZ188" s="48"/>
      <c r="BA188" s="48"/>
      <c r="BB188" s="48"/>
      <c r="BC188" s="2"/>
      <c r="BD188" s="3"/>
      <c r="BE188" s="3"/>
      <c r="BF188" s="3"/>
      <c r="BG188" s="3"/>
    </row>
    <row r="189" spans="1:59" ht="15">
      <c r="A189" s="66" t="s">
        <v>924</v>
      </c>
      <c r="B189" s="67" t="s">
        <v>4456</v>
      </c>
      <c r="C189" s="67" t="s">
        <v>56</v>
      </c>
      <c r="D189" s="68">
        <v>76</v>
      </c>
      <c r="E189" s="70"/>
      <c r="F189" s="97" t="str">
        <f>HYPERLINK("https://i.ytimg.com/vi/iiVeQkIELyc/default.jpg")</f>
        <v>https://i.ytimg.com/vi/iiVeQkIELyc/default.jpg</v>
      </c>
      <c r="G189" s="67"/>
      <c r="H189" s="71" t="s">
        <v>1662</v>
      </c>
      <c r="I189" s="72"/>
      <c r="J189" s="72" t="s">
        <v>159</v>
      </c>
      <c r="K189" s="71" t="s">
        <v>1662</v>
      </c>
      <c r="L189" s="75">
        <v>667.5333333333333</v>
      </c>
      <c r="M189" s="76">
        <v>5270.58984375</v>
      </c>
      <c r="N189" s="76">
        <v>6253.564453125</v>
      </c>
      <c r="O189" s="77"/>
      <c r="P189" s="78"/>
      <c r="Q189" s="78"/>
      <c r="R189" s="82"/>
      <c r="S189" s="48">
        <v>3</v>
      </c>
      <c r="T189" s="48">
        <v>0</v>
      </c>
      <c r="U189" s="49">
        <v>0</v>
      </c>
      <c r="V189" s="49">
        <v>0.001484</v>
      </c>
      <c r="W189" s="49">
        <v>0.001518</v>
      </c>
      <c r="X189" s="49">
        <v>0.331498</v>
      </c>
      <c r="Y189" s="49">
        <v>0.6666666666666666</v>
      </c>
      <c r="Z189" s="49">
        <v>0</v>
      </c>
      <c r="AA189" s="73">
        <v>189</v>
      </c>
      <c r="AB189" s="73"/>
      <c r="AC189" s="74"/>
      <c r="AD189" s="80" t="s">
        <v>1662</v>
      </c>
      <c r="AE189" s="80"/>
      <c r="AF189" s="80"/>
      <c r="AG189" s="80" t="s">
        <v>3302</v>
      </c>
      <c r="AH189" s="80" t="s">
        <v>4078</v>
      </c>
      <c r="AI189" s="80">
        <v>16750</v>
      </c>
      <c r="AJ189" s="80">
        <v>14</v>
      </c>
      <c r="AK189" s="80">
        <v>199</v>
      </c>
      <c r="AL189" s="80">
        <v>4</v>
      </c>
      <c r="AM189" s="80" t="s">
        <v>4098</v>
      </c>
      <c r="AN189" s="96" t="str">
        <f>HYPERLINK("https://www.youtube.com/watch?v=iiVeQkIELyc")</f>
        <v>https://www.youtube.com/watch?v=iiVeQkIELyc</v>
      </c>
      <c r="AO189" s="80" t="str">
        <f>REPLACE(INDEX(GroupVertices[Group],MATCH(Vertices[[#This Row],[Vertex]],GroupVertices[Vertex],0)),1,1,"")</f>
        <v>1</v>
      </c>
      <c r="AP189" s="48"/>
      <c r="AQ189" s="49"/>
      <c r="AR189" s="48"/>
      <c r="AS189" s="49"/>
      <c r="AT189" s="48"/>
      <c r="AU189" s="49"/>
      <c r="AV189" s="48"/>
      <c r="AW189" s="49"/>
      <c r="AX189" s="48"/>
      <c r="AY189" s="48"/>
      <c r="AZ189" s="48"/>
      <c r="BA189" s="48"/>
      <c r="BB189" s="48"/>
      <c r="BC189" s="2"/>
      <c r="BD189" s="3"/>
      <c r="BE189" s="3"/>
      <c r="BF189" s="3"/>
      <c r="BG189" s="3"/>
    </row>
    <row r="190" spans="1:59" ht="15">
      <c r="A190" s="66" t="s">
        <v>861</v>
      </c>
      <c r="B190" s="67" t="s">
        <v>4456</v>
      </c>
      <c r="C190" s="67" t="s">
        <v>56</v>
      </c>
      <c r="D190" s="68">
        <v>54</v>
      </c>
      <c r="E190" s="70"/>
      <c r="F190" s="97" t="str">
        <f>HYPERLINK("https://i.ytimg.com/vi/AJGGiAb47S4/default.jpg")</f>
        <v>https://i.ytimg.com/vi/AJGGiAb47S4/default.jpg</v>
      </c>
      <c r="G190" s="67"/>
      <c r="H190" s="71" t="s">
        <v>1600</v>
      </c>
      <c r="I190" s="72"/>
      <c r="J190" s="72" t="s">
        <v>159</v>
      </c>
      <c r="K190" s="71" t="s">
        <v>1600</v>
      </c>
      <c r="L190" s="75">
        <v>445.35555555555555</v>
      </c>
      <c r="M190" s="76">
        <v>8027.8642578125</v>
      </c>
      <c r="N190" s="76">
        <v>3477.91845703125</v>
      </c>
      <c r="O190" s="77"/>
      <c r="P190" s="78"/>
      <c r="Q190" s="78"/>
      <c r="R190" s="82"/>
      <c r="S190" s="48">
        <v>2</v>
      </c>
      <c r="T190" s="48">
        <v>0</v>
      </c>
      <c r="U190" s="49">
        <v>0</v>
      </c>
      <c r="V190" s="49">
        <v>0.001435</v>
      </c>
      <c r="W190" s="49">
        <v>0.000843</v>
      </c>
      <c r="X190" s="49">
        <v>0.278521</v>
      </c>
      <c r="Y190" s="49">
        <v>0.5</v>
      </c>
      <c r="Z190" s="49">
        <v>0</v>
      </c>
      <c r="AA190" s="73">
        <v>190</v>
      </c>
      <c r="AB190" s="73"/>
      <c r="AC190" s="74"/>
      <c r="AD190" s="80" t="s">
        <v>1600</v>
      </c>
      <c r="AE190" s="80" t="s">
        <v>2241</v>
      </c>
      <c r="AF190" s="80" t="s">
        <v>2825</v>
      </c>
      <c r="AG190" s="80" t="s">
        <v>3172</v>
      </c>
      <c r="AH190" s="80" t="s">
        <v>4015</v>
      </c>
      <c r="AI190" s="80">
        <v>22027</v>
      </c>
      <c r="AJ190" s="80">
        <v>7</v>
      </c>
      <c r="AK190" s="80">
        <v>168</v>
      </c>
      <c r="AL190" s="80">
        <v>4</v>
      </c>
      <c r="AM190" s="80" t="s">
        <v>4098</v>
      </c>
      <c r="AN190" s="96" t="str">
        <f>HYPERLINK("https://www.youtube.com/watch?v=AJGGiAb47S4")</f>
        <v>https://www.youtube.com/watch?v=AJGGiAb47S4</v>
      </c>
      <c r="AO190" s="80" t="str">
        <f>REPLACE(INDEX(GroupVertices[Group],MATCH(Vertices[[#This Row],[Vertex]],GroupVertices[Vertex],0)),1,1,"")</f>
        <v>4</v>
      </c>
      <c r="AP190" s="48">
        <v>1</v>
      </c>
      <c r="AQ190" s="49">
        <v>7.6923076923076925</v>
      </c>
      <c r="AR190" s="48">
        <v>0</v>
      </c>
      <c r="AS190" s="49">
        <v>0</v>
      </c>
      <c r="AT190" s="48">
        <v>0</v>
      </c>
      <c r="AU190" s="49">
        <v>0</v>
      </c>
      <c r="AV190" s="48">
        <v>12</v>
      </c>
      <c r="AW190" s="49">
        <v>92.3076923076923</v>
      </c>
      <c r="AX190" s="48">
        <v>13</v>
      </c>
      <c r="AY190" s="48"/>
      <c r="AZ190" s="48"/>
      <c r="BA190" s="48"/>
      <c r="BB190" s="48"/>
      <c r="BC190" s="2"/>
      <c r="BD190" s="3"/>
      <c r="BE190" s="3"/>
      <c r="BF190" s="3"/>
      <c r="BG190" s="3"/>
    </row>
    <row r="191" spans="1:59" ht="15">
      <c r="A191" s="66" t="s">
        <v>807</v>
      </c>
      <c r="B191" s="67" t="s">
        <v>4456</v>
      </c>
      <c r="C191" s="67" t="s">
        <v>56</v>
      </c>
      <c r="D191" s="68">
        <v>54</v>
      </c>
      <c r="E191" s="70"/>
      <c r="F191" s="97" t="str">
        <f>HYPERLINK("https://i.ytimg.com/vi/aGa3vxoKagQ/default.jpg")</f>
        <v>https://i.ytimg.com/vi/aGa3vxoKagQ/default.jpg</v>
      </c>
      <c r="G191" s="67"/>
      <c r="H191" s="71" t="s">
        <v>1547</v>
      </c>
      <c r="I191" s="72"/>
      <c r="J191" s="72" t="s">
        <v>159</v>
      </c>
      <c r="K191" s="71" t="s">
        <v>1547</v>
      </c>
      <c r="L191" s="75">
        <v>445.35555555555555</v>
      </c>
      <c r="M191" s="76">
        <v>4113.14599609375</v>
      </c>
      <c r="N191" s="76">
        <v>5376.31591796875</v>
      </c>
      <c r="O191" s="77"/>
      <c r="P191" s="78"/>
      <c r="Q191" s="78"/>
      <c r="R191" s="82"/>
      <c r="S191" s="48">
        <v>2</v>
      </c>
      <c r="T191" s="48">
        <v>0</v>
      </c>
      <c r="U191" s="49">
        <v>0</v>
      </c>
      <c r="V191" s="49">
        <v>0.001464</v>
      </c>
      <c r="W191" s="49">
        <v>0.000861</v>
      </c>
      <c r="X191" s="49">
        <v>0.275041</v>
      </c>
      <c r="Y191" s="49">
        <v>1</v>
      </c>
      <c r="Z191" s="49">
        <v>0</v>
      </c>
      <c r="AA191" s="73">
        <v>191</v>
      </c>
      <c r="AB191" s="73"/>
      <c r="AC191" s="74"/>
      <c r="AD191" s="80" t="s">
        <v>1547</v>
      </c>
      <c r="AE191" s="80" t="s">
        <v>2196</v>
      </c>
      <c r="AF191" s="80" t="s">
        <v>2782</v>
      </c>
      <c r="AG191" s="80" t="s">
        <v>2969</v>
      </c>
      <c r="AH191" s="80" t="s">
        <v>3961</v>
      </c>
      <c r="AI191" s="80">
        <v>19117</v>
      </c>
      <c r="AJ191" s="80">
        <v>8</v>
      </c>
      <c r="AK191" s="80">
        <v>62</v>
      </c>
      <c r="AL191" s="80">
        <v>4</v>
      </c>
      <c r="AM191" s="80" t="s">
        <v>4098</v>
      </c>
      <c r="AN191" s="96" t="str">
        <f>HYPERLINK("https://www.youtube.com/watch?v=aGa3vxoKagQ")</f>
        <v>https://www.youtube.com/watch?v=aGa3vxoKagQ</v>
      </c>
      <c r="AO191" s="80" t="str">
        <f>REPLACE(INDEX(GroupVertices[Group],MATCH(Vertices[[#This Row],[Vertex]],GroupVertices[Vertex],0)),1,1,"")</f>
        <v>1</v>
      </c>
      <c r="AP191" s="48">
        <v>0</v>
      </c>
      <c r="AQ191" s="49">
        <v>0</v>
      </c>
      <c r="AR191" s="48">
        <v>0</v>
      </c>
      <c r="AS191" s="49">
        <v>0</v>
      </c>
      <c r="AT191" s="48">
        <v>0</v>
      </c>
      <c r="AU191" s="49">
        <v>0</v>
      </c>
      <c r="AV191" s="48">
        <v>7</v>
      </c>
      <c r="AW191" s="49">
        <v>100</v>
      </c>
      <c r="AX191" s="48">
        <v>7</v>
      </c>
      <c r="AY191" s="48"/>
      <c r="AZ191" s="48"/>
      <c r="BA191" s="48"/>
      <c r="BB191" s="48"/>
      <c r="BC191" s="2"/>
      <c r="BD191" s="3"/>
      <c r="BE191" s="3"/>
      <c r="BF191" s="3"/>
      <c r="BG191" s="3"/>
    </row>
    <row r="192" spans="1:59" ht="15">
      <c r="A192" s="66" t="s">
        <v>877</v>
      </c>
      <c r="B192" s="67" t="s">
        <v>4456</v>
      </c>
      <c r="C192" s="67" t="s">
        <v>64</v>
      </c>
      <c r="D192" s="68">
        <v>208</v>
      </c>
      <c r="E192" s="70"/>
      <c r="F192" s="97" t="str">
        <f>HYPERLINK("https://i.ytimg.com/vi/snPR8CwPld0/default.jpg")</f>
        <v>https://i.ytimg.com/vi/snPR8CwPld0/default.jpg</v>
      </c>
      <c r="G192" s="67"/>
      <c r="H192" s="71" t="s">
        <v>1616</v>
      </c>
      <c r="I192" s="72"/>
      <c r="J192" s="72" t="s">
        <v>75</v>
      </c>
      <c r="K192" s="71" t="s">
        <v>1616</v>
      </c>
      <c r="L192" s="75">
        <v>2000.6</v>
      </c>
      <c r="M192" s="76">
        <v>4595.38232421875</v>
      </c>
      <c r="N192" s="76">
        <v>2431.367431640625</v>
      </c>
      <c r="O192" s="77"/>
      <c r="P192" s="78"/>
      <c r="Q192" s="78"/>
      <c r="R192" s="82"/>
      <c r="S192" s="48">
        <v>9</v>
      </c>
      <c r="T192" s="48">
        <v>0</v>
      </c>
      <c r="U192" s="49">
        <v>0</v>
      </c>
      <c r="V192" s="49">
        <v>0.0016</v>
      </c>
      <c r="W192" s="49">
        <v>0.003879</v>
      </c>
      <c r="X192" s="49">
        <v>0.694897</v>
      </c>
      <c r="Y192" s="49">
        <v>0.8611111111111112</v>
      </c>
      <c r="Z192" s="49">
        <v>0</v>
      </c>
      <c r="AA192" s="73">
        <v>192</v>
      </c>
      <c r="AB192" s="73"/>
      <c r="AC192" s="74"/>
      <c r="AD192" s="80" t="s">
        <v>1616</v>
      </c>
      <c r="AE192" s="80"/>
      <c r="AF192" s="80"/>
      <c r="AG192" s="80" t="s">
        <v>3331</v>
      </c>
      <c r="AH192" s="80" t="s">
        <v>4031</v>
      </c>
      <c r="AI192" s="80">
        <v>15694</v>
      </c>
      <c r="AJ192" s="80">
        <v>5</v>
      </c>
      <c r="AK192" s="80">
        <v>89</v>
      </c>
      <c r="AL192" s="80">
        <v>3</v>
      </c>
      <c r="AM192" s="80" t="s">
        <v>4098</v>
      </c>
      <c r="AN192" s="96" t="str">
        <f>HYPERLINK("https://www.youtube.com/watch?v=snPR8CwPld0")</f>
        <v>https://www.youtube.com/watch?v=snPR8CwPld0</v>
      </c>
      <c r="AO192" s="80" t="str">
        <f>REPLACE(INDEX(GroupVertices[Group],MATCH(Vertices[[#This Row],[Vertex]],GroupVertices[Vertex],0)),1,1,"")</f>
        <v>2</v>
      </c>
      <c r="AP192" s="48"/>
      <c r="AQ192" s="49"/>
      <c r="AR192" s="48"/>
      <c r="AS192" s="49"/>
      <c r="AT192" s="48"/>
      <c r="AU192" s="49"/>
      <c r="AV192" s="48"/>
      <c r="AW192" s="49"/>
      <c r="AX192" s="48"/>
      <c r="AY192" s="48"/>
      <c r="AZ192" s="48"/>
      <c r="BA192" s="48"/>
      <c r="BB192" s="48"/>
      <c r="BC192" s="2"/>
      <c r="BD192" s="3"/>
      <c r="BE192" s="3"/>
      <c r="BF192" s="3"/>
      <c r="BG192" s="3"/>
    </row>
    <row r="193" spans="1:59" ht="15">
      <c r="A193" s="66" t="s">
        <v>635</v>
      </c>
      <c r="B193" s="67" t="s">
        <v>4456</v>
      </c>
      <c r="C193" s="67" t="s">
        <v>56</v>
      </c>
      <c r="D193" s="68">
        <v>98</v>
      </c>
      <c r="E193" s="70"/>
      <c r="F193" s="97" t="str">
        <f>HYPERLINK("https://i.ytimg.com/vi/pZFs_VzG088/default.jpg")</f>
        <v>https://i.ytimg.com/vi/pZFs_VzG088/default.jpg</v>
      </c>
      <c r="G193" s="67"/>
      <c r="H193" s="71" t="s">
        <v>1375</v>
      </c>
      <c r="I193" s="72"/>
      <c r="J193" s="72" t="s">
        <v>159</v>
      </c>
      <c r="K193" s="71" t="s">
        <v>1375</v>
      </c>
      <c r="L193" s="75">
        <v>889.7111111111111</v>
      </c>
      <c r="M193" s="76">
        <v>2544.5576171875</v>
      </c>
      <c r="N193" s="76">
        <v>550.8497924804688</v>
      </c>
      <c r="O193" s="77"/>
      <c r="P193" s="78"/>
      <c r="Q193" s="78"/>
      <c r="R193" s="82"/>
      <c r="S193" s="48">
        <v>4</v>
      </c>
      <c r="T193" s="48">
        <v>0</v>
      </c>
      <c r="U193" s="49">
        <v>0</v>
      </c>
      <c r="V193" s="49">
        <v>0.001443</v>
      </c>
      <c r="W193" s="49">
        <v>0.001633</v>
      </c>
      <c r="X193" s="49">
        <v>0.392516</v>
      </c>
      <c r="Y193" s="49">
        <v>1</v>
      </c>
      <c r="Z193" s="49">
        <v>0</v>
      </c>
      <c r="AA193" s="73">
        <v>193</v>
      </c>
      <c r="AB193" s="73"/>
      <c r="AC193" s="74"/>
      <c r="AD193" s="80" t="s">
        <v>1375</v>
      </c>
      <c r="AE193" s="80" t="s">
        <v>2041</v>
      </c>
      <c r="AF193" s="80"/>
      <c r="AG193" s="80" t="s">
        <v>2904</v>
      </c>
      <c r="AH193" s="80" t="s">
        <v>3787</v>
      </c>
      <c r="AI193" s="80">
        <v>1075</v>
      </c>
      <c r="AJ193" s="80">
        <v>3</v>
      </c>
      <c r="AK193" s="80">
        <v>17</v>
      </c>
      <c r="AL193" s="80">
        <v>3</v>
      </c>
      <c r="AM193" s="80" t="s">
        <v>4098</v>
      </c>
      <c r="AN193" s="96" t="str">
        <f>HYPERLINK("https://www.youtube.com/watch?v=pZFs_VzG088")</f>
        <v>https://www.youtube.com/watch?v=pZFs_VzG088</v>
      </c>
      <c r="AO193" s="80" t="str">
        <f>REPLACE(INDEX(GroupVertices[Group],MATCH(Vertices[[#This Row],[Vertex]],GroupVertices[Vertex],0)),1,1,"")</f>
        <v>2</v>
      </c>
      <c r="AP193" s="48"/>
      <c r="AQ193" s="49"/>
      <c r="AR193" s="48"/>
      <c r="AS193" s="49"/>
      <c r="AT193" s="48"/>
      <c r="AU193" s="49"/>
      <c r="AV193" s="48"/>
      <c r="AW193" s="49"/>
      <c r="AX193" s="48"/>
      <c r="AY193" s="48"/>
      <c r="AZ193" s="48"/>
      <c r="BA193" s="48"/>
      <c r="BB193" s="48"/>
      <c r="BC193" s="2"/>
      <c r="BD193" s="3"/>
      <c r="BE193" s="3"/>
      <c r="BF193" s="3"/>
      <c r="BG193" s="3"/>
    </row>
    <row r="194" spans="1:59" ht="15">
      <c r="A194" s="66" t="s">
        <v>875</v>
      </c>
      <c r="B194" s="67" t="s">
        <v>4456</v>
      </c>
      <c r="C194" s="67" t="s">
        <v>56</v>
      </c>
      <c r="D194" s="68">
        <v>54</v>
      </c>
      <c r="E194" s="70"/>
      <c r="F194" s="97" t="str">
        <f>HYPERLINK("https://i.ytimg.com/vi/ryP83jM-Du8/default.jpg")</f>
        <v>https://i.ytimg.com/vi/ryP83jM-Du8/default.jpg</v>
      </c>
      <c r="G194" s="67"/>
      <c r="H194" s="71" t="s">
        <v>1614</v>
      </c>
      <c r="I194" s="72"/>
      <c r="J194" s="72" t="s">
        <v>159</v>
      </c>
      <c r="K194" s="71" t="s">
        <v>1614</v>
      </c>
      <c r="L194" s="75">
        <v>445.35555555555555</v>
      </c>
      <c r="M194" s="76">
        <v>9546.7041015625</v>
      </c>
      <c r="N194" s="76">
        <v>709.1426391601562</v>
      </c>
      <c r="O194" s="77"/>
      <c r="P194" s="78"/>
      <c r="Q194" s="78"/>
      <c r="R194" s="82"/>
      <c r="S194" s="48">
        <v>2</v>
      </c>
      <c r="T194" s="48">
        <v>0</v>
      </c>
      <c r="U194" s="49">
        <v>0</v>
      </c>
      <c r="V194" s="49">
        <v>0.00141</v>
      </c>
      <c r="W194" s="49">
        <v>0.000791</v>
      </c>
      <c r="X194" s="49">
        <v>0.270884</v>
      </c>
      <c r="Y194" s="49">
        <v>0.5</v>
      </c>
      <c r="Z194" s="49">
        <v>0</v>
      </c>
      <c r="AA194" s="73">
        <v>194</v>
      </c>
      <c r="AB194" s="73"/>
      <c r="AC194" s="74"/>
      <c r="AD194" s="80" t="s">
        <v>1614</v>
      </c>
      <c r="AE194" s="80" t="s">
        <v>2253</v>
      </c>
      <c r="AF194" s="80" t="s">
        <v>2835</v>
      </c>
      <c r="AG194" s="80" t="s">
        <v>2912</v>
      </c>
      <c r="AH194" s="80" t="s">
        <v>4029</v>
      </c>
      <c r="AI194" s="80">
        <v>8767</v>
      </c>
      <c r="AJ194" s="80">
        <v>12</v>
      </c>
      <c r="AK194" s="80">
        <v>26</v>
      </c>
      <c r="AL194" s="80">
        <v>3</v>
      </c>
      <c r="AM194" s="80" t="s">
        <v>4098</v>
      </c>
      <c r="AN194" s="96" t="str">
        <f>HYPERLINK("https://www.youtube.com/watch?v=ryP83jM-Du8")</f>
        <v>https://www.youtube.com/watch?v=ryP83jM-Du8</v>
      </c>
      <c r="AO194" s="80" t="str">
        <f>REPLACE(INDEX(GroupVertices[Group],MATCH(Vertices[[#This Row],[Vertex]],GroupVertices[Vertex],0)),1,1,"")</f>
        <v>4</v>
      </c>
      <c r="AP194" s="48">
        <v>0</v>
      </c>
      <c r="AQ194" s="49">
        <v>0</v>
      </c>
      <c r="AR194" s="48">
        <v>0</v>
      </c>
      <c r="AS194" s="49">
        <v>0</v>
      </c>
      <c r="AT194" s="48">
        <v>0</v>
      </c>
      <c r="AU194" s="49">
        <v>0</v>
      </c>
      <c r="AV194" s="48">
        <v>8</v>
      </c>
      <c r="AW194" s="49">
        <v>100</v>
      </c>
      <c r="AX194" s="48">
        <v>8</v>
      </c>
      <c r="AY194" s="48"/>
      <c r="AZ194" s="48"/>
      <c r="BA194" s="48"/>
      <c r="BB194" s="48"/>
      <c r="BC194" s="2"/>
      <c r="BD194" s="3"/>
      <c r="BE194" s="3"/>
      <c r="BF194" s="3"/>
      <c r="BG194" s="3"/>
    </row>
    <row r="195" spans="1:59" ht="15">
      <c r="A195" s="66" t="s">
        <v>746</v>
      </c>
      <c r="B195" s="67" t="s">
        <v>4456</v>
      </c>
      <c r="C195" s="67" t="s">
        <v>56</v>
      </c>
      <c r="D195" s="68">
        <v>54</v>
      </c>
      <c r="E195" s="70"/>
      <c r="F195" s="97" t="str">
        <f>HYPERLINK("https://i.ytimg.com/vi/IiUDKDxScxI/default.jpg")</f>
        <v>https://i.ytimg.com/vi/IiUDKDxScxI/default.jpg</v>
      </c>
      <c r="G195" s="67"/>
      <c r="H195" s="71" t="s">
        <v>1004</v>
      </c>
      <c r="I195" s="72"/>
      <c r="J195" s="72" t="s">
        <v>159</v>
      </c>
      <c r="K195" s="71" t="s">
        <v>1004</v>
      </c>
      <c r="L195" s="75">
        <v>445.35555555555555</v>
      </c>
      <c r="M195" s="76">
        <v>6082.1943359375</v>
      </c>
      <c r="N195" s="76">
        <v>3171.4775390625</v>
      </c>
      <c r="O195" s="77"/>
      <c r="P195" s="78"/>
      <c r="Q195" s="78"/>
      <c r="R195" s="82"/>
      <c r="S195" s="48">
        <v>2</v>
      </c>
      <c r="T195" s="48">
        <v>0</v>
      </c>
      <c r="U195" s="49">
        <v>0</v>
      </c>
      <c r="V195" s="49">
        <v>0.00142</v>
      </c>
      <c r="W195" s="49">
        <v>0.00086</v>
      </c>
      <c r="X195" s="49">
        <v>0.278973</v>
      </c>
      <c r="Y195" s="49">
        <v>0.5</v>
      </c>
      <c r="Z195" s="49">
        <v>0</v>
      </c>
      <c r="AA195" s="73">
        <v>195</v>
      </c>
      <c r="AB195" s="73"/>
      <c r="AC195" s="74"/>
      <c r="AD195" s="80" t="s">
        <v>1004</v>
      </c>
      <c r="AE195" s="80" t="s">
        <v>2142</v>
      </c>
      <c r="AF195" s="80" t="s">
        <v>2729</v>
      </c>
      <c r="AG195" s="80" t="s">
        <v>3256</v>
      </c>
      <c r="AH195" s="80" t="s">
        <v>3900</v>
      </c>
      <c r="AI195" s="80">
        <v>7579</v>
      </c>
      <c r="AJ195" s="80">
        <v>0</v>
      </c>
      <c r="AK195" s="80">
        <v>114</v>
      </c>
      <c r="AL195" s="80">
        <v>3</v>
      </c>
      <c r="AM195" s="80" t="s">
        <v>4098</v>
      </c>
      <c r="AN195" s="96" t="str">
        <f>HYPERLINK("https://www.youtube.com/watch?v=IiUDKDxScxI")</f>
        <v>https://www.youtube.com/watch?v=IiUDKDxScxI</v>
      </c>
      <c r="AO195" s="80" t="str">
        <f>REPLACE(INDEX(GroupVertices[Group],MATCH(Vertices[[#This Row],[Vertex]],GroupVertices[Vertex],0)),1,1,"")</f>
        <v>4</v>
      </c>
      <c r="AP195" s="48">
        <v>0</v>
      </c>
      <c r="AQ195" s="49">
        <v>0</v>
      </c>
      <c r="AR195" s="48">
        <v>0</v>
      </c>
      <c r="AS195" s="49">
        <v>0</v>
      </c>
      <c r="AT195" s="48">
        <v>0</v>
      </c>
      <c r="AU195" s="49">
        <v>0</v>
      </c>
      <c r="AV195" s="48">
        <v>23</v>
      </c>
      <c r="AW195" s="49">
        <v>100</v>
      </c>
      <c r="AX195" s="48">
        <v>23</v>
      </c>
      <c r="AY195" s="48"/>
      <c r="AZ195" s="48"/>
      <c r="BA195" s="48"/>
      <c r="BB195" s="48"/>
      <c r="BC195" s="2"/>
      <c r="BD195" s="3"/>
      <c r="BE195" s="3"/>
      <c r="BF195" s="3"/>
      <c r="BG195" s="3"/>
    </row>
    <row r="196" spans="1:59" ht="15">
      <c r="A196" s="66" t="s">
        <v>743</v>
      </c>
      <c r="B196" s="67" t="s">
        <v>4456</v>
      </c>
      <c r="C196" s="67" t="s">
        <v>56</v>
      </c>
      <c r="D196" s="68">
        <v>76</v>
      </c>
      <c r="E196" s="70"/>
      <c r="F196" s="97" t="str">
        <f>HYPERLINK("https://i.ytimg.com/vi/1UKIljPWZn0/default.jpg")</f>
        <v>https://i.ytimg.com/vi/1UKIljPWZn0/default.jpg</v>
      </c>
      <c r="G196" s="67"/>
      <c r="H196" s="71" t="s">
        <v>1484</v>
      </c>
      <c r="I196" s="72"/>
      <c r="J196" s="72" t="s">
        <v>159</v>
      </c>
      <c r="K196" s="71" t="s">
        <v>1484</v>
      </c>
      <c r="L196" s="75">
        <v>667.5333333333333</v>
      </c>
      <c r="M196" s="76">
        <v>5241.95068359375</v>
      </c>
      <c r="N196" s="76">
        <v>1880.96044921875</v>
      </c>
      <c r="O196" s="77"/>
      <c r="P196" s="78"/>
      <c r="Q196" s="78"/>
      <c r="R196" s="82"/>
      <c r="S196" s="48">
        <v>3</v>
      </c>
      <c r="T196" s="48">
        <v>0</v>
      </c>
      <c r="U196" s="49">
        <v>0</v>
      </c>
      <c r="V196" s="49">
        <v>0.001433</v>
      </c>
      <c r="W196" s="49">
        <v>0.00126</v>
      </c>
      <c r="X196" s="49">
        <v>0.336004</v>
      </c>
      <c r="Y196" s="49">
        <v>1</v>
      </c>
      <c r="Z196" s="49">
        <v>0</v>
      </c>
      <c r="AA196" s="73">
        <v>196</v>
      </c>
      <c r="AB196" s="73"/>
      <c r="AC196" s="74"/>
      <c r="AD196" s="80" t="s">
        <v>1484</v>
      </c>
      <c r="AE196" s="80" t="s">
        <v>2139</v>
      </c>
      <c r="AF196" s="80" t="s">
        <v>2727</v>
      </c>
      <c r="AG196" s="80" t="s">
        <v>3253</v>
      </c>
      <c r="AH196" s="80" t="s">
        <v>3897</v>
      </c>
      <c r="AI196" s="80">
        <v>1421</v>
      </c>
      <c r="AJ196" s="80">
        <v>1</v>
      </c>
      <c r="AK196" s="80">
        <v>2</v>
      </c>
      <c r="AL196" s="80">
        <v>2</v>
      </c>
      <c r="AM196" s="80" t="s">
        <v>4098</v>
      </c>
      <c r="AN196" s="96" t="str">
        <f>HYPERLINK("https://www.youtube.com/watch?v=1UKIljPWZn0")</f>
        <v>https://www.youtube.com/watch?v=1UKIljPWZn0</v>
      </c>
      <c r="AO196" s="80" t="str">
        <f>REPLACE(INDEX(GroupVertices[Group],MATCH(Vertices[[#This Row],[Vertex]],GroupVertices[Vertex],0)),1,1,"")</f>
        <v>2</v>
      </c>
      <c r="AP196" s="48">
        <v>0</v>
      </c>
      <c r="AQ196" s="49">
        <v>0</v>
      </c>
      <c r="AR196" s="48">
        <v>0</v>
      </c>
      <c r="AS196" s="49">
        <v>0</v>
      </c>
      <c r="AT196" s="48">
        <v>0</v>
      </c>
      <c r="AU196" s="49">
        <v>0</v>
      </c>
      <c r="AV196" s="48">
        <v>5</v>
      </c>
      <c r="AW196" s="49">
        <v>100</v>
      </c>
      <c r="AX196" s="48">
        <v>5</v>
      </c>
      <c r="AY196" s="48"/>
      <c r="AZ196" s="48"/>
      <c r="BA196" s="48"/>
      <c r="BB196" s="48"/>
      <c r="BC196" s="2"/>
      <c r="BD196" s="3"/>
      <c r="BE196" s="3"/>
      <c r="BF196" s="3"/>
      <c r="BG196" s="3"/>
    </row>
    <row r="197" spans="1:59" ht="15">
      <c r="A197" s="66" t="s">
        <v>868</v>
      </c>
      <c r="B197" s="67" t="s">
        <v>4456</v>
      </c>
      <c r="C197" s="67" t="s">
        <v>56</v>
      </c>
      <c r="D197" s="68">
        <v>54</v>
      </c>
      <c r="E197" s="70"/>
      <c r="F197" s="97" t="str">
        <f>HYPERLINK("https://i.ytimg.com/vi/H6xP7QCBXfo/default.jpg")</f>
        <v>https://i.ytimg.com/vi/H6xP7QCBXfo/default.jpg</v>
      </c>
      <c r="G197" s="67"/>
      <c r="H197" s="71" t="s">
        <v>1607</v>
      </c>
      <c r="I197" s="72"/>
      <c r="J197" s="72" t="s">
        <v>159</v>
      </c>
      <c r="K197" s="71" t="s">
        <v>1607</v>
      </c>
      <c r="L197" s="75">
        <v>445.35555555555555</v>
      </c>
      <c r="M197" s="76">
        <v>4773.908203125</v>
      </c>
      <c r="N197" s="76">
        <v>5363.90625</v>
      </c>
      <c r="O197" s="77"/>
      <c r="P197" s="78"/>
      <c r="Q197" s="78"/>
      <c r="R197" s="82"/>
      <c r="S197" s="48">
        <v>2</v>
      </c>
      <c r="T197" s="48">
        <v>0</v>
      </c>
      <c r="U197" s="49">
        <v>0</v>
      </c>
      <c r="V197" s="49">
        <v>0.001447</v>
      </c>
      <c r="W197" s="49">
        <v>0.000992</v>
      </c>
      <c r="X197" s="49">
        <v>0.270706</v>
      </c>
      <c r="Y197" s="49">
        <v>0.5</v>
      </c>
      <c r="Z197" s="49">
        <v>0</v>
      </c>
      <c r="AA197" s="73">
        <v>197</v>
      </c>
      <c r="AB197" s="73"/>
      <c r="AC197" s="74"/>
      <c r="AD197" s="80" t="s">
        <v>1607</v>
      </c>
      <c r="AE197" s="96" t="str">
        <f>HYPERLINK("http://networksandcities.wordpress.com
www.libreoffice.org")</f>
        <v>http://networksandcities.wordpress.com
www.libreoffice.org</v>
      </c>
      <c r="AF197" s="80" t="s">
        <v>2828</v>
      </c>
      <c r="AG197" s="80" t="s">
        <v>3326</v>
      </c>
      <c r="AH197" s="80" t="s">
        <v>4022</v>
      </c>
      <c r="AI197" s="80">
        <v>16902</v>
      </c>
      <c r="AJ197" s="80">
        <v>3</v>
      </c>
      <c r="AK197" s="80">
        <v>20</v>
      </c>
      <c r="AL197" s="80">
        <v>2</v>
      </c>
      <c r="AM197" s="80" t="s">
        <v>4098</v>
      </c>
      <c r="AN197" s="96" t="str">
        <f>HYPERLINK("https://www.youtube.com/watch?v=H6xP7QCBXfo")</f>
        <v>https://www.youtube.com/watch?v=H6xP7QCBXfo</v>
      </c>
      <c r="AO197" s="80" t="str">
        <f>REPLACE(INDEX(GroupVertices[Group],MATCH(Vertices[[#This Row],[Vertex]],GroupVertices[Vertex],0)),1,1,"")</f>
        <v>1</v>
      </c>
      <c r="AP197" s="48">
        <v>0</v>
      </c>
      <c r="AQ197" s="49">
        <v>0</v>
      </c>
      <c r="AR197" s="48">
        <v>0</v>
      </c>
      <c r="AS197" s="49">
        <v>0</v>
      </c>
      <c r="AT197" s="48">
        <v>0</v>
      </c>
      <c r="AU197" s="49">
        <v>0</v>
      </c>
      <c r="AV197" s="48">
        <v>5</v>
      </c>
      <c r="AW197" s="49">
        <v>100</v>
      </c>
      <c r="AX197" s="48">
        <v>5</v>
      </c>
      <c r="AY197" s="48"/>
      <c r="AZ197" s="48"/>
      <c r="BA197" s="48"/>
      <c r="BB197" s="48"/>
      <c r="BC197" s="2"/>
      <c r="BD197" s="3"/>
      <c r="BE197" s="3"/>
      <c r="BF197" s="3"/>
      <c r="BG197" s="3"/>
    </row>
    <row r="198" spans="1:59" ht="15">
      <c r="A198" s="66" t="s">
        <v>922</v>
      </c>
      <c r="B198" s="67" t="s">
        <v>4456</v>
      </c>
      <c r="C198" s="67" t="s">
        <v>56</v>
      </c>
      <c r="D198" s="68">
        <v>54</v>
      </c>
      <c r="E198" s="70"/>
      <c r="F198" s="97" t="str">
        <f>HYPERLINK("https://i.ytimg.com/vi/nznUgnrPvTM/default.jpg")</f>
        <v>https://i.ytimg.com/vi/nznUgnrPvTM/default.jpg</v>
      </c>
      <c r="G198" s="67"/>
      <c r="H198" s="71" t="s">
        <v>1660</v>
      </c>
      <c r="I198" s="72"/>
      <c r="J198" s="72" t="s">
        <v>159</v>
      </c>
      <c r="K198" s="71" t="s">
        <v>1660</v>
      </c>
      <c r="L198" s="75">
        <v>445.35555555555555</v>
      </c>
      <c r="M198" s="76">
        <v>2260.989990234375</v>
      </c>
      <c r="N198" s="76">
        <v>4210.6689453125</v>
      </c>
      <c r="O198" s="77"/>
      <c r="P198" s="78"/>
      <c r="Q198" s="78"/>
      <c r="R198" s="82"/>
      <c r="S198" s="48">
        <v>2</v>
      </c>
      <c r="T198" s="48">
        <v>0</v>
      </c>
      <c r="U198" s="49">
        <v>0</v>
      </c>
      <c r="V198" s="49">
        <v>0.001439</v>
      </c>
      <c r="W198" s="49">
        <v>0.00095</v>
      </c>
      <c r="X198" s="49">
        <v>0.274896</v>
      </c>
      <c r="Y198" s="49">
        <v>1</v>
      </c>
      <c r="Z198" s="49">
        <v>0</v>
      </c>
      <c r="AA198" s="73">
        <v>198</v>
      </c>
      <c r="AB198" s="73"/>
      <c r="AC198" s="74"/>
      <c r="AD198" s="80" t="s">
        <v>1660</v>
      </c>
      <c r="AE198" s="80" t="s">
        <v>2296</v>
      </c>
      <c r="AF198" s="80" t="s">
        <v>2877</v>
      </c>
      <c r="AG198" s="80" t="s">
        <v>2912</v>
      </c>
      <c r="AH198" s="80" t="s">
        <v>4076</v>
      </c>
      <c r="AI198" s="80">
        <v>9801</v>
      </c>
      <c r="AJ198" s="80">
        <v>2</v>
      </c>
      <c r="AK198" s="80">
        <v>76</v>
      </c>
      <c r="AL198" s="80">
        <v>2</v>
      </c>
      <c r="AM198" s="80" t="s">
        <v>4098</v>
      </c>
      <c r="AN198" s="96" t="str">
        <f>HYPERLINK("https://www.youtube.com/watch?v=nznUgnrPvTM")</f>
        <v>https://www.youtube.com/watch?v=nznUgnrPvTM</v>
      </c>
      <c r="AO198" s="80" t="str">
        <f>REPLACE(INDEX(GroupVertices[Group],MATCH(Vertices[[#This Row],[Vertex]],GroupVertices[Vertex],0)),1,1,"")</f>
        <v>2</v>
      </c>
      <c r="AP198" s="48">
        <v>0</v>
      </c>
      <c r="AQ198" s="49">
        <v>0</v>
      </c>
      <c r="AR198" s="48">
        <v>0</v>
      </c>
      <c r="AS198" s="49">
        <v>0</v>
      </c>
      <c r="AT198" s="48">
        <v>0</v>
      </c>
      <c r="AU198" s="49">
        <v>0</v>
      </c>
      <c r="AV198" s="48">
        <v>4</v>
      </c>
      <c r="AW198" s="49">
        <v>100</v>
      </c>
      <c r="AX198" s="48">
        <v>4</v>
      </c>
      <c r="AY198" s="48"/>
      <c r="AZ198" s="48"/>
      <c r="BA198" s="48"/>
      <c r="BB198" s="48"/>
      <c r="BC198" s="2"/>
      <c r="BD198" s="3"/>
      <c r="BE198" s="3"/>
      <c r="BF198" s="3"/>
      <c r="BG198" s="3"/>
    </row>
    <row r="199" spans="1:59" ht="15">
      <c r="A199" s="66" t="s">
        <v>626</v>
      </c>
      <c r="B199" s="67" t="s">
        <v>4456</v>
      </c>
      <c r="C199" s="67" t="s">
        <v>56</v>
      </c>
      <c r="D199" s="68">
        <v>54</v>
      </c>
      <c r="E199" s="70"/>
      <c r="F199" s="97" t="str">
        <f>HYPERLINK("https://i.ytimg.com/vi/VX_TIkLysjk/default.jpg")</f>
        <v>https://i.ytimg.com/vi/VX_TIkLysjk/default.jpg</v>
      </c>
      <c r="G199" s="67"/>
      <c r="H199" s="71" t="s">
        <v>1366</v>
      </c>
      <c r="I199" s="72"/>
      <c r="J199" s="72" t="s">
        <v>159</v>
      </c>
      <c r="K199" s="71" t="s">
        <v>1366</v>
      </c>
      <c r="L199" s="75">
        <v>445.35555555555555</v>
      </c>
      <c r="M199" s="76">
        <v>6951.52880859375</v>
      </c>
      <c r="N199" s="76">
        <v>688.5250244140625</v>
      </c>
      <c r="O199" s="77"/>
      <c r="P199" s="78"/>
      <c r="Q199" s="78"/>
      <c r="R199" s="82"/>
      <c r="S199" s="48">
        <v>2</v>
      </c>
      <c r="T199" s="48">
        <v>0</v>
      </c>
      <c r="U199" s="49">
        <v>0</v>
      </c>
      <c r="V199" s="49">
        <v>0.001437</v>
      </c>
      <c r="W199" s="49">
        <v>0.000858</v>
      </c>
      <c r="X199" s="49">
        <v>0.273769</v>
      </c>
      <c r="Y199" s="49">
        <v>0.5</v>
      </c>
      <c r="Z199" s="49">
        <v>0</v>
      </c>
      <c r="AA199" s="73">
        <v>199</v>
      </c>
      <c r="AB199" s="73"/>
      <c r="AC199" s="74"/>
      <c r="AD199" s="80" t="s">
        <v>1366</v>
      </c>
      <c r="AE199" s="80" t="s">
        <v>2032</v>
      </c>
      <c r="AF199" s="80"/>
      <c r="AG199" s="80" t="s">
        <v>3170</v>
      </c>
      <c r="AH199" s="80" t="s">
        <v>3778</v>
      </c>
      <c r="AI199" s="80">
        <v>9505</v>
      </c>
      <c r="AJ199" s="80">
        <v>7</v>
      </c>
      <c r="AK199" s="80">
        <v>86</v>
      </c>
      <c r="AL199" s="80">
        <v>2</v>
      </c>
      <c r="AM199" s="80" t="s">
        <v>4098</v>
      </c>
      <c r="AN199" s="96" t="str">
        <f>HYPERLINK("https://www.youtube.com/watch?v=VX_TIkLysjk")</f>
        <v>https://www.youtube.com/watch?v=VX_TIkLysjk</v>
      </c>
      <c r="AO199" s="80" t="str">
        <f>REPLACE(INDEX(GroupVertices[Group],MATCH(Vertices[[#This Row],[Vertex]],GroupVertices[Vertex],0)),1,1,"")</f>
        <v>4</v>
      </c>
      <c r="AP199" s="48"/>
      <c r="AQ199" s="49"/>
      <c r="AR199" s="48"/>
      <c r="AS199" s="49"/>
      <c r="AT199" s="48"/>
      <c r="AU199" s="49"/>
      <c r="AV199" s="48"/>
      <c r="AW199" s="49"/>
      <c r="AX199" s="48"/>
      <c r="AY199" s="48"/>
      <c r="AZ199" s="48"/>
      <c r="BA199" s="48"/>
      <c r="BB199" s="48"/>
      <c r="BC199" s="2"/>
      <c r="BD199" s="3"/>
      <c r="BE199" s="3"/>
      <c r="BF199" s="3"/>
      <c r="BG199" s="3"/>
    </row>
    <row r="200" spans="1:59" ht="15">
      <c r="A200" s="66" t="s">
        <v>854</v>
      </c>
      <c r="B200" s="67" t="s">
        <v>4456</v>
      </c>
      <c r="C200" s="67" t="s">
        <v>56</v>
      </c>
      <c r="D200" s="68">
        <v>54</v>
      </c>
      <c r="E200" s="70"/>
      <c r="F200" s="97" t="str">
        <f>HYPERLINK("https://i.ytimg.com/vi/LVJlHduO2Tc/default.jpg")</f>
        <v>https://i.ytimg.com/vi/LVJlHduO2Tc/default.jpg</v>
      </c>
      <c r="G200" s="67"/>
      <c r="H200" s="71" t="s">
        <v>1593</v>
      </c>
      <c r="I200" s="72"/>
      <c r="J200" s="72" t="s">
        <v>159</v>
      </c>
      <c r="K200" s="71" t="s">
        <v>1593</v>
      </c>
      <c r="L200" s="75">
        <v>445.35555555555555</v>
      </c>
      <c r="M200" s="76">
        <v>8493.537109375</v>
      </c>
      <c r="N200" s="76">
        <v>2228.963623046875</v>
      </c>
      <c r="O200" s="77"/>
      <c r="P200" s="78"/>
      <c r="Q200" s="78"/>
      <c r="R200" s="82"/>
      <c r="S200" s="48">
        <v>2</v>
      </c>
      <c r="T200" s="48">
        <v>0</v>
      </c>
      <c r="U200" s="49">
        <v>0</v>
      </c>
      <c r="V200" s="49">
        <v>0.001458</v>
      </c>
      <c r="W200" s="49">
        <v>0.000823</v>
      </c>
      <c r="X200" s="49">
        <v>0.279368</v>
      </c>
      <c r="Y200" s="49">
        <v>0.5</v>
      </c>
      <c r="Z200" s="49">
        <v>0</v>
      </c>
      <c r="AA200" s="73">
        <v>200</v>
      </c>
      <c r="AB200" s="73"/>
      <c r="AC200" s="74"/>
      <c r="AD200" s="80" t="s">
        <v>1593</v>
      </c>
      <c r="AE200" s="80" t="s">
        <v>2235</v>
      </c>
      <c r="AF200" s="80" t="s">
        <v>2819</v>
      </c>
      <c r="AG200" s="80" t="s">
        <v>3252</v>
      </c>
      <c r="AH200" s="80" t="s">
        <v>4008</v>
      </c>
      <c r="AI200" s="80">
        <v>6501</v>
      </c>
      <c r="AJ200" s="80">
        <v>0</v>
      </c>
      <c r="AK200" s="80">
        <v>18</v>
      </c>
      <c r="AL200" s="80">
        <v>2</v>
      </c>
      <c r="AM200" s="80" t="s">
        <v>4098</v>
      </c>
      <c r="AN200" s="96" t="str">
        <f>HYPERLINK("https://www.youtube.com/watch?v=LVJlHduO2Tc")</f>
        <v>https://www.youtube.com/watch?v=LVJlHduO2Tc</v>
      </c>
      <c r="AO200" s="80" t="str">
        <f>REPLACE(INDEX(GroupVertices[Group],MATCH(Vertices[[#This Row],[Vertex]],GroupVertices[Vertex],0)),1,1,"")</f>
        <v>4</v>
      </c>
      <c r="AP200" s="48">
        <v>0</v>
      </c>
      <c r="AQ200" s="49">
        <v>0</v>
      </c>
      <c r="AR200" s="48">
        <v>0</v>
      </c>
      <c r="AS200" s="49">
        <v>0</v>
      </c>
      <c r="AT200" s="48">
        <v>0</v>
      </c>
      <c r="AU200" s="49">
        <v>0</v>
      </c>
      <c r="AV200" s="48">
        <v>8</v>
      </c>
      <c r="AW200" s="49">
        <v>100</v>
      </c>
      <c r="AX200" s="48">
        <v>8</v>
      </c>
      <c r="AY200" s="48"/>
      <c r="AZ200" s="48"/>
      <c r="BA200" s="48"/>
      <c r="BB200" s="48"/>
      <c r="BC200" s="2"/>
      <c r="BD200" s="3"/>
      <c r="BE200" s="3"/>
      <c r="BF200" s="3"/>
      <c r="BG200" s="3"/>
    </row>
    <row r="201" spans="1:59" ht="15">
      <c r="A201" s="66" t="s">
        <v>604</v>
      </c>
      <c r="B201" s="67" t="s">
        <v>4456</v>
      </c>
      <c r="C201" s="67" t="s">
        <v>56</v>
      </c>
      <c r="D201" s="68">
        <v>32</v>
      </c>
      <c r="E201" s="70"/>
      <c r="F201" s="97" t="str">
        <f>HYPERLINK("https://i.ytimg.com/vi/fmdsWS8dH8I/default.jpg")</f>
        <v>https://i.ytimg.com/vi/fmdsWS8dH8I/default.jpg</v>
      </c>
      <c r="G201" s="67"/>
      <c r="H201" s="71" t="s">
        <v>1344</v>
      </c>
      <c r="I201" s="72"/>
      <c r="J201" s="72" t="s">
        <v>159</v>
      </c>
      <c r="K201" s="71" t="s">
        <v>1344</v>
      </c>
      <c r="L201" s="75">
        <v>223.17777777777778</v>
      </c>
      <c r="M201" s="76">
        <v>572.3232421875</v>
      </c>
      <c r="N201" s="76">
        <v>8377.923828125</v>
      </c>
      <c r="O201" s="77"/>
      <c r="P201" s="78"/>
      <c r="Q201" s="78"/>
      <c r="R201" s="82"/>
      <c r="S201" s="48">
        <v>1</v>
      </c>
      <c r="T201" s="48">
        <v>0</v>
      </c>
      <c r="U201" s="49">
        <v>0</v>
      </c>
      <c r="V201" s="49">
        <v>0.001385</v>
      </c>
      <c r="W201" s="49">
        <v>0.000384</v>
      </c>
      <c r="X201" s="49">
        <v>0.217854</v>
      </c>
      <c r="Y201" s="49">
        <v>0</v>
      </c>
      <c r="Z201" s="49">
        <v>0</v>
      </c>
      <c r="AA201" s="73">
        <v>201</v>
      </c>
      <c r="AB201" s="73"/>
      <c r="AC201" s="74"/>
      <c r="AD201" s="80" t="s">
        <v>1344</v>
      </c>
      <c r="AE201" s="80" t="s">
        <v>2010</v>
      </c>
      <c r="AF201" s="80" t="s">
        <v>2608</v>
      </c>
      <c r="AG201" s="80" t="s">
        <v>3151</v>
      </c>
      <c r="AH201" s="80" t="s">
        <v>3756</v>
      </c>
      <c r="AI201" s="80">
        <v>3017</v>
      </c>
      <c r="AJ201" s="80">
        <v>5</v>
      </c>
      <c r="AK201" s="80">
        <v>34</v>
      </c>
      <c r="AL201" s="80">
        <v>2</v>
      </c>
      <c r="AM201" s="80" t="s">
        <v>4098</v>
      </c>
      <c r="AN201" s="96" t="str">
        <f>HYPERLINK("https://www.youtube.com/watch?v=fmdsWS8dH8I")</f>
        <v>https://www.youtube.com/watch?v=fmdsWS8dH8I</v>
      </c>
      <c r="AO201" s="80" t="str">
        <f>REPLACE(INDEX(GroupVertices[Group],MATCH(Vertices[[#This Row],[Vertex]],GroupVertices[Vertex],0)),1,1,"")</f>
        <v>1</v>
      </c>
      <c r="AP201" s="48">
        <v>0</v>
      </c>
      <c r="AQ201" s="49">
        <v>0</v>
      </c>
      <c r="AR201" s="48">
        <v>0</v>
      </c>
      <c r="AS201" s="49">
        <v>0</v>
      </c>
      <c r="AT201" s="48">
        <v>0</v>
      </c>
      <c r="AU201" s="49">
        <v>0</v>
      </c>
      <c r="AV201" s="48">
        <v>5</v>
      </c>
      <c r="AW201" s="49">
        <v>100</v>
      </c>
      <c r="AX201" s="48">
        <v>5</v>
      </c>
      <c r="AY201" s="48"/>
      <c r="AZ201" s="48"/>
      <c r="BA201" s="48"/>
      <c r="BB201" s="48"/>
      <c r="BC201" s="2"/>
      <c r="BD201" s="3"/>
      <c r="BE201" s="3"/>
      <c r="BF201" s="3"/>
      <c r="BG201" s="3"/>
    </row>
    <row r="202" spans="1:59" ht="15">
      <c r="A202" s="66" t="s">
        <v>520</v>
      </c>
      <c r="B202" s="67" t="s">
        <v>4456</v>
      </c>
      <c r="C202" s="67" t="s">
        <v>56</v>
      </c>
      <c r="D202" s="68">
        <v>54</v>
      </c>
      <c r="E202" s="70"/>
      <c r="F202" s="97" t="str">
        <f>HYPERLINK("https://i.ytimg.com/vi/qChZv60l2MA/default.jpg")</f>
        <v>https://i.ytimg.com/vi/qChZv60l2MA/default.jpg</v>
      </c>
      <c r="G202" s="67"/>
      <c r="H202" s="71" t="s">
        <v>1251</v>
      </c>
      <c r="I202" s="72"/>
      <c r="J202" s="72" t="s">
        <v>159</v>
      </c>
      <c r="K202" s="71" t="s">
        <v>1251</v>
      </c>
      <c r="L202" s="75">
        <v>445.35555555555555</v>
      </c>
      <c r="M202" s="76">
        <v>2247.866943359375</v>
      </c>
      <c r="N202" s="76">
        <v>5091.6728515625</v>
      </c>
      <c r="O202" s="77"/>
      <c r="P202" s="78"/>
      <c r="Q202" s="78"/>
      <c r="R202" s="82"/>
      <c r="S202" s="48">
        <v>2</v>
      </c>
      <c r="T202" s="48">
        <v>0</v>
      </c>
      <c r="U202" s="49">
        <v>0</v>
      </c>
      <c r="V202" s="49">
        <v>0.001297</v>
      </c>
      <c r="W202" s="49">
        <v>0.000353</v>
      </c>
      <c r="X202" s="49">
        <v>0.291323</v>
      </c>
      <c r="Y202" s="49">
        <v>1</v>
      </c>
      <c r="Z202" s="49">
        <v>0</v>
      </c>
      <c r="AA202" s="73">
        <v>202</v>
      </c>
      <c r="AB202" s="73"/>
      <c r="AC202" s="74"/>
      <c r="AD202" s="80" t="s">
        <v>1251</v>
      </c>
      <c r="AE202" s="80"/>
      <c r="AF202" s="80" t="s">
        <v>2539</v>
      </c>
      <c r="AG202" s="80" t="s">
        <v>3088</v>
      </c>
      <c r="AH202" s="80" t="s">
        <v>3663</v>
      </c>
      <c r="AI202" s="80">
        <v>1316</v>
      </c>
      <c r="AJ202" s="80">
        <v>2</v>
      </c>
      <c r="AK202" s="80">
        <v>8</v>
      </c>
      <c r="AL202" s="80">
        <v>2</v>
      </c>
      <c r="AM202" s="80" t="s">
        <v>4098</v>
      </c>
      <c r="AN202" s="96" t="str">
        <f>HYPERLINK("https://www.youtube.com/watch?v=qChZv60l2MA")</f>
        <v>https://www.youtube.com/watch?v=qChZv60l2MA</v>
      </c>
      <c r="AO202" s="80" t="str">
        <f>REPLACE(INDEX(GroupVertices[Group],MATCH(Vertices[[#This Row],[Vertex]],GroupVertices[Vertex],0)),1,1,"")</f>
        <v>1</v>
      </c>
      <c r="AP202" s="48">
        <v>0</v>
      </c>
      <c r="AQ202" s="49">
        <v>0</v>
      </c>
      <c r="AR202" s="48">
        <v>0</v>
      </c>
      <c r="AS202" s="49">
        <v>0</v>
      </c>
      <c r="AT202" s="48">
        <v>0</v>
      </c>
      <c r="AU202" s="49">
        <v>0</v>
      </c>
      <c r="AV202" s="48">
        <v>1</v>
      </c>
      <c r="AW202" s="49">
        <v>100</v>
      </c>
      <c r="AX202" s="48">
        <v>1</v>
      </c>
      <c r="AY202" s="48"/>
      <c r="AZ202" s="48"/>
      <c r="BA202" s="48"/>
      <c r="BB202" s="48"/>
      <c r="BC202" s="2"/>
      <c r="BD202" s="3"/>
      <c r="BE202" s="3"/>
      <c r="BF202" s="3"/>
      <c r="BG202" s="3"/>
    </row>
    <row r="203" spans="1:59" ht="15">
      <c r="A203" s="66" t="s">
        <v>675</v>
      </c>
      <c r="B203" s="67" t="s">
        <v>4456</v>
      </c>
      <c r="C203" s="67" t="s">
        <v>56</v>
      </c>
      <c r="D203" s="68">
        <v>120</v>
      </c>
      <c r="E203" s="70"/>
      <c r="F203" s="97" t="str">
        <f>HYPERLINK("https://i.ytimg.com/vi/OYrzMhT0Kag/default.jpg")</f>
        <v>https://i.ytimg.com/vi/OYrzMhT0Kag/default.jpg</v>
      </c>
      <c r="G203" s="67"/>
      <c r="H203" s="71" t="s">
        <v>1416</v>
      </c>
      <c r="I203" s="72"/>
      <c r="J203" s="72" t="s">
        <v>159</v>
      </c>
      <c r="K203" s="71" t="s">
        <v>1416</v>
      </c>
      <c r="L203" s="75">
        <v>1111.888888888889</v>
      </c>
      <c r="M203" s="76">
        <v>1324.0135498046875</v>
      </c>
      <c r="N203" s="76">
        <v>1567.236572265625</v>
      </c>
      <c r="O203" s="77"/>
      <c r="P203" s="78"/>
      <c r="Q203" s="78"/>
      <c r="R203" s="82"/>
      <c r="S203" s="48">
        <v>5</v>
      </c>
      <c r="T203" s="48">
        <v>0</v>
      </c>
      <c r="U203" s="49">
        <v>0</v>
      </c>
      <c r="V203" s="49">
        <v>0.001541</v>
      </c>
      <c r="W203" s="49">
        <v>0.002088</v>
      </c>
      <c r="X203" s="49">
        <v>0.464238</v>
      </c>
      <c r="Y203" s="49">
        <v>0.65</v>
      </c>
      <c r="Z203" s="49">
        <v>0</v>
      </c>
      <c r="AA203" s="73">
        <v>203</v>
      </c>
      <c r="AB203" s="73"/>
      <c r="AC203" s="74"/>
      <c r="AD203" s="80" t="s">
        <v>1416</v>
      </c>
      <c r="AE203" s="80"/>
      <c r="AF203" s="80"/>
      <c r="AG203" s="80" t="s">
        <v>2909</v>
      </c>
      <c r="AH203" s="80" t="s">
        <v>3828</v>
      </c>
      <c r="AI203" s="80">
        <v>7184</v>
      </c>
      <c r="AJ203" s="80">
        <v>4</v>
      </c>
      <c r="AK203" s="80">
        <v>44</v>
      </c>
      <c r="AL203" s="80">
        <v>1</v>
      </c>
      <c r="AM203" s="80" t="s">
        <v>4098</v>
      </c>
      <c r="AN203" s="96" t="str">
        <f>HYPERLINK("https://www.youtube.com/watch?v=OYrzMhT0Kag")</f>
        <v>https://www.youtube.com/watch?v=OYrzMhT0Kag</v>
      </c>
      <c r="AO203" s="80" t="str">
        <f>REPLACE(INDEX(GroupVertices[Group],MATCH(Vertices[[#This Row],[Vertex]],GroupVertices[Vertex],0)),1,1,"")</f>
        <v>2</v>
      </c>
      <c r="AP203" s="48"/>
      <c r="AQ203" s="49"/>
      <c r="AR203" s="48"/>
      <c r="AS203" s="49"/>
      <c r="AT203" s="48"/>
      <c r="AU203" s="49"/>
      <c r="AV203" s="48"/>
      <c r="AW203" s="49"/>
      <c r="AX203" s="48"/>
      <c r="AY203" s="48"/>
      <c r="AZ203" s="48"/>
      <c r="BA203" s="48"/>
      <c r="BB203" s="48"/>
      <c r="BC203" s="2"/>
      <c r="BD203" s="3"/>
      <c r="BE203" s="3"/>
      <c r="BF203" s="3"/>
      <c r="BG203" s="3"/>
    </row>
    <row r="204" spans="1:59" ht="15">
      <c r="A204" s="66" t="s">
        <v>879</v>
      </c>
      <c r="B204" s="67" t="s">
        <v>4456</v>
      </c>
      <c r="C204" s="67" t="s">
        <v>56</v>
      </c>
      <c r="D204" s="68">
        <v>76</v>
      </c>
      <c r="E204" s="70"/>
      <c r="F204" s="97" t="str">
        <f>HYPERLINK("https://i.ytimg.com/vi/55a29U7mryQ/default.jpg")</f>
        <v>https://i.ytimg.com/vi/55a29U7mryQ/default.jpg</v>
      </c>
      <c r="G204" s="67"/>
      <c r="H204" s="71" t="s">
        <v>1618</v>
      </c>
      <c r="I204" s="72"/>
      <c r="J204" s="72" t="s">
        <v>159</v>
      </c>
      <c r="K204" s="71" t="s">
        <v>1618</v>
      </c>
      <c r="L204" s="75">
        <v>667.5333333333333</v>
      </c>
      <c r="M204" s="76">
        <v>4976.6396484375</v>
      </c>
      <c r="N204" s="76">
        <v>8639.7099609375</v>
      </c>
      <c r="O204" s="77"/>
      <c r="P204" s="78"/>
      <c r="Q204" s="78"/>
      <c r="R204" s="82"/>
      <c r="S204" s="48">
        <v>3</v>
      </c>
      <c r="T204" s="48">
        <v>0</v>
      </c>
      <c r="U204" s="49">
        <v>0</v>
      </c>
      <c r="V204" s="49">
        <v>0.001427</v>
      </c>
      <c r="W204" s="49">
        <v>0.001274</v>
      </c>
      <c r="X204" s="49">
        <v>0.329254</v>
      </c>
      <c r="Y204" s="49">
        <v>1</v>
      </c>
      <c r="Z204" s="49">
        <v>0</v>
      </c>
      <c r="AA204" s="73">
        <v>204</v>
      </c>
      <c r="AB204" s="73"/>
      <c r="AC204" s="74"/>
      <c r="AD204" s="80" t="s">
        <v>1618</v>
      </c>
      <c r="AE204" s="80" t="s">
        <v>2256</v>
      </c>
      <c r="AF204" s="80" t="s">
        <v>2837</v>
      </c>
      <c r="AG204" s="80" t="s">
        <v>3332</v>
      </c>
      <c r="AH204" s="80" t="s">
        <v>4033</v>
      </c>
      <c r="AI204" s="80">
        <v>19527</v>
      </c>
      <c r="AJ204" s="80">
        <v>2</v>
      </c>
      <c r="AK204" s="80">
        <v>36</v>
      </c>
      <c r="AL204" s="80">
        <v>1</v>
      </c>
      <c r="AM204" s="80" t="s">
        <v>4098</v>
      </c>
      <c r="AN204" s="96" t="str">
        <f>HYPERLINK("https://www.youtube.com/watch?v=55a29U7mryQ")</f>
        <v>https://www.youtube.com/watch?v=55a29U7mryQ</v>
      </c>
      <c r="AO204" s="80" t="str">
        <f>REPLACE(INDEX(GroupVertices[Group],MATCH(Vertices[[#This Row],[Vertex]],GroupVertices[Vertex],0)),1,1,"")</f>
        <v>1</v>
      </c>
      <c r="AP204" s="48">
        <v>0</v>
      </c>
      <c r="AQ204" s="49">
        <v>0</v>
      </c>
      <c r="AR204" s="48">
        <v>0</v>
      </c>
      <c r="AS204" s="49">
        <v>0</v>
      </c>
      <c r="AT204" s="48">
        <v>0</v>
      </c>
      <c r="AU204" s="49">
        <v>0</v>
      </c>
      <c r="AV204" s="48">
        <v>2</v>
      </c>
      <c r="AW204" s="49">
        <v>100</v>
      </c>
      <c r="AX204" s="48">
        <v>2</v>
      </c>
      <c r="AY204" s="48"/>
      <c r="AZ204" s="48"/>
      <c r="BA204" s="48"/>
      <c r="BB204" s="48"/>
      <c r="BC204" s="2"/>
      <c r="BD204" s="3"/>
      <c r="BE204" s="3"/>
      <c r="BF204" s="3"/>
      <c r="BG204" s="3"/>
    </row>
    <row r="205" spans="1:59" ht="15">
      <c r="A205" s="66" t="s">
        <v>799</v>
      </c>
      <c r="B205" s="67" t="s">
        <v>4456</v>
      </c>
      <c r="C205" s="67" t="s">
        <v>56</v>
      </c>
      <c r="D205" s="68">
        <v>76</v>
      </c>
      <c r="E205" s="70"/>
      <c r="F205" s="97" t="str">
        <f>HYPERLINK("https://i.ytimg.com/vi/zxQgaRUbl6g/default.jpg")</f>
        <v>https://i.ytimg.com/vi/zxQgaRUbl6g/default.jpg</v>
      </c>
      <c r="G205" s="67"/>
      <c r="H205" s="71" t="s">
        <v>1539</v>
      </c>
      <c r="I205" s="72"/>
      <c r="J205" s="72" t="s">
        <v>159</v>
      </c>
      <c r="K205" s="71" t="s">
        <v>1539</v>
      </c>
      <c r="L205" s="75">
        <v>667.5333333333333</v>
      </c>
      <c r="M205" s="76">
        <v>1091.4954833984375</v>
      </c>
      <c r="N205" s="76">
        <v>7905.20068359375</v>
      </c>
      <c r="O205" s="77"/>
      <c r="P205" s="78"/>
      <c r="Q205" s="78"/>
      <c r="R205" s="82"/>
      <c r="S205" s="48">
        <v>3</v>
      </c>
      <c r="T205" s="48">
        <v>0</v>
      </c>
      <c r="U205" s="49">
        <v>0</v>
      </c>
      <c r="V205" s="49">
        <v>0.00142</v>
      </c>
      <c r="W205" s="49">
        <v>0.000737</v>
      </c>
      <c r="X205" s="49">
        <v>0.358828</v>
      </c>
      <c r="Y205" s="49">
        <v>1</v>
      </c>
      <c r="Z205" s="49">
        <v>0</v>
      </c>
      <c r="AA205" s="73">
        <v>205</v>
      </c>
      <c r="AB205" s="73"/>
      <c r="AC205" s="74"/>
      <c r="AD205" s="80" t="s">
        <v>1539</v>
      </c>
      <c r="AE205" s="80" t="s">
        <v>2188</v>
      </c>
      <c r="AF205" s="80" t="s">
        <v>2774</v>
      </c>
      <c r="AG205" s="80" t="s">
        <v>3290</v>
      </c>
      <c r="AH205" s="80" t="s">
        <v>3953</v>
      </c>
      <c r="AI205" s="80">
        <v>6655</v>
      </c>
      <c r="AJ205" s="80">
        <v>10</v>
      </c>
      <c r="AK205" s="80">
        <v>96</v>
      </c>
      <c r="AL205" s="80">
        <v>1</v>
      </c>
      <c r="AM205" s="80" t="s">
        <v>4098</v>
      </c>
      <c r="AN205" s="96" t="str">
        <f>HYPERLINK("https://www.youtube.com/watch?v=zxQgaRUbl6g")</f>
        <v>https://www.youtube.com/watch?v=zxQgaRUbl6g</v>
      </c>
      <c r="AO205" s="80" t="str">
        <f>REPLACE(INDEX(GroupVertices[Group],MATCH(Vertices[[#This Row],[Vertex]],GroupVertices[Vertex],0)),1,1,"")</f>
        <v>1</v>
      </c>
      <c r="AP205" s="48">
        <v>0</v>
      </c>
      <c r="AQ205" s="49">
        <v>0</v>
      </c>
      <c r="AR205" s="48">
        <v>0</v>
      </c>
      <c r="AS205" s="49">
        <v>0</v>
      </c>
      <c r="AT205" s="48">
        <v>0</v>
      </c>
      <c r="AU205" s="49">
        <v>0</v>
      </c>
      <c r="AV205" s="48">
        <v>5</v>
      </c>
      <c r="AW205" s="49">
        <v>100</v>
      </c>
      <c r="AX205" s="48">
        <v>5</v>
      </c>
      <c r="AY205" s="48"/>
      <c r="AZ205" s="48"/>
      <c r="BA205" s="48"/>
      <c r="BB205" s="48"/>
      <c r="BC205" s="2"/>
      <c r="BD205" s="3"/>
      <c r="BE205" s="3"/>
      <c r="BF205" s="3"/>
      <c r="BG205" s="3"/>
    </row>
    <row r="206" spans="1:59" ht="15">
      <c r="A206" s="66" t="s">
        <v>941</v>
      </c>
      <c r="B206" s="67" t="s">
        <v>4456</v>
      </c>
      <c r="C206" s="67" t="s">
        <v>56</v>
      </c>
      <c r="D206" s="68">
        <v>54</v>
      </c>
      <c r="E206" s="70"/>
      <c r="F206" s="97" t="str">
        <f>HYPERLINK("https://i.ytimg.com/vi/XX5rRF6uxow/default.jpg")</f>
        <v>https://i.ytimg.com/vi/XX5rRF6uxow/default.jpg</v>
      </c>
      <c r="G206" s="67"/>
      <c r="H206" s="71" t="s">
        <v>1678</v>
      </c>
      <c r="I206" s="72"/>
      <c r="J206" s="72" t="s">
        <v>159</v>
      </c>
      <c r="K206" s="71" t="s">
        <v>1678</v>
      </c>
      <c r="L206" s="75">
        <v>445.35555555555555</v>
      </c>
      <c r="M206" s="76">
        <v>5702.203125</v>
      </c>
      <c r="N206" s="76">
        <v>7233.9697265625</v>
      </c>
      <c r="O206" s="77"/>
      <c r="P206" s="78"/>
      <c r="Q206" s="78"/>
      <c r="R206" s="82"/>
      <c r="S206" s="48">
        <v>2</v>
      </c>
      <c r="T206" s="48">
        <v>0</v>
      </c>
      <c r="U206" s="49">
        <v>0</v>
      </c>
      <c r="V206" s="49">
        <v>0.001449</v>
      </c>
      <c r="W206" s="49">
        <v>0.000953</v>
      </c>
      <c r="X206" s="49">
        <v>0.272051</v>
      </c>
      <c r="Y206" s="49">
        <v>1</v>
      </c>
      <c r="Z206" s="49">
        <v>0</v>
      </c>
      <c r="AA206" s="73">
        <v>206</v>
      </c>
      <c r="AB206" s="73"/>
      <c r="AC206" s="74"/>
      <c r="AD206" s="80" t="s">
        <v>1678</v>
      </c>
      <c r="AE206" s="80" t="s">
        <v>2312</v>
      </c>
      <c r="AF206" s="80" t="s">
        <v>2892</v>
      </c>
      <c r="AG206" s="80" t="s">
        <v>3370</v>
      </c>
      <c r="AH206" s="80" t="s">
        <v>4095</v>
      </c>
      <c r="AI206" s="80">
        <v>31089</v>
      </c>
      <c r="AJ206" s="80">
        <v>11</v>
      </c>
      <c r="AK206" s="80">
        <v>167</v>
      </c>
      <c r="AL206" s="80">
        <v>1</v>
      </c>
      <c r="AM206" s="80" t="s">
        <v>4098</v>
      </c>
      <c r="AN206" s="96" t="str">
        <f>HYPERLINK("https://www.youtube.com/watch?v=XX5rRF6uxow")</f>
        <v>https://www.youtube.com/watch?v=XX5rRF6uxow</v>
      </c>
      <c r="AO206" s="80" t="str">
        <f>REPLACE(INDEX(GroupVertices[Group],MATCH(Vertices[[#This Row],[Vertex]],GroupVertices[Vertex],0)),1,1,"")</f>
        <v>1</v>
      </c>
      <c r="AP206" s="48">
        <v>1</v>
      </c>
      <c r="AQ206" s="49">
        <v>16.666666666666668</v>
      </c>
      <c r="AR206" s="48">
        <v>1</v>
      </c>
      <c r="AS206" s="49">
        <v>16.666666666666668</v>
      </c>
      <c r="AT206" s="48">
        <v>0</v>
      </c>
      <c r="AU206" s="49">
        <v>0</v>
      </c>
      <c r="AV206" s="48">
        <v>4</v>
      </c>
      <c r="AW206" s="49">
        <v>66.66666666666667</v>
      </c>
      <c r="AX206" s="48">
        <v>6</v>
      </c>
      <c r="AY206" s="48"/>
      <c r="AZ206" s="48"/>
      <c r="BA206" s="48"/>
      <c r="BB206" s="48"/>
      <c r="BC206" s="2"/>
      <c r="BD206" s="3"/>
      <c r="BE206" s="3"/>
      <c r="BF206" s="3"/>
      <c r="BG206" s="3"/>
    </row>
    <row r="207" spans="1:59" ht="15">
      <c r="A207" s="66" t="s">
        <v>873</v>
      </c>
      <c r="B207" s="67" t="s">
        <v>4456</v>
      </c>
      <c r="C207" s="67" t="s">
        <v>56</v>
      </c>
      <c r="D207" s="68">
        <v>54</v>
      </c>
      <c r="E207" s="70"/>
      <c r="F207" s="97" t="str">
        <f>HYPERLINK("https://i.ytimg.com/vi/HIko0cdWtrU/default.jpg")</f>
        <v>https://i.ytimg.com/vi/HIko0cdWtrU/default.jpg</v>
      </c>
      <c r="G207" s="67"/>
      <c r="H207" s="71" t="s">
        <v>1612</v>
      </c>
      <c r="I207" s="72"/>
      <c r="J207" s="72" t="s">
        <v>159</v>
      </c>
      <c r="K207" s="71" t="s">
        <v>1612</v>
      </c>
      <c r="L207" s="75">
        <v>445.35555555555555</v>
      </c>
      <c r="M207" s="76">
        <v>8228.7236328125</v>
      </c>
      <c r="N207" s="76">
        <v>9000.265625</v>
      </c>
      <c r="O207" s="77"/>
      <c r="P207" s="78"/>
      <c r="Q207" s="78"/>
      <c r="R207" s="82"/>
      <c r="S207" s="48">
        <v>2</v>
      </c>
      <c r="T207" s="48">
        <v>0</v>
      </c>
      <c r="U207" s="49">
        <v>0</v>
      </c>
      <c r="V207" s="49">
        <v>0.001437</v>
      </c>
      <c r="W207" s="49">
        <v>0.000892</v>
      </c>
      <c r="X207" s="49">
        <v>0.271472</v>
      </c>
      <c r="Y207" s="49">
        <v>0.5</v>
      </c>
      <c r="Z207" s="49">
        <v>0</v>
      </c>
      <c r="AA207" s="73">
        <v>207</v>
      </c>
      <c r="AB207" s="73"/>
      <c r="AC207" s="74"/>
      <c r="AD207" s="80" t="s">
        <v>1612</v>
      </c>
      <c r="AE207" s="80" t="s">
        <v>2251</v>
      </c>
      <c r="AF207" s="80" t="s">
        <v>2833</v>
      </c>
      <c r="AG207" s="80" t="s">
        <v>3329</v>
      </c>
      <c r="AH207" s="80" t="s">
        <v>4027</v>
      </c>
      <c r="AI207" s="80">
        <v>20024</v>
      </c>
      <c r="AJ207" s="80">
        <v>5</v>
      </c>
      <c r="AK207" s="80">
        <v>28</v>
      </c>
      <c r="AL207" s="80">
        <v>1</v>
      </c>
      <c r="AM207" s="80" t="s">
        <v>4098</v>
      </c>
      <c r="AN207" s="96" t="str">
        <f>HYPERLINK("https://www.youtube.com/watch?v=HIko0cdWtrU")</f>
        <v>https://www.youtube.com/watch?v=HIko0cdWtrU</v>
      </c>
      <c r="AO207" s="80" t="str">
        <f>REPLACE(INDEX(GroupVertices[Group],MATCH(Vertices[[#This Row],[Vertex]],GroupVertices[Vertex],0)),1,1,"")</f>
        <v>3</v>
      </c>
      <c r="AP207" s="48">
        <v>1</v>
      </c>
      <c r="AQ207" s="49">
        <v>11.11111111111111</v>
      </c>
      <c r="AR207" s="48">
        <v>0</v>
      </c>
      <c r="AS207" s="49">
        <v>0</v>
      </c>
      <c r="AT207" s="48">
        <v>0</v>
      </c>
      <c r="AU207" s="49">
        <v>0</v>
      </c>
      <c r="AV207" s="48">
        <v>8</v>
      </c>
      <c r="AW207" s="49">
        <v>88.88888888888889</v>
      </c>
      <c r="AX207" s="48">
        <v>9</v>
      </c>
      <c r="AY207" s="48"/>
      <c r="AZ207" s="48"/>
      <c r="BA207" s="48"/>
      <c r="BB207" s="48"/>
      <c r="BC207" s="2"/>
      <c r="BD207" s="3"/>
      <c r="BE207" s="3"/>
      <c r="BF207" s="3"/>
      <c r="BG207" s="3"/>
    </row>
    <row r="208" spans="1:59" ht="15">
      <c r="A208" s="66" t="s">
        <v>938</v>
      </c>
      <c r="B208" s="67" t="s">
        <v>4456</v>
      </c>
      <c r="C208" s="67" t="s">
        <v>56</v>
      </c>
      <c r="D208" s="68">
        <v>54</v>
      </c>
      <c r="E208" s="70"/>
      <c r="F208" s="97" t="str">
        <f>HYPERLINK("https://i.ytimg.com/vi/0CCrq62TF7U/default.jpg")</f>
        <v>https://i.ytimg.com/vi/0CCrq62TF7U/default.jpg</v>
      </c>
      <c r="G208" s="67"/>
      <c r="H208" s="71" t="s">
        <v>34</v>
      </c>
      <c r="I208" s="72"/>
      <c r="J208" s="72" t="s">
        <v>159</v>
      </c>
      <c r="K208" s="71" t="s">
        <v>34</v>
      </c>
      <c r="L208" s="75">
        <v>445.35555555555555</v>
      </c>
      <c r="M208" s="76">
        <v>5189.37890625</v>
      </c>
      <c r="N208" s="76">
        <v>6059.0068359375</v>
      </c>
      <c r="O208" s="77"/>
      <c r="P208" s="78"/>
      <c r="Q208" s="78"/>
      <c r="R208" s="82"/>
      <c r="S208" s="48">
        <v>2</v>
      </c>
      <c r="T208" s="48">
        <v>0</v>
      </c>
      <c r="U208" s="49">
        <v>0</v>
      </c>
      <c r="V208" s="49">
        <v>0.001468</v>
      </c>
      <c r="W208" s="49">
        <v>0.001036</v>
      </c>
      <c r="X208" s="49">
        <v>0.274508</v>
      </c>
      <c r="Y208" s="49">
        <v>1</v>
      </c>
      <c r="Z208" s="49">
        <v>0</v>
      </c>
      <c r="AA208" s="73">
        <v>208</v>
      </c>
      <c r="AB208" s="73"/>
      <c r="AC208" s="74"/>
      <c r="AD208" s="80" t="s">
        <v>34</v>
      </c>
      <c r="AE208" s="80"/>
      <c r="AF208" s="80"/>
      <c r="AG208" s="80" t="s">
        <v>3302</v>
      </c>
      <c r="AH208" s="80" t="s">
        <v>4092</v>
      </c>
      <c r="AI208" s="80">
        <v>12837</v>
      </c>
      <c r="AJ208" s="80">
        <v>7</v>
      </c>
      <c r="AK208" s="80">
        <v>186</v>
      </c>
      <c r="AL208" s="80">
        <v>1</v>
      </c>
      <c r="AM208" s="80" t="s">
        <v>4098</v>
      </c>
      <c r="AN208" s="96" t="str">
        <f>HYPERLINK("https://www.youtube.com/watch?v=0CCrq62TF7U")</f>
        <v>https://www.youtube.com/watch?v=0CCrq62TF7U</v>
      </c>
      <c r="AO208" s="80" t="str">
        <f>REPLACE(INDEX(GroupVertices[Group],MATCH(Vertices[[#This Row],[Vertex]],GroupVertices[Vertex],0)),1,1,"")</f>
        <v>1</v>
      </c>
      <c r="AP208" s="48"/>
      <c r="AQ208" s="49"/>
      <c r="AR208" s="48"/>
      <c r="AS208" s="49"/>
      <c r="AT208" s="48"/>
      <c r="AU208" s="49"/>
      <c r="AV208" s="48"/>
      <c r="AW208" s="49"/>
      <c r="AX208" s="48"/>
      <c r="AY208" s="48"/>
      <c r="AZ208" s="48"/>
      <c r="BA208" s="48"/>
      <c r="BB208" s="48"/>
      <c r="BC208" s="2"/>
      <c r="BD208" s="3"/>
      <c r="BE208" s="3"/>
      <c r="BF208" s="3"/>
      <c r="BG208" s="3"/>
    </row>
    <row r="209" spans="1:59" ht="15">
      <c r="A209" s="66" t="s">
        <v>917</v>
      </c>
      <c r="B209" s="67" t="s">
        <v>4456</v>
      </c>
      <c r="C209" s="67" t="s">
        <v>56</v>
      </c>
      <c r="D209" s="68">
        <v>54</v>
      </c>
      <c r="E209" s="70"/>
      <c r="F209" s="97" t="str">
        <f>HYPERLINK("https://i.ytimg.com/vi/EvO4HwI7Zi4/default.jpg")</f>
        <v>https://i.ytimg.com/vi/EvO4HwI7Zi4/default.jpg</v>
      </c>
      <c r="G209" s="67"/>
      <c r="H209" s="71" t="s">
        <v>1655</v>
      </c>
      <c r="I209" s="72"/>
      <c r="J209" s="72" t="s">
        <v>159</v>
      </c>
      <c r="K209" s="71" t="s">
        <v>1655</v>
      </c>
      <c r="L209" s="75">
        <v>445.35555555555555</v>
      </c>
      <c r="M209" s="76">
        <v>1874.0322265625</v>
      </c>
      <c r="N209" s="76">
        <v>4114.24951171875</v>
      </c>
      <c r="O209" s="77"/>
      <c r="P209" s="78"/>
      <c r="Q209" s="78"/>
      <c r="R209" s="82"/>
      <c r="S209" s="48">
        <v>2</v>
      </c>
      <c r="T209" s="48">
        <v>0</v>
      </c>
      <c r="U209" s="49">
        <v>0</v>
      </c>
      <c r="V209" s="49">
        <v>0.001439</v>
      </c>
      <c r="W209" s="49">
        <v>0.00095</v>
      </c>
      <c r="X209" s="49">
        <v>0.274896</v>
      </c>
      <c r="Y209" s="49">
        <v>1</v>
      </c>
      <c r="Z209" s="49">
        <v>0</v>
      </c>
      <c r="AA209" s="73">
        <v>209</v>
      </c>
      <c r="AB209" s="73"/>
      <c r="AC209" s="74"/>
      <c r="AD209" s="80" t="s">
        <v>1655</v>
      </c>
      <c r="AE209" s="80" t="s">
        <v>2291</v>
      </c>
      <c r="AF209" s="80" t="s">
        <v>2872</v>
      </c>
      <c r="AG209" s="80" t="s">
        <v>3353</v>
      </c>
      <c r="AH209" s="80" t="s">
        <v>4071</v>
      </c>
      <c r="AI209" s="80">
        <v>6996</v>
      </c>
      <c r="AJ209" s="80">
        <v>0</v>
      </c>
      <c r="AK209" s="80">
        <v>38</v>
      </c>
      <c r="AL209" s="80">
        <v>1</v>
      </c>
      <c r="AM209" s="80" t="s">
        <v>4098</v>
      </c>
      <c r="AN209" s="96" t="str">
        <f>HYPERLINK("https://www.youtube.com/watch?v=EvO4HwI7Zi4")</f>
        <v>https://www.youtube.com/watch?v=EvO4HwI7Zi4</v>
      </c>
      <c r="AO209" s="80" t="str">
        <f>REPLACE(INDEX(GroupVertices[Group],MATCH(Vertices[[#This Row],[Vertex]],GroupVertices[Vertex],0)),1,1,"")</f>
        <v>2</v>
      </c>
      <c r="AP209" s="48">
        <v>1</v>
      </c>
      <c r="AQ209" s="49">
        <v>12.5</v>
      </c>
      <c r="AR209" s="48">
        <v>0</v>
      </c>
      <c r="AS209" s="49">
        <v>0</v>
      </c>
      <c r="AT209" s="48">
        <v>0</v>
      </c>
      <c r="AU209" s="49">
        <v>0</v>
      </c>
      <c r="AV209" s="48">
        <v>7</v>
      </c>
      <c r="AW209" s="49">
        <v>87.5</v>
      </c>
      <c r="AX209" s="48">
        <v>8</v>
      </c>
      <c r="AY209" s="48"/>
      <c r="AZ209" s="48"/>
      <c r="BA209" s="48"/>
      <c r="BB209" s="48"/>
      <c r="BC209" s="2"/>
      <c r="BD209" s="3"/>
      <c r="BE209" s="3"/>
      <c r="BF209" s="3"/>
      <c r="BG209" s="3"/>
    </row>
    <row r="210" spans="1:59" ht="15">
      <c r="A210" s="66" t="s">
        <v>407</v>
      </c>
      <c r="B210" s="67" t="s">
        <v>4456</v>
      </c>
      <c r="C210" s="67" t="s">
        <v>56</v>
      </c>
      <c r="D210" s="68">
        <v>32</v>
      </c>
      <c r="E210" s="70"/>
      <c r="F210" s="97" t="str">
        <f>HYPERLINK("https://i.ytimg.com/vi/zayMkF32k7Q/default.jpg")</f>
        <v>https://i.ytimg.com/vi/zayMkF32k7Q/default.jpg</v>
      </c>
      <c r="G210" s="67"/>
      <c r="H210" s="71" t="s">
        <v>1114</v>
      </c>
      <c r="I210" s="72"/>
      <c r="J210" s="72" t="s">
        <v>159</v>
      </c>
      <c r="K210" s="71" t="s">
        <v>1114</v>
      </c>
      <c r="L210" s="75">
        <v>223.17777777777778</v>
      </c>
      <c r="M210" s="76">
        <v>106.14649963378906</v>
      </c>
      <c r="N210" s="76">
        <v>5610.89208984375</v>
      </c>
      <c r="O210" s="77"/>
      <c r="P210" s="78"/>
      <c r="Q210" s="78"/>
      <c r="R210" s="82"/>
      <c r="S210" s="48">
        <v>1</v>
      </c>
      <c r="T210" s="48">
        <v>0</v>
      </c>
      <c r="U210" s="49">
        <v>0</v>
      </c>
      <c r="V210" s="49">
        <v>0.001147</v>
      </c>
      <c r="W210" s="49">
        <v>7.8E-05</v>
      </c>
      <c r="X210" s="49">
        <v>0.24103</v>
      </c>
      <c r="Y210" s="49">
        <v>0</v>
      </c>
      <c r="Z210" s="49">
        <v>0</v>
      </c>
      <c r="AA210" s="73">
        <v>210</v>
      </c>
      <c r="AB210" s="73"/>
      <c r="AC210" s="74"/>
      <c r="AD210" s="80" t="s">
        <v>1114</v>
      </c>
      <c r="AE210" s="80"/>
      <c r="AF210" s="80" t="s">
        <v>2434</v>
      </c>
      <c r="AG210" s="80" t="s">
        <v>2959</v>
      </c>
      <c r="AH210" s="80" t="s">
        <v>3527</v>
      </c>
      <c r="AI210" s="80">
        <v>5603</v>
      </c>
      <c r="AJ210" s="80">
        <v>0</v>
      </c>
      <c r="AK210" s="80">
        <v>58</v>
      </c>
      <c r="AL210" s="80">
        <v>1</v>
      </c>
      <c r="AM210" s="80" t="s">
        <v>4098</v>
      </c>
      <c r="AN210" s="96" t="str">
        <f>HYPERLINK("https://www.youtube.com/watch?v=zayMkF32k7Q")</f>
        <v>https://www.youtube.com/watch?v=zayMkF32k7Q</v>
      </c>
      <c r="AO210" s="80" t="str">
        <f>REPLACE(INDEX(GroupVertices[Group],MATCH(Vertices[[#This Row],[Vertex]],GroupVertices[Vertex],0)),1,1,"")</f>
        <v>1</v>
      </c>
      <c r="AP210" s="48">
        <v>0</v>
      </c>
      <c r="AQ210" s="49">
        <v>0</v>
      </c>
      <c r="AR210" s="48">
        <v>0</v>
      </c>
      <c r="AS210" s="49">
        <v>0</v>
      </c>
      <c r="AT210" s="48">
        <v>0</v>
      </c>
      <c r="AU210" s="49">
        <v>0</v>
      </c>
      <c r="AV210" s="48">
        <v>9</v>
      </c>
      <c r="AW210" s="49">
        <v>100</v>
      </c>
      <c r="AX210" s="48">
        <v>9</v>
      </c>
      <c r="AY210" s="48"/>
      <c r="AZ210" s="48"/>
      <c r="BA210" s="48"/>
      <c r="BB210" s="48"/>
      <c r="BC210" s="2"/>
      <c r="BD210" s="3"/>
      <c r="BE210" s="3"/>
      <c r="BF210" s="3"/>
      <c r="BG210" s="3"/>
    </row>
    <row r="211" spans="1:59" ht="15">
      <c r="A211" s="66" t="s">
        <v>931</v>
      </c>
      <c r="B211" s="67" t="s">
        <v>4456</v>
      </c>
      <c r="C211" s="67" t="s">
        <v>56</v>
      </c>
      <c r="D211" s="68">
        <v>54</v>
      </c>
      <c r="E211" s="70"/>
      <c r="F211" s="97" t="str">
        <f>HYPERLINK("https://i.ytimg.com/vi/L36Xv_nF2SI/default.jpg")</f>
        <v>https://i.ytimg.com/vi/L36Xv_nF2SI/default.jpg</v>
      </c>
      <c r="G211" s="67"/>
      <c r="H211" s="71" t="s">
        <v>1669</v>
      </c>
      <c r="I211" s="72"/>
      <c r="J211" s="72" t="s">
        <v>159</v>
      </c>
      <c r="K211" s="71" t="s">
        <v>1669</v>
      </c>
      <c r="L211" s="75">
        <v>445.35555555555555</v>
      </c>
      <c r="M211" s="76">
        <v>5349.12841796875</v>
      </c>
      <c r="N211" s="76">
        <v>6475.95166015625</v>
      </c>
      <c r="O211" s="77"/>
      <c r="P211" s="78"/>
      <c r="Q211" s="78"/>
      <c r="R211" s="82"/>
      <c r="S211" s="48">
        <v>2</v>
      </c>
      <c r="T211" s="48">
        <v>0</v>
      </c>
      <c r="U211" s="49">
        <v>0</v>
      </c>
      <c r="V211" s="49">
        <v>0.001468</v>
      </c>
      <c r="W211" s="49">
        <v>0.001036</v>
      </c>
      <c r="X211" s="49">
        <v>0.274508</v>
      </c>
      <c r="Y211" s="49">
        <v>1</v>
      </c>
      <c r="Z211" s="49">
        <v>0</v>
      </c>
      <c r="AA211" s="73">
        <v>211</v>
      </c>
      <c r="AB211" s="73"/>
      <c r="AC211" s="74"/>
      <c r="AD211" s="80" t="s">
        <v>1669</v>
      </c>
      <c r="AE211" s="80" t="s">
        <v>2304</v>
      </c>
      <c r="AF211" s="80" t="s">
        <v>2885</v>
      </c>
      <c r="AG211" s="80" t="s">
        <v>3028</v>
      </c>
      <c r="AH211" s="80" t="s">
        <v>4085</v>
      </c>
      <c r="AI211" s="80">
        <v>4604</v>
      </c>
      <c r="AJ211" s="80">
        <v>1</v>
      </c>
      <c r="AK211" s="80">
        <v>26</v>
      </c>
      <c r="AL211" s="80">
        <v>1</v>
      </c>
      <c r="AM211" s="80" t="s">
        <v>4098</v>
      </c>
      <c r="AN211" s="96" t="str">
        <f>HYPERLINK("https://www.youtube.com/watch?v=L36Xv_nF2SI")</f>
        <v>https://www.youtube.com/watch?v=L36Xv_nF2SI</v>
      </c>
      <c r="AO211" s="80" t="str">
        <f>REPLACE(INDEX(GroupVertices[Group],MATCH(Vertices[[#This Row],[Vertex]],GroupVertices[Vertex],0)),1,1,"")</f>
        <v>1</v>
      </c>
      <c r="AP211" s="48">
        <v>0</v>
      </c>
      <c r="AQ211" s="49">
        <v>0</v>
      </c>
      <c r="AR211" s="48">
        <v>0</v>
      </c>
      <c r="AS211" s="49">
        <v>0</v>
      </c>
      <c r="AT211" s="48">
        <v>0</v>
      </c>
      <c r="AU211" s="49">
        <v>0</v>
      </c>
      <c r="AV211" s="48">
        <v>10</v>
      </c>
      <c r="AW211" s="49">
        <v>100</v>
      </c>
      <c r="AX211" s="48">
        <v>10</v>
      </c>
      <c r="AY211" s="48"/>
      <c r="AZ211" s="48"/>
      <c r="BA211" s="48"/>
      <c r="BB211" s="48"/>
      <c r="BC211" s="2"/>
      <c r="BD211" s="3"/>
      <c r="BE211" s="3"/>
      <c r="BF211" s="3"/>
      <c r="BG211" s="3"/>
    </row>
    <row r="212" spans="1:59" ht="15">
      <c r="A212" s="66" t="s">
        <v>884</v>
      </c>
      <c r="B212" s="67" t="s">
        <v>4456</v>
      </c>
      <c r="C212" s="67" t="s">
        <v>56</v>
      </c>
      <c r="D212" s="68">
        <v>54</v>
      </c>
      <c r="E212" s="70"/>
      <c r="F212" s="97" t="str">
        <f>HYPERLINK("https://i.ytimg.com/vi/i0W6XCSEfAE/default.jpg")</f>
        <v>https://i.ytimg.com/vi/i0W6XCSEfAE/default.jpg</v>
      </c>
      <c r="G212" s="67"/>
      <c r="H212" s="71" t="s">
        <v>1623</v>
      </c>
      <c r="I212" s="72"/>
      <c r="J212" s="72" t="s">
        <v>159</v>
      </c>
      <c r="K212" s="71" t="s">
        <v>1623</v>
      </c>
      <c r="L212" s="75">
        <v>445.35555555555555</v>
      </c>
      <c r="M212" s="76">
        <v>3196.69677734375</v>
      </c>
      <c r="N212" s="76">
        <v>4392.62451171875</v>
      </c>
      <c r="O212" s="77"/>
      <c r="P212" s="78"/>
      <c r="Q212" s="78"/>
      <c r="R212" s="82"/>
      <c r="S212" s="48">
        <v>2</v>
      </c>
      <c r="T212" s="48">
        <v>0</v>
      </c>
      <c r="U212" s="49">
        <v>0</v>
      </c>
      <c r="V212" s="49">
        <v>0.001414</v>
      </c>
      <c r="W212" s="49">
        <v>0.000925</v>
      </c>
      <c r="X212" s="49">
        <v>0.272509</v>
      </c>
      <c r="Y212" s="49">
        <v>0.5</v>
      </c>
      <c r="Z212" s="49">
        <v>0</v>
      </c>
      <c r="AA212" s="73">
        <v>212</v>
      </c>
      <c r="AB212" s="73"/>
      <c r="AC212" s="74"/>
      <c r="AD212" s="80" t="s">
        <v>1623</v>
      </c>
      <c r="AE212" s="80" t="s">
        <v>2260</v>
      </c>
      <c r="AF212" s="80" t="s">
        <v>2842</v>
      </c>
      <c r="AG212" s="80" t="s">
        <v>3335</v>
      </c>
      <c r="AH212" s="80" t="s">
        <v>4038</v>
      </c>
      <c r="AI212" s="80">
        <v>2755</v>
      </c>
      <c r="AJ212" s="80">
        <v>0</v>
      </c>
      <c r="AK212" s="80">
        <v>7</v>
      </c>
      <c r="AL212" s="80">
        <v>1</v>
      </c>
      <c r="AM212" s="80" t="s">
        <v>4098</v>
      </c>
      <c r="AN212" s="96" t="str">
        <f>HYPERLINK("https://www.youtube.com/watch?v=i0W6XCSEfAE")</f>
        <v>https://www.youtube.com/watch?v=i0W6XCSEfAE</v>
      </c>
      <c r="AO212" s="80" t="str">
        <f>REPLACE(INDEX(GroupVertices[Group],MATCH(Vertices[[#This Row],[Vertex]],GroupVertices[Vertex],0)),1,1,"")</f>
        <v>2</v>
      </c>
      <c r="AP212" s="48">
        <v>0</v>
      </c>
      <c r="AQ212" s="49">
        <v>0</v>
      </c>
      <c r="AR212" s="48">
        <v>0</v>
      </c>
      <c r="AS212" s="49">
        <v>0</v>
      </c>
      <c r="AT212" s="48">
        <v>0</v>
      </c>
      <c r="AU212" s="49">
        <v>0</v>
      </c>
      <c r="AV212" s="48">
        <v>2</v>
      </c>
      <c r="AW212" s="49">
        <v>100</v>
      </c>
      <c r="AX212" s="48">
        <v>2</v>
      </c>
      <c r="AY212" s="48"/>
      <c r="AZ212" s="48"/>
      <c r="BA212" s="48"/>
      <c r="BB212" s="48"/>
      <c r="BC212" s="2"/>
      <c r="BD212" s="3"/>
      <c r="BE212" s="3"/>
      <c r="BF212" s="3"/>
      <c r="BG212" s="3"/>
    </row>
    <row r="213" spans="1:59" ht="15">
      <c r="A213" s="66" t="s">
        <v>926</v>
      </c>
      <c r="B213" s="67" t="s">
        <v>4456</v>
      </c>
      <c r="C213" s="67" t="s">
        <v>56</v>
      </c>
      <c r="D213" s="68">
        <v>54</v>
      </c>
      <c r="E213" s="70"/>
      <c r="F213" s="97" t="str">
        <f>HYPERLINK("https://i.ytimg.com/vi/EObJsBkBoHE/default.jpg")</f>
        <v>https://i.ytimg.com/vi/EObJsBkBoHE/default.jpg</v>
      </c>
      <c r="G213" s="67"/>
      <c r="H213" s="71" t="s">
        <v>1664</v>
      </c>
      <c r="I213" s="72"/>
      <c r="J213" s="72" t="s">
        <v>159</v>
      </c>
      <c r="K213" s="71" t="s">
        <v>1664</v>
      </c>
      <c r="L213" s="75">
        <v>445.35555555555555</v>
      </c>
      <c r="M213" s="76">
        <v>5739.03662109375</v>
      </c>
      <c r="N213" s="76">
        <v>6610.46875</v>
      </c>
      <c r="O213" s="77"/>
      <c r="P213" s="78"/>
      <c r="Q213" s="78"/>
      <c r="R213" s="82"/>
      <c r="S213" s="48">
        <v>2</v>
      </c>
      <c r="T213" s="48">
        <v>0</v>
      </c>
      <c r="U213" s="49">
        <v>0</v>
      </c>
      <c r="V213" s="49">
        <v>0.001453</v>
      </c>
      <c r="W213" s="49">
        <v>0.000906</v>
      </c>
      <c r="X213" s="49">
        <v>0.2697</v>
      </c>
      <c r="Y213" s="49">
        <v>0.5</v>
      </c>
      <c r="Z213" s="49">
        <v>0</v>
      </c>
      <c r="AA213" s="73">
        <v>213</v>
      </c>
      <c r="AB213" s="73"/>
      <c r="AC213" s="74"/>
      <c r="AD213" s="80" t="s">
        <v>1664</v>
      </c>
      <c r="AE213" s="80" t="s">
        <v>2299</v>
      </c>
      <c r="AF213" s="80" t="s">
        <v>2880</v>
      </c>
      <c r="AG213" s="80" t="s">
        <v>2968</v>
      </c>
      <c r="AH213" s="80" t="s">
        <v>4080</v>
      </c>
      <c r="AI213" s="80">
        <v>2641</v>
      </c>
      <c r="AJ213" s="80">
        <v>2</v>
      </c>
      <c r="AK213" s="80">
        <v>38</v>
      </c>
      <c r="AL213" s="80">
        <v>1</v>
      </c>
      <c r="AM213" s="80" t="s">
        <v>4098</v>
      </c>
      <c r="AN213" s="96" t="str">
        <f>HYPERLINK("https://www.youtube.com/watch?v=EObJsBkBoHE")</f>
        <v>https://www.youtube.com/watch?v=EObJsBkBoHE</v>
      </c>
      <c r="AO213" s="80" t="str">
        <f>REPLACE(INDEX(GroupVertices[Group],MATCH(Vertices[[#This Row],[Vertex]],GroupVertices[Vertex],0)),1,1,"")</f>
        <v>1</v>
      </c>
      <c r="AP213" s="48">
        <v>0</v>
      </c>
      <c r="AQ213" s="49">
        <v>0</v>
      </c>
      <c r="AR213" s="48">
        <v>0</v>
      </c>
      <c r="AS213" s="49">
        <v>0</v>
      </c>
      <c r="AT213" s="48">
        <v>0</v>
      </c>
      <c r="AU213" s="49">
        <v>0</v>
      </c>
      <c r="AV213" s="48">
        <v>6</v>
      </c>
      <c r="AW213" s="49">
        <v>100</v>
      </c>
      <c r="AX213" s="48">
        <v>6</v>
      </c>
      <c r="AY213" s="48"/>
      <c r="AZ213" s="48"/>
      <c r="BA213" s="48"/>
      <c r="BB213" s="48"/>
      <c r="BC213" s="2"/>
      <c r="BD213" s="3"/>
      <c r="BE213" s="3"/>
      <c r="BF213" s="3"/>
      <c r="BG213" s="3"/>
    </row>
    <row r="214" spans="1:59" ht="15">
      <c r="A214" s="66" t="s">
        <v>825</v>
      </c>
      <c r="B214" s="67" t="s">
        <v>4456</v>
      </c>
      <c r="C214" s="67" t="s">
        <v>56</v>
      </c>
      <c r="D214" s="68">
        <v>54</v>
      </c>
      <c r="E214" s="70"/>
      <c r="F214" s="97" t="str">
        <f>HYPERLINK("https://i.ytimg.com/vi/0zluaEMzT_w/default.jpg")</f>
        <v>https://i.ytimg.com/vi/0zluaEMzT_w/default.jpg</v>
      </c>
      <c r="G214" s="67"/>
      <c r="H214" s="71" t="s">
        <v>1564</v>
      </c>
      <c r="I214" s="72"/>
      <c r="J214" s="72" t="s">
        <v>159</v>
      </c>
      <c r="K214" s="71" t="s">
        <v>1564</v>
      </c>
      <c r="L214" s="75">
        <v>445.35555555555555</v>
      </c>
      <c r="M214" s="76">
        <v>8680.4033203125</v>
      </c>
      <c r="N214" s="76">
        <v>4767.84619140625</v>
      </c>
      <c r="O214" s="77"/>
      <c r="P214" s="78"/>
      <c r="Q214" s="78"/>
      <c r="R214" s="82"/>
      <c r="S214" s="48">
        <v>2</v>
      </c>
      <c r="T214" s="48">
        <v>0</v>
      </c>
      <c r="U214" s="49">
        <v>0</v>
      </c>
      <c r="V214" s="49">
        <v>0.001453</v>
      </c>
      <c r="W214" s="49">
        <v>0.000854</v>
      </c>
      <c r="X214" s="49">
        <v>0.27941</v>
      </c>
      <c r="Y214" s="49">
        <v>0.5</v>
      </c>
      <c r="Z214" s="49">
        <v>0</v>
      </c>
      <c r="AA214" s="73">
        <v>214</v>
      </c>
      <c r="AB214" s="73"/>
      <c r="AC214" s="74"/>
      <c r="AD214" s="80" t="s">
        <v>1564</v>
      </c>
      <c r="AE214" s="80" t="s">
        <v>2211</v>
      </c>
      <c r="AF214" s="80" t="s">
        <v>2796</v>
      </c>
      <c r="AG214" s="80" t="s">
        <v>2907</v>
      </c>
      <c r="AH214" s="80" t="s">
        <v>3979</v>
      </c>
      <c r="AI214" s="80">
        <v>146</v>
      </c>
      <c r="AJ214" s="80">
        <v>0</v>
      </c>
      <c r="AK214" s="80">
        <v>0</v>
      </c>
      <c r="AL214" s="80">
        <v>1</v>
      </c>
      <c r="AM214" s="80" t="s">
        <v>4098</v>
      </c>
      <c r="AN214" s="96" t="str">
        <f>HYPERLINK("https://www.youtube.com/watch?v=0zluaEMzT_w")</f>
        <v>https://www.youtube.com/watch?v=0zluaEMzT_w</v>
      </c>
      <c r="AO214" s="80" t="str">
        <f>REPLACE(INDEX(GroupVertices[Group],MATCH(Vertices[[#This Row],[Vertex]],GroupVertices[Vertex],0)),1,1,"")</f>
        <v>3</v>
      </c>
      <c r="AP214" s="48">
        <v>0</v>
      </c>
      <c r="AQ214" s="49">
        <v>0</v>
      </c>
      <c r="AR214" s="48">
        <v>3</v>
      </c>
      <c r="AS214" s="49">
        <v>20</v>
      </c>
      <c r="AT214" s="48">
        <v>0</v>
      </c>
      <c r="AU214" s="49">
        <v>0</v>
      </c>
      <c r="AV214" s="48">
        <v>12</v>
      </c>
      <c r="AW214" s="49">
        <v>80</v>
      </c>
      <c r="AX214" s="48">
        <v>15</v>
      </c>
      <c r="AY214" s="48"/>
      <c r="AZ214" s="48"/>
      <c r="BA214" s="48"/>
      <c r="BB214" s="48"/>
      <c r="BC214" s="2"/>
      <c r="BD214" s="3"/>
      <c r="BE214" s="3"/>
      <c r="BF214" s="3"/>
      <c r="BG214" s="3"/>
    </row>
    <row r="215" spans="1:59" ht="15">
      <c r="A215" s="66" t="s">
        <v>878</v>
      </c>
      <c r="B215" s="67" t="s">
        <v>4456</v>
      </c>
      <c r="C215" s="67" t="s">
        <v>64</v>
      </c>
      <c r="D215" s="68">
        <v>164</v>
      </c>
      <c r="E215" s="70"/>
      <c r="F215" s="97" t="str">
        <f>HYPERLINK("https://i.ytimg.com/vi/ngqWjgZudeE/default.jpg")</f>
        <v>https://i.ytimg.com/vi/ngqWjgZudeE/default.jpg</v>
      </c>
      <c r="G215" s="67"/>
      <c r="H215" s="71" t="s">
        <v>1617</v>
      </c>
      <c r="I215" s="72"/>
      <c r="J215" s="72" t="s">
        <v>75</v>
      </c>
      <c r="K215" s="71" t="s">
        <v>1617</v>
      </c>
      <c r="L215" s="75">
        <v>1556.2444444444445</v>
      </c>
      <c r="M215" s="76">
        <v>4122.787109375</v>
      </c>
      <c r="N215" s="76">
        <v>3446.69140625</v>
      </c>
      <c r="O215" s="77"/>
      <c r="P215" s="78"/>
      <c r="Q215" s="78"/>
      <c r="R215" s="82"/>
      <c r="S215" s="48">
        <v>7</v>
      </c>
      <c r="T215" s="48">
        <v>0</v>
      </c>
      <c r="U215" s="49">
        <v>0</v>
      </c>
      <c r="V215" s="49">
        <v>0.001543</v>
      </c>
      <c r="W215" s="49">
        <v>0.003039</v>
      </c>
      <c r="X215" s="49">
        <v>0.570365</v>
      </c>
      <c r="Y215" s="49">
        <v>0.8571428571428571</v>
      </c>
      <c r="Z215" s="49">
        <v>0</v>
      </c>
      <c r="AA215" s="73">
        <v>215</v>
      </c>
      <c r="AB215" s="73"/>
      <c r="AC215" s="74"/>
      <c r="AD215" s="80" t="s">
        <v>1617</v>
      </c>
      <c r="AE215" s="80" t="s">
        <v>2255</v>
      </c>
      <c r="AF215" s="80" t="s">
        <v>2836</v>
      </c>
      <c r="AG215" s="80" t="s">
        <v>3275</v>
      </c>
      <c r="AH215" s="80" t="s">
        <v>4032</v>
      </c>
      <c r="AI215" s="80">
        <v>8894</v>
      </c>
      <c r="AJ215" s="80">
        <v>0</v>
      </c>
      <c r="AK215" s="80">
        <v>94</v>
      </c>
      <c r="AL215" s="80">
        <v>0</v>
      </c>
      <c r="AM215" s="80" t="s">
        <v>4098</v>
      </c>
      <c r="AN215" s="96" t="str">
        <f>HYPERLINK("https://www.youtube.com/watch?v=ngqWjgZudeE")</f>
        <v>https://www.youtube.com/watch?v=ngqWjgZudeE</v>
      </c>
      <c r="AO215" s="80" t="str">
        <f>REPLACE(INDEX(GroupVertices[Group],MATCH(Vertices[[#This Row],[Vertex]],GroupVertices[Vertex],0)),1,1,"")</f>
        <v>2</v>
      </c>
      <c r="AP215" s="48">
        <v>0</v>
      </c>
      <c r="AQ215" s="49">
        <v>0</v>
      </c>
      <c r="AR215" s="48">
        <v>0</v>
      </c>
      <c r="AS215" s="49">
        <v>0</v>
      </c>
      <c r="AT215" s="48">
        <v>0</v>
      </c>
      <c r="AU215" s="49">
        <v>0</v>
      </c>
      <c r="AV215" s="48">
        <v>12</v>
      </c>
      <c r="AW215" s="49">
        <v>100</v>
      </c>
      <c r="AX215" s="48">
        <v>12</v>
      </c>
      <c r="AY215" s="48"/>
      <c r="AZ215" s="48"/>
      <c r="BA215" s="48"/>
      <c r="BB215" s="48"/>
      <c r="BC215" s="2"/>
      <c r="BD215" s="3"/>
      <c r="BE215" s="3"/>
      <c r="BF215" s="3"/>
      <c r="BG215" s="3"/>
    </row>
    <row r="216" spans="1:59" ht="15">
      <c r="A216" s="66" t="s">
        <v>774</v>
      </c>
      <c r="B216" s="67" t="s">
        <v>4456</v>
      </c>
      <c r="C216" s="67" t="s">
        <v>64</v>
      </c>
      <c r="D216" s="68">
        <v>142</v>
      </c>
      <c r="E216" s="70"/>
      <c r="F216" s="97" t="str">
        <f>HYPERLINK("https://i.ytimg.com/vi/-dB0rwt6_U8/default.jpg")</f>
        <v>https://i.ytimg.com/vi/-dB0rwt6_U8/default.jpg</v>
      </c>
      <c r="G216" s="67"/>
      <c r="H216" s="71" t="s">
        <v>1514</v>
      </c>
      <c r="I216" s="72"/>
      <c r="J216" s="72" t="s">
        <v>75</v>
      </c>
      <c r="K216" s="71" t="s">
        <v>1514</v>
      </c>
      <c r="L216" s="75">
        <v>1334.0666666666666</v>
      </c>
      <c r="M216" s="76">
        <v>5050.76318359375</v>
      </c>
      <c r="N216" s="76">
        <v>3156.809326171875</v>
      </c>
      <c r="O216" s="77"/>
      <c r="P216" s="78"/>
      <c r="Q216" s="78"/>
      <c r="R216" s="82"/>
      <c r="S216" s="48">
        <v>6</v>
      </c>
      <c r="T216" s="48">
        <v>0</v>
      </c>
      <c r="U216" s="49">
        <v>0</v>
      </c>
      <c r="V216" s="49">
        <v>0.001456</v>
      </c>
      <c r="W216" s="49">
        <v>0.002457</v>
      </c>
      <c r="X216" s="49">
        <v>0.494198</v>
      </c>
      <c r="Y216" s="49">
        <v>0.9</v>
      </c>
      <c r="Z216" s="49">
        <v>0</v>
      </c>
      <c r="AA216" s="73">
        <v>216</v>
      </c>
      <c r="AB216" s="73"/>
      <c r="AC216" s="74"/>
      <c r="AD216" s="80" t="s">
        <v>1514</v>
      </c>
      <c r="AE216" s="80" t="s">
        <v>2164</v>
      </c>
      <c r="AF216" s="80" t="s">
        <v>2750</v>
      </c>
      <c r="AG216" s="80" t="s">
        <v>3273</v>
      </c>
      <c r="AH216" s="80" t="s">
        <v>3928</v>
      </c>
      <c r="AI216" s="80">
        <v>565</v>
      </c>
      <c r="AJ216" s="80">
        <v>4</v>
      </c>
      <c r="AK216" s="80">
        <v>9</v>
      </c>
      <c r="AL216" s="80">
        <v>0</v>
      </c>
      <c r="AM216" s="80" t="s">
        <v>4098</v>
      </c>
      <c r="AN216" s="96" t="str">
        <f>HYPERLINK("https://www.youtube.com/watch?v=-dB0rwt6_U8")</f>
        <v>https://www.youtube.com/watch?v=-dB0rwt6_U8</v>
      </c>
      <c r="AO216" s="80" t="str">
        <f>REPLACE(INDEX(GroupVertices[Group],MATCH(Vertices[[#This Row],[Vertex]],GroupVertices[Vertex],0)),1,1,"")</f>
        <v>2</v>
      </c>
      <c r="AP216" s="48">
        <v>0</v>
      </c>
      <c r="AQ216" s="49">
        <v>0</v>
      </c>
      <c r="AR216" s="48">
        <v>0</v>
      </c>
      <c r="AS216" s="49">
        <v>0</v>
      </c>
      <c r="AT216" s="48">
        <v>0</v>
      </c>
      <c r="AU216" s="49">
        <v>0</v>
      </c>
      <c r="AV216" s="48">
        <v>11</v>
      </c>
      <c r="AW216" s="49">
        <v>100</v>
      </c>
      <c r="AX216" s="48">
        <v>11</v>
      </c>
      <c r="AY216" s="48"/>
      <c r="AZ216" s="48"/>
      <c r="BA216" s="48"/>
      <c r="BB216" s="48"/>
      <c r="BC216" s="2"/>
      <c r="BD216" s="3"/>
      <c r="BE216" s="3"/>
      <c r="BF216" s="3"/>
      <c r="BG216" s="3"/>
    </row>
    <row r="217" spans="1:59" ht="15">
      <c r="A217" s="66" t="s">
        <v>913</v>
      </c>
      <c r="B217" s="67" t="s">
        <v>4456</v>
      </c>
      <c r="C217" s="67" t="s">
        <v>56</v>
      </c>
      <c r="D217" s="68">
        <v>98</v>
      </c>
      <c r="E217" s="70"/>
      <c r="F217" s="97" t="str">
        <f>HYPERLINK("https://i.ytimg.com/vi/N3yv5E-hjbc/default.jpg")</f>
        <v>https://i.ytimg.com/vi/N3yv5E-hjbc/default.jpg</v>
      </c>
      <c r="G217" s="67"/>
      <c r="H217" s="71" t="s">
        <v>1651</v>
      </c>
      <c r="I217" s="72"/>
      <c r="J217" s="72" t="s">
        <v>159</v>
      </c>
      <c r="K217" s="71" t="s">
        <v>1651</v>
      </c>
      <c r="L217" s="75">
        <v>889.7111111111111</v>
      </c>
      <c r="M217" s="76">
        <v>4967.68017578125</v>
      </c>
      <c r="N217" s="76">
        <v>6920.2744140625</v>
      </c>
      <c r="O217" s="77"/>
      <c r="P217" s="78"/>
      <c r="Q217" s="78"/>
      <c r="R217" s="82"/>
      <c r="S217" s="48">
        <v>4</v>
      </c>
      <c r="T217" s="48">
        <v>0</v>
      </c>
      <c r="U217" s="49">
        <v>0</v>
      </c>
      <c r="V217" s="49">
        <v>0.001495</v>
      </c>
      <c r="W217" s="49">
        <v>0.001726</v>
      </c>
      <c r="X217" s="49">
        <v>0.395381</v>
      </c>
      <c r="Y217" s="49">
        <v>0.75</v>
      </c>
      <c r="Z217" s="49">
        <v>0</v>
      </c>
      <c r="AA217" s="73">
        <v>217</v>
      </c>
      <c r="AB217" s="73"/>
      <c r="AC217" s="74"/>
      <c r="AD217" s="80" t="s">
        <v>1651</v>
      </c>
      <c r="AE217" s="80" t="s">
        <v>2287</v>
      </c>
      <c r="AF217" s="80" t="s">
        <v>2869</v>
      </c>
      <c r="AG217" s="80" t="s">
        <v>3355</v>
      </c>
      <c r="AH217" s="80" t="s">
        <v>4067</v>
      </c>
      <c r="AI217" s="80">
        <v>16896</v>
      </c>
      <c r="AJ217" s="80">
        <v>8</v>
      </c>
      <c r="AK217" s="80">
        <v>81</v>
      </c>
      <c r="AL217" s="80">
        <v>0</v>
      </c>
      <c r="AM217" s="80" t="s">
        <v>4098</v>
      </c>
      <c r="AN217" s="96" t="str">
        <f>HYPERLINK("https://www.youtube.com/watch?v=N3yv5E-hjbc")</f>
        <v>https://www.youtube.com/watch?v=N3yv5E-hjbc</v>
      </c>
      <c r="AO217" s="80" t="str">
        <f>REPLACE(INDEX(GroupVertices[Group],MATCH(Vertices[[#This Row],[Vertex]],GroupVertices[Vertex],0)),1,1,"")</f>
        <v>1</v>
      </c>
      <c r="AP217" s="48">
        <v>0</v>
      </c>
      <c r="AQ217" s="49">
        <v>0</v>
      </c>
      <c r="AR217" s="48">
        <v>0</v>
      </c>
      <c r="AS217" s="49">
        <v>0</v>
      </c>
      <c r="AT217" s="48">
        <v>0</v>
      </c>
      <c r="AU217" s="49">
        <v>0</v>
      </c>
      <c r="AV217" s="48">
        <v>16</v>
      </c>
      <c r="AW217" s="49">
        <v>100</v>
      </c>
      <c r="AX217" s="48">
        <v>16</v>
      </c>
      <c r="AY217" s="48"/>
      <c r="AZ217" s="48"/>
      <c r="BA217" s="48"/>
      <c r="BB217" s="48"/>
      <c r="BC217" s="2"/>
      <c r="BD217" s="3"/>
      <c r="BE217" s="3"/>
      <c r="BF217" s="3"/>
      <c r="BG217" s="3"/>
    </row>
    <row r="218" spans="1:59" ht="15">
      <c r="A218" s="66" t="s">
        <v>790</v>
      </c>
      <c r="B218" s="67" t="s">
        <v>4456</v>
      </c>
      <c r="C218" s="67" t="s">
        <v>56</v>
      </c>
      <c r="D218" s="68">
        <v>98</v>
      </c>
      <c r="E218" s="70"/>
      <c r="F218" s="97" t="str">
        <f>HYPERLINK("https://i.ytimg.com/vi/mIxbWIHzhQg/default.jpg")</f>
        <v>https://i.ytimg.com/vi/mIxbWIHzhQg/default.jpg</v>
      </c>
      <c r="G218" s="67"/>
      <c r="H218" s="71" t="s">
        <v>1530</v>
      </c>
      <c r="I218" s="72"/>
      <c r="J218" s="72" t="s">
        <v>159</v>
      </c>
      <c r="K218" s="71" t="s">
        <v>1530</v>
      </c>
      <c r="L218" s="75">
        <v>889.7111111111111</v>
      </c>
      <c r="M218" s="76">
        <v>521.3115234375</v>
      </c>
      <c r="N218" s="76">
        <v>6983.62548828125</v>
      </c>
      <c r="O218" s="77"/>
      <c r="P218" s="78"/>
      <c r="Q218" s="78"/>
      <c r="R218" s="82"/>
      <c r="S218" s="48">
        <v>4</v>
      </c>
      <c r="T218" s="48">
        <v>0</v>
      </c>
      <c r="U218" s="49">
        <v>0</v>
      </c>
      <c r="V218" s="49">
        <v>0.001515</v>
      </c>
      <c r="W218" s="49">
        <v>0.00133</v>
      </c>
      <c r="X218" s="49">
        <v>0.405651</v>
      </c>
      <c r="Y218" s="49">
        <v>0.6666666666666666</v>
      </c>
      <c r="Z218" s="49">
        <v>0</v>
      </c>
      <c r="AA218" s="73">
        <v>218</v>
      </c>
      <c r="AB218" s="73"/>
      <c r="AC218" s="74"/>
      <c r="AD218" s="80" t="s">
        <v>1530</v>
      </c>
      <c r="AE218" s="80" t="s">
        <v>2179</v>
      </c>
      <c r="AF218" s="80" t="s">
        <v>2765</v>
      </c>
      <c r="AG218" s="80" t="s">
        <v>3284</v>
      </c>
      <c r="AH218" s="80" t="s">
        <v>3944</v>
      </c>
      <c r="AI218" s="80">
        <v>1392</v>
      </c>
      <c r="AJ218" s="80">
        <v>0</v>
      </c>
      <c r="AK218" s="80">
        <v>7</v>
      </c>
      <c r="AL218" s="80">
        <v>0</v>
      </c>
      <c r="AM218" s="80" t="s">
        <v>4098</v>
      </c>
      <c r="AN218" s="96" t="str">
        <f>HYPERLINK("https://www.youtube.com/watch?v=mIxbWIHzhQg")</f>
        <v>https://www.youtube.com/watch?v=mIxbWIHzhQg</v>
      </c>
      <c r="AO218" s="80" t="str">
        <f>REPLACE(INDEX(GroupVertices[Group],MATCH(Vertices[[#This Row],[Vertex]],GroupVertices[Vertex],0)),1,1,"")</f>
        <v>1</v>
      </c>
      <c r="AP218" s="48">
        <v>0</v>
      </c>
      <c r="AQ218" s="49">
        <v>0</v>
      </c>
      <c r="AR218" s="48">
        <v>0</v>
      </c>
      <c r="AS218" s="49">
        <v>0</v>
      </c>
      <c r="AT218" s="48">
        <v>0</v>
      </c>
      <c r="AU218" s="49">
        <v>0</v>
      </c>
      <c r="AV218" s="48">
        <v>11</v>
      </c>
      <c r="AW218" s="49">
        <v>100</v>
      </c>
      <c r="AX218" s="48">
        <v>11</v>
      </c>
      <c r="AY218" s="48"/>
      <c r="AZ218" s="48"/>
      <c r="BA218" s="48"/>
      <c r="BB218" s="48"/>
      <c r="BC218" s="2"/>
      <c r="BD218" s="3"/>
      <c r="BE218" s="3"/>
      <c r="BF218" s="3"/>
      <c r="BG218" s="3"/>
    </row>
    <row r="219" spans="1:59" ht="15">
      <c r="A219" s="66" t="s">
        <v>830</v>
      </c>
      <c r="B219" s="67" t="s">
        <v>4456</v>
      </c>
      <c r="C219" s="67" t="s">
        <v>56</v>
      </c>
      <c r="D219" s="68">
        <v>98</v>
      </c>
      <c r="E219" s="70"/>
      <c r="F219" s="97" t="str">
        <f>HYPERLINK("https://i.ytimg.com/vi/pfwAnOPXxAk/default.jpg")</f>
        <v>https://i.ytimg.com/vi/pfwAnOPXxAk/default.jpg</v>
      </c>
      <c r="G219" s="67"/>
      <c r="H219" s="71" t="s">
        <v>1569</v>
      </c>
      <c r="I219" s="72"/>
      <c r="J219" s="72" t="s">
        <v>159</v>
      </c>
      <c r="K219" s="71" t="s">
        <v>1569</v>
      </c>
      <c r="L219" s="75">
        <v>889.7111111111111</v>
      </c>
      <c r="M219" s="76">
        <v>8103.61376953125</v>
      </c>
      <c r="N219" s="76">
        <v>5467.15478515625</v>
      </c>
      <c r="O219" s="77"/>
      <c r="P219" s="78"/>
      <c r="Q219" s="78"/>
      <c r="R219" s="82"/>
      <c r="S219" s="48">
        <v>4</v>
      </c>
      <c r="T219" s="48">
        <v>0</v>
      </c>
      <c r="U219" s="49">
        <v>0</v>
      </c>
      <c r="V219" s="49">
        <v>0.001481</v>
      </c>
      <c r="W219" s="49">
        <v>0.001657</v>
      </c>
      <c r="X219" s="49">
        <v>0.397765</v>
      </c>
      <c r="Y219" s="49">
        <v>0.75</v>
      </c>
      <c r="Z219" s="49">
        <v>0</v>
      </c>
      <c r="AA219" s="73">
        <v>219</v>
      </c>
      <c r="AB219" s="73"/>
      <c r="AC219" s="74"/>
      <c r="AD219" s="80" t="s">
        <v>1569</v>
      </c>
      <c r="AE219" s="80" t="s">
        <v>2216</v>
      </c>
      <c r="AF219" s="80" t="s">
        <v>2799</v>
      </c>
      <c r="AG219" s="80" t="s">
        <v>2907</v>
      </c>
      <c r="AH219" s="80" t="s">
        <v>3984</v>
      </c>
      <c r="AI219" s="80">
        <v>26</v>
      </c>
      <c r="AJ219" s="80">
        <v>0</v>
      </c>
      <c r="AK219" s="80">
        <v>1</v>
      </c>
      <c r="AL219" s="80">
        <v>0</v>
      </c>
      <c r="AM219" s="80" t="s">
        <v>4098</v>
      </c>
      <c r="AN219" s="96" t="str">
        <f>HYPERLINK("https://www.youtube.com/watch?v=pfwAnOPXxAk")</f>
        <v>https://www.youtube.com/watch?v=pfwAnOPXxAk</v>
      </c>
      <c r="AO219" s="80" t="str">
        <f>REPLACE(INDEX(GroupVertices[Group],MATCH(Vertices[[#This Row],[Vertex]],GroupVertices[Vertex],0)),1,1,"")</f>
        <v>3</v>
      </c>
      <c r="AP219" s="48">
        <v>0</v>
      </c>
      <c r="AQ219" s="49">
        <v>0</v>
      </c>
      <c r="AR219" s="48">
        <v>4</v>
      </c>
      <c r="AS219" s="49">
        <v>21.05263157894737</v>
      </c>
      <c r="AT219" s="48">
        <v>0</v>
      </c>
      <c r="AU219" s="49">
        <v>0</v>
      </c>
      <c r="AV219" s="48">
        <v>15</v>
      </c>
      <c r="AW219" s="49">
        <v>78.94736842105263</v>
      </c>
      <c r="AX219" s="48">
        <v>19</v>
      </c>
      <c r="AY219" s="48"/>
      <c r="AZ219" s="48"/>
      <c r="BA219" s="48"/>
      <c r="BB219" s="48"/>
      <c r="BC219" s="2"/>
      <c r="BD219" s="3"/>
      <c r="BE219" s="3"/>
      <c r="BF219" s="3"/>
      <c r="BG219" s="3"/>
    </row>
    <row r="220" spans="1:59" ht="15">
      <c r="A220" s="66" t="s">
        <v>933</v>
      </c>
      <c r="B220" s="67" t="s">
        <v>4456</v>
      </c>
      <c r="C220" s="67" t="s">
        <v>56</v>
      </c>
      <c r="D220" s="68">
        <v>76</v>
      </c>
      <c r="E220" s="70"/>
      <c r="F220" s="97" t="str">
        <f>HYPERLINK("https://i.ytimg.com/vi/dIAnk9dLzF0/default.jpg")</f>
        <v>https://i.ytimg.com/vi/dIAnk9dLzF0/default.jpg</v>
      </c>
      <c r="G220" s="67"/>
      <c r="H220" s="71" t="s">
        <v>1671</v>
      </c>
      <c r="I220" s="72"/>
      <c r="J220" s="72" t="s">
        <v>159</v>
      </c>
      <c r="K220" s="71" t="s">
        <v>1671</v>
      </c>
      <c r="L220" s="75">
        <v>667.5333333333333</v>
      </c>
      <c r="M220" s="76">
        <v>5466.02783203125</v>
      </c>
      <c r="N220" s="76">
        <v>7010.85693359375</v>
      </c>
      <c r="O220" s="77"/>
      <c r="P220" s="78"/>
      <c r="Q220" s="78"/>
      <c r="R220" s="82"/>
      <c r="S220" s="48">
        <v>3</v>
      </c>
      <c r="T220" s="48">
        <v>0</v>
      </c>
      <c r="U220" s="49">
        <v>0</v>
      </c>
      <c r="V220" s="49">
        <v>0.001499</v>
      </c>
      <c r="W220" s="49">
        <v>0.00142</v>
      </c>
      <c r="X220" s="49">
        <v>0.33681</v>
      </c>
      <c r="Y220" s="49">
        <v>0.8333333333333334</v>
      </c>
      <c r="Z220" s="49">
        <v>0</v>
      </c>
      <c r="AA220" s="73">
        <v>220</v>
      </c>
      <c r="AB220" s="73"/>
      <c r="AC220" s="74"/>
      <c r="AD220" s="80" t="s">
        <v>1671</v>
      </c>
      <c r="AE220" s="80" t="s">
        <v>1880</v>
      </c>
      <c r="AF220" s="80" t="s">
        <v>2841</v>
      </c>
      <c r="AG220" s="80" t="s">
        <v>3054</v>
      </c>
      <c r="AH220" s="80" t="s">
        <v>4087</v>
      </c>
      <c r="AI220" s="80">
        <v>15115</v>
      </c>
      <c r="AJ220" s="80">
        <v>2</v>
      </c>
      <c r="AK220" s="80">
        <v>38</v>
      </c>
      <c r="AL220" s="80">
        <v>0</v>
      </c>
      <c r="AM220" s="80" t="s">
        <v>4098</v>
      </c>
      <c r="AN220" s="96" t="str">
        <f>HYPERLINK("https://www.youtube.com/watch?v=dIAnk9dLzF0")</f>
        <v>https://www.youtube.com/watch?v=dIAnk9dLzF0</v>
      </c>
      <c r="AO220" s="80" t="str">
        <f>REPLACE(INDEX(GroupVertices[Group],MATCH(Vertices[[#This Row],[Vertex]],GroupVertices[Vertex],0)),1,1,"")</f>
        <v>1</v>
      </c>
      <c r="AP220" s="48">
        <v>0</v>
      </c>
      <c r="AQ220" s="49">
        <v>0</v>
      </c>
      <c r="AR220" s="48">
        <v>0</v>
      </c>
      <c r="AS220" s="49">
        <v>0</v>
      </c>
      <c r="AT220" s="48">
        <v>0</v>
      </c>
      <c r="AU220" s="49">
        <v>0</v>
      </c>
      <c r="AV220" s="48">
        <v>4</v>
      </c>
      <c r="AW220" s="49">
        <v>100</v>
      </c>
      <c r="AX220" s="48">
        <v>4</v>
      </c>
      <c r="AY220" s="48"/>
      <c r="AZ220" s="48"/>
      <c r="BA220" s="48"/>
      <c r="BB220" s="48"/>
      <c r="BC220" s="2"/>
      <c r="BD220" s="3"/>
      <c r="BE220" s="3"/>
      <c r="BF220" s="3"/>
      <c r="BG220" s="3"/>
    </row>
    <row r="221" spans="1:59" ht="15">
      <c r="A221" s="66" t="s">
        <v>871</v>
      </c>
      <c r="B221" s="67" t="s">
        <v>4456</v>
      </c>
      <c r="C221" s="67" t="s">
        <v>56</v>
      </c>
      <c r="D221" s="68">
        <v>76</v>
      </c>
      <c r="E221" s="70"/>
      <c r="F221" s="97" t="str">
        <f>HYPERLINK("https://i.ytimg.com/vi/Y5-5uAC8L4Q/default.jpg")</f>
        <v>https://i.ytimg.com/vi/Y5-5uAC8L4Q/default.jpg</v>
      </c>
      <c r="G221" s="67"/>
      <c r="H221" s="71" t="s">
        <v>1610</v>
      </c>
      <c r="I221" s="72"/>
      <c r="J221" s="72" t="s">
        <v>159</v>
      </c>
      <c r="K221" s="71" t="s">
        <v>1610</v>
      </c>
      <c r="L221" s="75">
        <v>667.5333333333333</v>
      </c>
      <c r="M221" s="76">
        <v>3785.8203125</v>
      </c>
      <c r="N221" s="76">
        <v>5683.51171875</v>
      </c>
      <c r="O221" s="77"/>
      <c r="P221" s="78"/>
      <c r="Q221" s="78"/>
      <c r="R221" s="82"/>
      <c r="S221" s="48">
        <v>3</v>
      </c>
      <c r="T221" s="48">
        <v>0</v>
      </c>
      <c r="U221" s="49">
        <v>0</v>
      </c>
      <c r="V221" s="49">
        <v>0.001497</v>
      </c>
      <c r="W221" s="49">
        <v>0.001191</v>
      </c>
      <c r="X221" s="49">
        <v>0.347982</v>
      </c>
      <c r="Y221" s="49">
        <v>0.6666666666666666</v>
      </c>
      <c r="Z221" s="49">
        <v>0</v>
      </c>
      <c r="AA221" s="73">
        <v>221</v>
      </c>
      <c r="AB221" s="73"/>
      <c r="AC221" s="74"/>
      <c r="AD221" s="80" t="s">
        <v>1610</v>
      </c>
      <c r="AE221" s="80" t="s">
        <v>2249</v>
      </c>
      <c r="AF221" s="80" t="s">
        <v>2831</v>
      </c>
      <c r="AG221" s="80" t="s">
        <v>3115</v>
      </c>
      <c r="AH221" s="80" t="s">
        <v>4025</v>
      </c>
      <c r="AI221" s="80">
        <v>13643</v>
      </c>
      <c r="AJ221" s="80">
        <v>3</v>
      </c>
      <c r="AK221" s="80">
        <v>82</v>
      </c>
      <c r="AL221" s="80">
        <v>0</v>
      </c>
      <c r="AM221" s="80" t="s">
        <v>4098</v>
      </c>
      <c r="AN221" s="96" t="str">
        <f>HYPERLINK("https://www.youtube.com/watch?v=Y5-5uAC8L4Q")</f>
        <v>https://www.youtube.com/watch?v=Y5-5uAC8L4Q</v>
      </c>
      <c r="AO221" s="80" t="str">
        <f>REPLACE(INDEX(GroupVertices[Group],MATCH(Vertices[[#This Row],[Vertex]],GroupVertices[Vertex],0)),1,1,"")</f>
        <v>1</v>
      </c>
      <c r="AP221" s="48">
        <v>0</v>
      </c>
      <c r="AQ221" s="49">
        <v>0</v>
      </c>
      <c r="AR221" s="48">
        <v>3</v>
      </c>
      <c r="AS221" s="49">
        <v>10.344827586206897</v>
      </c>
      <c r="AT221" s="48">
        <v>0</v>
      </c>
      <c r="AU221" s="49">
        <v>0</v>
      </c>
      <c r="AV221" s="48">
        <v>26</v>
      </c>
      <c r="AW221" s="49">
        <v>89.65517241379311</v>
      </c>
      <c r="AX221" s="48">
        <v>29</v>
      </c>
      <c r="AY221" s="48"/>
      <c r="AZ221" s="48"/>
      <c r="BA221" s="48"/>
      <c r="BB221" s="48"/>
      <c r="BC221" s="2"/>
      <c r="BD221" s="3"/>
      <c r="BE221" s="3"/>
      <c r="BF221" s="3"/>
      <c r="BG221" s="3"/>
    </row>
    <row r="222" spans="1:59" ht="15">
      <c r="A222" s="66" t="s">
        <v>883</v>
      </c>
      <c r="B222" s="67" t="s">
        <v>4456</v>
      </c>
      <c r="C222" s="67" t="s">
        <v>56</v>
      </c>
      <c r="D222" s="68">
        <v>76</v>
      </c>
      <c r="E222" s="70"/>
      <c r="F222" s="97" t="str">
        <f>HYPERLINK("https://i.ytimg.com/vi/ZPpYmOp4Urw/default.jpg")</f>
        <v>https://i.ytimg.com/vi/ZPpYmOp4Urw/default.jpg</v>
      </c>
      <c r="G222" s="67"/>
      <c r="H222" s="71" t="s">
        <v>1622</v>
      </c>
      <c r="I222" s="72"/>
      <c r="J222" s="72" t="s">
        <v>159</v>
      </c>
      <c r="K222" s="71" t="s">
        <v>1622</v>
      </c>
      <c r="L222" s="75">
        <v>667.5333333333333</v>
      </c>
      <c r="M222" s="76">
        <v>5380.1572265625</v>
      </c>
      <c r="N222" s="76">
        <v>7375.22265625</v>
      </c>
      <c r="O222" s="77"/>
      <c r="P222" s="78"/>
      <c r="Q222" s="78"/>
      <c r="R222" s="82"/>
      <c r="S222" s="48">
        <v>3</v>
      </c>
      <c r="T222" s="48">
        <v>0</v>
      </c>
      <c r="U222" s="49">
        <v>0</v>
      </c>
      <c r="V222" s="49">
        <v>0.001475</v>
      </c>
      <c r="W222" s="49">
        <v>0.001417</v>
      </c>
      <c r="X222" s="49">
        <v>0.331348</v>
      </c>
      <c r="Y222" s="49">
        <v>0.8333333333333334</v>
      </c>
      <c r="Z222" s="49">
        <v>0</v>
      </c>
      <c r="AA222" s="73">
        <v>222</v>
      </c>
      <c r="AB222" s="73"/>
      <c r="AC222" s="74"/>
      <c r="AD222" s="80" t="s">
        <v>1622</v>
      </c>
      <c r="AE222" s="80" t="s">
        <v>1880</v>
      </c>
      <c r="AF222" s="80" t="s">
        <v>2841</v>
      </c>
      <c r="AG222" s="80" t="s">
        <v>3054</v>
      </c>
      <c r="AH222" s="80" t="s">
        <v>4037</v>
      </c>
      <c r="AI222" s="80">
        <v>12221</v>
      </c>
      <c r="AJ222" s="80">
        <v>8</v>
      </c>
      <c r="AK222" s="80">
        <v>28</v>
      </c>
      <c r="AL222" s="80">
        <v>0</v>
      </c>
      <c r="AM222" s="80" t="s">
        <v>4098</v>
      </c>
      <c r="AN222" s="96" t="str">
        <f>HYPERLINK("https://www.youtube.com/watch?v=ZPpYmOp4Urw")</f>
        <v>https://www.youtube.com/watch?v=ZPpYmOp4Urw</v>
      </c>
      <c r="AO222" s="80" t="str">
        <f>REPLACE(INDEX(GroupVertices[Group],MATCH(Vertices[[#This Row],[Vertex]],GroupVertices[Vertex],0)),1,1,"")</f>
        <v>1</v>
      </c>
      <c r="AP222" s="48">
        <v>0</v>
      </c>
      <c r="AQ222" s="49">
        <v>0</v>
      </c>
      <c r="AR222" s="48">
        <v>0</v>
      </c>
      <c r="AS222" s="49">
        <v>0</v>
      </c>
      <c r="AT222" s="48">
        <v>0</v>
      </c>
      <c r="AU222" s="49">
        <v>0</v>
      </c>
      <c r="AV222" s="48">
        <v>4</v>
      </c>
      <c r="AW222" s="49">
        <v>100</v>
      </c>
      <c r="AX222" s="48">
        <v>4</v>
      </c>
      <c r="AY222" s="48"/>
      <c r="AZ222" s="48"/>
      <c r="BA222" s="48"/>
      <c r="BB222" s="48"/>
      <c r="BC222" s="2"/>
      <c r="BD222" s="3"/>
      <c r="BE222" s="3"/>
      <c r="BF222" s="3"/>
      <c r="BG222" s="3"/>
    </row>
    <row r="223" spans="1:59" ht="15">
      <c r="A223" s="66" t="s">
        <v>551</v>
      </c>
      <c r="B223" s="67" t="s">
        <v>4456</v>
      </c>
      <c r="C223" s="67" t="s">
        <v>56</v>
      </c>
      <c r="D223" s="68">
        <v>76</v>
      </c>
      <c r="E223" s="70"/>
      <c r="F223" s="97" t="str">
        <f>HYPERLINK("https://i.ytimg.com/vi/Tfbu-nGATmY/default.jpg")</f>
        <v>https://i.ytimg.com/vi/Tfbu-nGATmY/default.jpg</v>
      </c>
      <c r="G223" s="67"/>
      <c r="H223" s="71" t="s">
        <v>1284</v>
      </c>
      <c r="I223" s="72"/>
      <c r="J223" s="72" t="s">
        <v>159</v>
      </c>
      <c r="K223" s="71" t="s">
        <v>1284</v>
      </c>
      <c r="L223" s="75">
        <v>667.5333333333333</v>
      </c>
      <c r="M223" s="76">
        <v>6942.44482421875</v>
      </c>
      <c r="N223" s="76">
        <v>5436.380859375</v>
      </c>
      <c r="O223" s="77"/>
      <c r="P223" s="78"/>
      <c r="Q223" s="78"/>
      <c r="R223" s="82"/>
      <c r="S223" s="48">
        <v>3</v>
      </c>
      <c r="T223" s="48">
        <v>0</v>
      </c>
      <c r="U223" s="49">
        <v>0</v>
      </c>
      <c r="V223" s="49">
        <v>0.001431</v>
      </c>
      <c r="W223" s="49">
        <v>0.001186</v>
      </c>
      <c r="X223" s="49">
        <v>0.333184</v>
      </c>
      <c r="Y223" s="49">
        <v>0.8333333333333334</v>
      </c>
      <c r="Z223" s="49">
        <v>0</v>
      </c>
      <c r="AA223" s="73">
        <v>223</v>
      </c>
      <c r="AB223" s="73"/>
      <c r="AC223" s="74"/>
      <c r="AD223" s="80" t="s">
        <v>1284</v>
      </c>
      <c r="AE223" s="80" t="s">
        <v>1958</v>
      </c>
      <c r="AF223" s="80" t="s">
        <v>2565</v>
      </c>
      <c r="AG223" s="80" t="s">
        <v>2907</v>
      </c>
      <c r="AH223" s="80" t="s">
        <v>3696</v>
      </c>
      <c r="AI223" s="80">
        <v>8470</v>
      </c>
      <c r="AJ223" s="80">
        <v>6</v>
      </c>
      <c r="AK223" s="80">
        <v>64</v>
      </c>
      <c r="AL223" s="80">
        <v>0</v>
      </c>
      <c r="AM223" s="80" t="s">
        <v>4098</v>
      </c>
      <c r="AN223" s="96" t="str">
        <f>HYPERLINK("https://www.youtube.com/watch?v=Tfbu-nGATmY")</f>
        <v>https://www.youtube.com/watch?v=Tfbu-nGATmY</v>
      </c>
      <c r="AO223" s="80" t="str">
        <f>REPLACE(INDEX(GroupVertices[Group],MATCH(Vertices[[#This Row],[Vertex]],GroupVertices[Vertex],0)),1,1,"")</f>
        <v>3</v>
      </c>
      <c r="AP223" s="48">
        <v>0</v>
      </c>
      <c r="AQ223" s="49">
        <v>0</v>
      </c>
      <c r="AR223" s="48">
        <v>0</v>
      </c>
      <c r="AS223" s="49">
        <v>0</v>
      </c>
      <c r="AT223" s="48">
        <v>0</v>
      </c>
      <c r="AU223" s="49">
        <v>0</v>
      </c>
      <c r="AV223" s="48">
        <v>7</v>
      </c>
      <c r="AW223" s="49">
        <v>100</v>
      </c>
      <c r="AX223" s="48">
        <v>7</v>
      </c>
      <c r="AY223" s="48"/>
      <c r="AZ223" s="48"/>
      <c r="BA223" s="48"/>
      <c r="BB223" s="48"/>
      <c r="BC223" s="2"/>
      <c r="BD223" s="3"/>
      <c r="BE223" s="3"/>
      <c r="BF223" s="3"/>
      <c r="BG223" s="3"/>
    </row>
    <row r="224" spans="1:59" ht="15">
      <c r="A224" s="66" t="s">
        <v>847</v>
      </c>
      <c r="B224" s="67" t="s">
        <v>4456</v>
      </c>
      <c r="C224" s="67" t="s">
        <v>56</v>
      </c>
      <c r="D224" s="68">
        <v>76</v>
      </c>
      <c r="E224" s="70"/>
      <c r="F224" s="97" t="str">
        <f>HYPERLINK("https://i.ytimg.com/vi/CS0_lZovXm0/default.jpg")</f>
        <v>https://i.ytimg.com/vi/CS0_lZovXm0/default.jpg</v>
      </c>
      <c r="G224" s="67"/>
      <c r="H224" s="71" t="s">
        <v>1586</v>
      </c>
      <c r="I224" s="72"/>
      <c r="J224" s="72" t="s">
        <v>159</v>
      </c>
      <c r="K224" s="71" t="s">
        <v>1586</v>
      </c>
      <c r="L224" s="75">
        <v>667.5333333333333</v>
      </c>
      <c r="M224" s="76">
        <v>9122.873046875</v>
      </c>
      <c r="N224" s="76">
        <v>8753.8740234375</v>
      </c>
      <c r="O224" s="77"/>
      <c r="P224" s="78"/>
      <c r="Q224" s="78"/>
      <c r="R224" s="82"/>
      <c r="S224" s="48">
        <v>3</v>
      </c>
      <c r="T224" s="48">
        <v>0</v>
      </c>
      <c r="U224" s="49">
        <v>0</v>
      </c>
      <c r="V224" s="49">
        <v>0.001522</v>
      </c>
      <c r="W224" s="49">
        <v>0.001251</v>
      </c>
      <c r="X224" s="49">
        <v>0.342146</v>
      </c>
      <c r="Y224" s="49">
        <v>0.5</v>
      </c>
      <c r="Z224" s="49">
        <v>0</v>
      </c>
      <c r="AA224" s="73">
        <v>224</v>
      </c>
      <c r="AB224" s="73"/>
      <c r="AC224" s="74"/>
      <c r="AD224" s="80" t="s">
        <v>1586</v>
      </c>
      <c r="AE224" s="80" t="s">
        <v>2229</v>
      </c>
      <c r="AF224" s="80" t="s">
        <v>2815</v>
      </c>
      <c r="AG224" s="80" t="s">
        <v>2947</v>
      </c>
      <c r="AH224" s="80" t="s">
        <v>4001</v>
      </c>
      <c r="AI224" s="80">
        <v>7568</v>
      </c>
      <c r="AJ224" s="80">
        <v>6</v>
      </c>
      <c r="AK224" s="80">
        <v>44</v>
      </c>
      <c r="AL224" s="80">
        <v>0</v>
      </c>
      <c r="AM224" s="80" t="s">
        <v>4098</v>
      </c>
      <c r="AN224" s="96" t="str">
        <f>HYPERLINK("https://www.youtube.com/watch?v=CS0_lZovXm0")</f>
        <v>https://www.youtube.com/watch?v=CS0_lZovXm0</v>
      </c>
      <c r="AO224" s="80" t="str">
        <f>REPLACE(INDEX(GroupVertices[Group],MATCH(Vertices[[#This Row],[Vertex]],GroupVertices[Vertex],0)),1,1,"")</f>
        <v>3</v>
      </c>
      <c r="AP224" s="48">
        <v>0</v>
      </c>
      <c r="AQ224" s="49">
        <v>0</v>
      </c>
      <c r="AR224" s="48">
        <v>0</v>
      </c>
      <c r="AS224" s="49">
        <v>0</v>
      </c>
      <c r="AT224" s="48">
        <v>0</v>
      </c>
      <c r="AU224" s="49">
        <v>0</v>
      </c>
      <c r="AV224" s="48">
        <v>3</v>
      </c>
      <c r="AW224" s="49">
        <v>100</v>
      </c>
      <c r="AX224" s="48">
        <v>3</v>
      </c>
      <c r="AY224" s="48"/>
      <c r="AZ224" s="48"/>
      <c r="BA224" s="48"/>
      <c r="BB224" s="48"/>
      <c r="BC224" s="2"/>
      <c r="BD224" s="3"/>
      <c r="BE224" s="3"/>
      <c r="BF224" s="3"/>
      <c r="BG224" s="3"/>
    </row>
    <row r="225" spans="1:59" ht="15">
      <c r="A225" s="66" t="s">
        <v>777</v>
      </c>
      <c r="B225" s="67" t="s">
        <v>4456</v>
      </c>
      <c r="C225" s="67" t="s">
        <v>56</v>
      </c>
      <c r="D225" s="68">
        <v>76</v>
      </c>
      <c r="E225" s="70"/>
      <c r="F225" s="97" t="str">
        <f>HYPERLINK("https://i.ytimg.com/vi/7lpvQW360js/default.jpg")</f>
        <v>https://i.ytimg.com/vi/7lpvQW360js/default.jpg</v>
      </c>
      <c r="G225" s="67"/>
      <c r="H225" s="71" t="s">
        <v>1517</v>
      </c>
      <c r="I225" s="72"/>
      <c r="J225" s="72" t="s">
        <v>159</v>
      </c>
      <c r="K225" s="71" t="s">
        <v>1517</v>
      </c>
      <c r="L225" s="75">
        <v>667.5333333333333</v>
      </c>
      <c r="M225" s="76">
        <v>5791.0380859375</v>
      </c>
      <c r="N225" s="76">
        <v>1785.5443115234375</v>
      </c>
      <c r="O225" s="77"/>
      <c r="P225" s="78"/>
      <c r="Q225" s="78"/>
      <c r="R225" s="82"/>
      <c r="S225" s="48">
        <v>3</v>
      </c>
      <c r="T225" s="48">
        <v>0</v>
      </c>
      <c r="U225" s="49">
        <v>0</v>
      </c>
      <c r="V225" s="49">
        <v>0.001403</v>
      </c>
      <c r="W225" s="49">
        <v>0.001218</v>
      </c>
      <c r="X225" s="49">
        <v>0.329001</v>
      </c>
      <c r="Y225" s="49">
        <v>1</v>
      </c>
      <c r="Z225" s="49">
        <v>0</v>
      </c>
      <c r="AA225" s="73">
        <v>225</v>
      </c>
      <c r="AB225" s="73"/>
      <c r="AC225" s="74"/>
      <c r="AD225" s="80" t="s">
        <v>1517</v>
      </c>
      <c r="AE225" s="80" t="s">
        <v>2167</v>
      </c>
      <c r="AF225" s="80" t="s">
        <v>2753</v>
      </c>
      <c r="AG225" s="80" t="s">
        <v>3275</v>
      </c>
      <c r="AH225" s="80" t="s">
        <v>3931</v>
      </c>
      <c r="AI225" s="80">
        <v>7427</v>
      </c>
      <c r="AJ225" s="80">
        <v>3</v>
      </c>
      <c r="AK225" s="80">
        <v>104</v>
      </c>
      <c r="AL225" s="80">
        <v>0</v>
      </c>
      <c r="AM225" s="80" t="s">
        <v>4098</v>
      </c>
      <c r="AN225" s="96" t="str">
        <f>HYPERLINK("https://www.youtube.com/watch?v=7lpvQW360js")</f>
        <v>https://www.youtube.com/watch?v=7lpvQW360js</v>
      </c>
      <c r="AO225" s="80" t="str">
        <f>REPLACE(INDEX(GroupVertices[Group],MATCH(Vertices[[#This Row],[Vertex]],GroupVertices[Vertex],0)),1,1,"")</f>
        <v>2</v>
      </c>
      <c r="AP225" s="48">
        <v>0</v>
      </c>
      <c r="AQ225" s="49">
        <v>0</v>
      </c>
      <c r="AR225" s="48">
        <v>0</v>
      </c>
      <c r="AS225" s="49">
        <v>0</v>
      </c>
      <c r="AT225" s="48">
        <v>0</v>
      </c>
      <c r="AU225" s="49">
        <v>0</v>
      </c>
      <c r="AV225" s="48">
        <v>11</v>
      </c>
      <c r="AW225" s="49">
        <v>100</v>
      </c>
      <c r="AX225" s="48">
        <v>11</v>
      </c>
      <c r="AY225" s="48"/>
      <c r="AZ225" s="48"/>
      <c r="BA225" s="48"/>
      <c r="BB225" s="48"/>
      <c r="BC225" s="2"/>
      <c r="BD225" s="3"/>
      <c r="BE225" s="3"/>
      <c r="BF225" s="3"/>
      <c r="BG225" s="3"/>
    </row>
    <row r="226" spans="1:59" ht="15">
      <c r="A226" s="66" t="s">
        <v>474</v>
      </c>
      <c r="B226" s="67" t="s">
        <v>4456</v>
      </c>
      <c r="C226" s="67" t="s">
        <v>56</v>
      </c>
      <c r="D226" s="68">
        <v>54</v>
      </c>
      <c r="E226" s="70"/>
      <c r="F226" s="97" t="str">
        <f>HYPERLINK("https://i.ytimg.com/vi/NErSgyrL1VQ/default.jpg")</f>
        <v>https://i.ytimg.com/vi/NErSgyrL1VQ/default.jpg</v>
      </c>
      <c r="G226" s="67"/>
      <c r="H226" s="71" t="s">
        <v>1185</v>
      </c>
      <c r="I226" s="72"/>
      <c r="J226" s="72" t="s">
        <v>159</v>
      </c>
      <c r="K226" s="71" t="s">
        <v>1185</v>
      </c>
      <c r="L226" s="75">
        <v>445.35555555555555</v>
      </c>
      <c r="M226" s="76">
        <v>1444.7164306640625</v>
      </c>
      <c r="N226" s="76">
        <v>5089.2646484375</v>
      </c>
      <c r="O226" s="77"/>
      <c r="P226" s="78"/>
      <c r="Q226" s="78"/>
      <c r="R226" s="82"/>
      <c r="S226" s="48">
        <v>2</v>
      </c>
      <c r="T226" s="48">
        <v>0</v>
      </c>
      <c r="U226" s="49">
        <v>0</v>
      </c>
      <c r="V226" s="49">
        <v>0.001242</v>
      </c>
      <c r="W226" s="49">
        <v>0.000234</v>
      </c>
      <c r="X226" s="49">
        <v>0.314504</v>
      </c>
      <c r="Y226" s="49">
        <v>1</v>
      </c>
      <c r="Z226" s="49">
        <v>0</v>
      </c>
      <c r="AA226" s="73">
        <v>226</v>
      </c>
      <c r="AB226" s="73"/>
      <c r="AC226" s="74"/>
      <c r="AD226" s="80" t="s">
        <v>1185</v>
      </c>
      <c r="AE226" s="80" t="s">
        <v>1801</v>
      </c>
      <c r="AF226" s="80" t="s">
        <v>2426</v>
      </c>
      <c r="AG226" s="80" t="s">
        <v>2951</v>
      </c>
      <c r="AH226" s="80" t="s">
        <v>3512</v>
      </c>
      <c r="AI226" s="80">
        <v>4391</v>
      </c>
      <c r="AJ226" s="80">
        <v>0</v>
      </c>
      <c r="AK226" s="80">
        <v>13</v>
      </c>
      <c r="AL226" s="80">
        <v>0</v>
      </c>
      <c r="AM226" s="80" t="s">
        <v>4098</v>
      </c>
      <c r="AN226" s="96" t="str">
        <f>HYPERLINK("https://www.youtube.com/watch?v=NErSgyrL1VQ")</f>
        <v>https://www.youtube.com/watch?v=NErSgyrL1VQ</v>
      </c>
      <c r="AO226" s="80" t="str">
        <f>REPLACE(INDEX(GroupVertices[Group],MATCH(Vertices[[#This Row],[Vertex]],GroupVertices[Vertex],0)),1,1,"")</f>
        <v>1</v>
      </c>
      <c r="AP226" s="48">
        <v>0</v>
      </c>
      <c r="AQ226" s="49">
        <v>0</v>
      </c>
      <c r="AR226" s="48">
        <v>0</v>
      </c>
      <c r="AS226" s="49">
        <v>0</v>
      </c>
      <c r="AT226" s="48">
        <v>0</v>
      </c>
      <c r="AU226" s="49">
        <v>0</v>
      </c>
      <c r="AV226" s="48">
        <v>6</v>
      </c>
      <c r="AW226" s="49">
        <v>100</v>
      </c>
      <c r="AX226" s="48">
        <v>6</v>
      </c>
      <c r="AY226" s="48"/>
      <c r="AZ226" s="48"/>
      <c r="BA226" s="48"/>
      <c r="BB226" s="48"/>
      <c r="BC226" s="2"/>
      <c r="BD226" s="3"/>
      <c r="BE226" s="3"/>
      <c r="BF226" s="3"/>
      <c r="BG226" s="3"/>
    </row>
    <row r="227" spans="1:59" ht="15">
      <c r="A227" s="66" t="s">
        <v>598</v>
      </c>
      <c r="B227" s="67" t="s">
        <v>4456</v>
      </c>
      <c r="C227" s="67" t="s">
        <v>56</v>
      </c>
      <c r="D227" s="68">
        <v>54</v>
      </c>
      <c r="E227" s="70"/>
      <c r="F227" s="97" t="str">
        <f>HYPERLINK("https://i.ytimg.com/vi/8bFmvMLohcU/default.jpg")</f>
        <v>https://i.ytimg.com/vi/8bFmvMLohcU/default.jpg</v>
      </c>
      <c r="G227" s="67"/>
      <c r="H227" s="71" t="s">
        <v>1334</v>
      </c>
      <c r="I227" s="72"/>
      <c r="J227" s="72" t="s">
        <v>159</v>
      </c>
      <c r="K227" s="71" t="s">
        <v>1334</v>
      </c>
      <c r="L227" s="75">
        <v>445.35555555555555</v>
      </c>
      <c r="M227" s="76">
        <v>959.5323486328125</v>
      </c>
      <c r="N227" s="76">
        <v>8625.5126953125</v>
      </c>
      <c r="O227" s="77"/>
      <c r="P227" s="78"/>
      <c r="Q227" s="78"/>
      <c r="R227" s="82"/>
      <c r="S227" s="48">
        <v>2</v>
      </c>
      <c r="T227" s="48">
        <v>0</v>
      </c>
      <c r="U227" s="49">
        <v>0</v>
      </c>
      <c r="V227" s="49">
        <v>0.001408</v>
      </c>
      <c r="W227" s="49">
        <v>0.00049</v>
      </c>
      <c r="X227" s="49">
        <v>0.286592</v>
      </c>
      <c r="Y227" s="49">
        <v>1</v>
      </c>
      <c r="Z227" s="49">
        <v>0</v>
      </c>
      <c r="AA227" s="73">
        <v>227</v>
      </c>
      <c r="AB227" s="73"/>
      <c r="AC227" s="74"/>
      <c r="AD227" s="80" t="s">
        <v>1334</v>
      </c>
      <c r="AE227" s="80" t="s">
        <v>2001</v>
      </c>
      <c r="AF227" s="80" t="s">
        <v>2602</v>
      </c>
      <c r="AG227" s="80" t="s">
        <v>3146</v>
      </c>
      <c r="AH227" s="80" t="s">
        <v>3745</v>
      </c>
      <c r="AI227" s="80">
        <v>4117</v>
      </c>
      <c r="AJ227" s="80">
        <v>0</v>
      </c>
      <c r="AK227" s="80">
        <v>5</v>
      </c>
      <c r="AL227" s="80">
        <v>0</v>
      </c>
      <c r="AM227" s="80" t="s">
        <v>4098</v>
      </c>
      <c r="AN227" s="96" t="str">
        <f>HYPERLINK("https://www.youtube.com/watch?v=8bFmvMLohcU")</f>
        <v>https://www.youtube.com/watch?v=8bFmvMLohcU</v>
      </c>
      <c r="AO227" s="80" t="str">
        <f>REPLACE(INDEX(GroupVertices[Group],MATCH(Vertices[[#This Row],[Vertex]],GroupVertices[Vertex],0)),1,1,"")</f>
        <v>1</v>
      </c>
      <c r="AP227" s="48">
        <v>0</v>
      </c>
      <c r="AQ227" s="49">
        <v>0</v>
      </c>
      <c r="AR227" s="48">
        <v>0</v>
      </c>
      <c r="AS227" s="49">
        <v>0</v>
      </c>
      <c r="AT227" s="48">
        <v>0</v>
      </c>
      <c r="AU227" s="49">
        <v>0</v>
      </c>
      <c r="AV227" s="48">
        <v>54</v>
      </c>
      <c r="AW227" s="49">
        <v>100</v>
      </c>
      <c r="AX227" s="48">
        <v>54</v>
      </c>
      <c r="AY227" s="48"/>
      <c r="AZ227" s="48"/>
      <c r="BA227" s="48"/>
      <c r="BB227" s="48"/>
      <c r="BC227" s="2"/>
      <c r="BD227" s="3"/>
      <c r="BE227" s="3"/>
      <c r="BF227" s="3"/>
      <c r="BG227" s="3"/>
    </row>
    <row r="228" spans="1:59" ht="15">
      <c r="A228" s="66" t="s">
        <v>601</v>
      </c>
      <c r="B228" s="67" t="s">
        <v>4456</v>
      </c>
      <c r="C228" s="67" t="s">
        <v>56</v>
      </c>
      <c r="D228" s="68">
        <v>54</v>
      </c>
      <c r="E228" s="70"/>
      <c r="F228" s="97" t="str">
        <f>HYPERLINK("https://i.ytimg.com/vi/U_SsRdFwKEo/default.jpg")</f>
        <v>https://i.ytimg.com/vi/U_SsRdFwKEo/default.jpg</v>
      </c>
      <c r="G228" s="67"/>
      <c r="H228" s="71" t="s">
        <v>1341</v>
      </c>
      <c r="I228" s="72"/>
      <c r="J228" s="72" t="s">
        <v>159</v>
      </c>
      <c r="K228" s="71" t="s">
        <v>1341</v>
      </c>
      <c r="L228" s="75">
        <v>445.35555555555555</v>
      </c>
      <c r="M228" s="76">
        <v>8522.4736328125</v>
      </c>
      <c r="N228" s="76">
        <v>8962.583984375</v>
      </c>
      <c r="O228" s="77"/>
      <c r="P228" s="78"/>
      <c r="Q228" s="78"/>
      <c r="R228" s="82"/>
      <c r="S228" s="48">
        <v>2</v>
      </c>
      <c r="T228" s="48">
        <v>0</v>
      </c>
      <c r="U228" s="49">
        <v>0</v>
      </c>
      <c r="V228" s="49">
        <v>0.001399</v>
      </c>
      <c r="W228" s="49">
        <v>0.000862</v>
      </c>
      <c r="X228" s="49">
        <v>0.273576</v>
      </c>
      <c r="Y228" s="49">
        <v>0.5</v>
      </c>
      <c r="Z228" s="49">
        <v>0</v>
      </c>
      <c r="AA228" s="73">
        <v>228</v>
      </c>
      <c r="AB228" s="73"/>
      <c r="AC228" s="74"/>
      <c r="AD228" s="80" t="s">
        <v>1341</v>
      </c>
      <c r="AE228" s="80" t="s">
        <v>2007</v>
      </c>
      <c r="AF228" s="80" t="s">
        <v>2606</v>
      </c>
      <c r="AG228" s="80" t="s">
        <v>3096</v>
      </c>
      <c r="AH228" s="80" t="s">
        <v>3753</v>
      </c>
      <c r="AI228" s="80">
        <v>2144</v>
      </c>
      <c r="AJ228" s="80">
        <v>4</v>
      </c>
      <c r="AK228" s="80">
        <v>15</v>
      </c>
      <c r="AL228" s="80">
        <v>0</v>
      </c>
      <c r="AM228" s="80" t="s">
        <v>4098</v>
      </c>
      <c r="AN228" s="96" t="str">
        <f>HYPERLINK("https://www.youtube.com/watch?v=U_SsRdFwKEo")</f>
        <v>https://www.youtube.com/watch?v=U_SsRdFwKEo</v>
      </c>
      <c r="AO228" s="80" t="str">
        <f>REPLACE(INDEX(GroupVertices[Group],MATCH(Vertices[[#This Row],[Vertex]],GroupVertices[Vertex],0)),1,1,"")</f>
        <v>3</v>
      </c>
      <c r="AP228" s="48">
        <v>0</v>
      </c>
      <c r="AQ228" s="49">
        <v>0</v>
      </c>
      <c r="AR228" s="48">
        <v>0</v>
      </c>
      <c r="AS228" s="49">
        <v>0</v>
      </c>
      <c r="AT228" s="48">
        <v>0</v>
      </c>
      <c r="AU228" s="49">
        <v>0</v>
      </c>
      <c r="AV228" s="48">
        <v>3</v>
      </c>
      <c r="AW228" s="49">
        <v>100</v>
      </c>
      <c r="AX228" s="48">
        <v>3</v>
      </c>
      <c r="AY228" s="48"/>
      <c r="AZ228" s="48"/>
      <c r="BA228" s="48"/>
      <c r="BB228" s="48"/>
      <c r="BC228" s="2"/>
      <c r="BD228" s="3"/>
      <c r="BE228" s="3"/>
      <c r="BF228" s="3"/>
      <c r="BG228" s="3"/>
    </row>
    <row r="229" spans="1:59" ht="15">
      <c r="A229" s="66" t="s">
        <v>567</v>
      </c>
      <c r="B229" s="67" t="s">
        <v>4456</v>
      </c>
      <c r="C229" s="67" t="s">
        <v>56</v>
      </c>
      <c r="D229" s="68">
        <v>76</v>
      </c>
      <c r="E229" s="70"/>
      <c r="F229" s="97" t="str">
        <f>HYPERLINK("https://i.ytimg.com/vi/qmWCn-y58ls/default.jpg")</f>
        <v>https://i.ytimg.com/vi/qmWCn-y58ls/default.jpg</v>
      </c>
      <c r="G229" s="67"/>
      <c r="H229" s="71" t="s">
        <v>1302</v>
      </c>
      <c r="I229" s="72"/>
      <c r="J229" s="72" t="s">
        <v>159</v>
      </c>
      <c r="K229" s="71" t="s">
        <v>1302</v>
      </c>
      <c r="L229" s="75">
        <v>667.5333333333333</v>
      </c>
      <c r="M229" s="76">
        <v>4231.9091796875</v>
      </c>
      <c r="N229" s="76">
        <v>308.46923828125</v>
      </c>
      <c r="O229" s="77"/>
      <c r="P229" s="78"/>
      <c r="Q229" s="78"/>
      <c r="R229" s="82"/>
      <c r="S229" s="48">
        <v>3</v>
      </c>
      <c r="T229" s="48">
        <v>0</v>
      </c>
      <c r="U229" s="49">
        <v>0</v>
      </c>
      <c r="V229" s="49">
        <v>0.001418</v>
      </c>
      <c r="W229" s="49">
        <v>0.001197</v>
      </c>
      <c r="X229" s="49">
        <v>0.335869</v>
      </c>
      <c r="Y229" s="49">
        <v>1</v>
      </c>
      <c r="Z229" s="49">
        <v>0</v>
      </c>
      <c r="AA229" s="73">
        <v>229</v>
      </c>
      <c r="AB229" s="73"/>
      <c r="AC229" s="74"/>
      <c r="AD229" s="80" t="s">
        <v>1302</v>
      </c>
      <c r="AE229" s="80"/>
      <c r="AF229" s="80"/>
      <c r="AG229" s="80" t="s">
        <v>2904</v>
      </c>
      <c r="AH229" s="80" t="s">
        <v>3714</v>
      </c>
      <c r="AI229" s="80">
        <v>498</v>
      </c>
      <c r="AJ229" s="80">
        <v>0</v>
      </c>
      <c r="AK229" s="80">
        <v>11</v>
      </c>
      <c r="AL229" s="80">
        <v>0</v>
      </c>
      <c r="AM229" s="80" t="s">
        <v>4098</v>
      </c>
      <c r="AN229" s="96" t="str">
        <f>HYPERLINK("https://www.youtube.com/watch?v=qmWCn-y58ls")</f>
        <v>https://www.youtube.com/watch?v=qmWCn-y58ls</v>
      </c>
      <c r="AO229" s="80" t="str">
        <f>REPLACE(INDEX(GroupVertices[Group],MATCH(Vertices[[#This Row],[Vertex]],GroupVertices[Vertex],0)),1,1,"")</f>
        <v>2</v>
      </c>
      <c r="AP229" s="48"/>
      <c r="AQ229" s="49"/>
      <c r="AR229" s="48"/>
      <c r="AS229" s="49"/>
      <c r="AT229" s="48"/>
      <c r="AU229" s="49"/>
      <c r="AV229" s="48"/>
      <c r="AW229" s="49"/>
      <c r="AX229" s="48"/>
      <c r="AY229" s="48"/>
      <c r="AZ229" s="48"/>
      <c r="BA229" s="48"/>
      <c r="BB229" s="48"/>
      <c r="BC229" s="2"/>
      <c r="BD229" s="3"/>
      <c r="BE229" s="3"/>
      <c r="BF229" s="3"/>
      <c r="BG229" s="3"/>
    </row>
    <row r="230" spans="1:59" ht="15">
      <c r="A230" s="66" t="s">
        <v>566</v>
      </c>
      <c r="B230" s="67" t="s">
        <v>4456</v>
      </c>
      <c r="C230" s="67" t="s">
        <v>56</v>
      </c>
      <c r="D230" s="68">
        <v>76</v>
      </c>
      <c r="E230" s="70"/>
      <c r="F230" s="97" t="str">
        <f>HYPERLINK("https://i.ytimg.com/vi/N6Hp8cFe9lg/default.jpg")</f>
        <v>https://i.ytimg.com/vi/N6Hp8cFe9lg/default.jpg</v>
      </c>
      <c r="G230" s="67"/>
      <c r="H230" s="71" t="s">
        <v>1301</v>
      </c>
      <c r="I230" s="72"/>
      <c r="J230" s="72" t="s">
        <v>159</v>
      </c>
      <c r="K230" s="71" t="s">
        <v>1301</v>
      </c>
      <c r="L230" s="75">
        <v>667.5333333333333</v>
      </c>
      <c r="M230" s="76">
        <v>3287.89404296875</v>
      </c>
      <c r="N230" s="76">
        <v>144.4942169189453</v>
      </c>
      <c r="O230" s="77"/>
      <c r="P230" s="78"/>
      <c r="Q230" s="78"/>
      <c r="R230" s="82"/>
      <c r="S230" s="48">
        <v>3</v>
      </c>
      <c r="T230" s="48">
        <v>0</v>
      </c>
      <c r="U230" s="49">
        <v>0</v>
      </c>
      <c r="V230" s="49">
        <v>0.001418</v>
      </c>
      <c r="W230" s="49">
        <v>0.001197</v>
      </c>
      <c r="X230" s="49">
        <v>0.335869</v>
      </c>
      <c r="Y230" s="49">
        <v>1</v>
      </c>
      <c r="Z230" s="49">
        <v>0</v>
      </c>
      <c r="AA230" s="73">
        <v>230</v>
      </c>
      <c r="AB230" s="73"/>
      <c r="AC230" s="74"/>
      <c r="AD230" s="80" t="s">
        <v>1301</v>
      </c>
      <c r="AE230" s="80"/>
      <c r="AF230" s="80"/>
      <c r="AG230" s="80" t="s">
        <v>2904</v>
      </c>
      <c r="AH230" s="80" t="s">
        <v>3713</v>
      </c>
      <c r="AI230" s="80">
        <v>439</v>
      </c>
      <c r="AJ230" s="80">
        <v>1</v>
      </c>
      <c r="AK230" s="80">
        <v>0</v>
      </c>
      <c r="AL230" s="80">
        <v>0</v>
      </c>
      <c r="AM230" s="80" t="s">
        <v>4098</v>
      </c>
      <c r="AN230" s="96" t="str">
        <f>HYPERLINK("https://www.youtube.com/watch?v=N6Hp8cFe9lg")</f>
        <v>https://www.youtube.com/watch?v=N6Hp8cFe9lg</v>
      </c>
      <c r="AO230" s="80" t="str">
        <f>REPLACE(INDEX(GroupVertices[Group],MATCH(Vertices[[#This Row],[Vertex]],GroupVertices[Vertex],0)),1,1,"")</f>
        <v>2</v>
      </c>
      <c r="AP230" s="48"/>
      <c r="AQ230" s="49"/>
      <c r="AR230" s="48"/>
      <c r="AS230" s="49"/>
      <c r="AT230" s="48"/>
      <c r="AU230" s="49"/>
      <c r="AV230" s="48"/>
      <c r="AW230" s="49"/>
      <c r="AX230" s="48"/>
      <c r="AY230" s="48"/>
      <c r="AZ230" s="48"/>
      <c r="BA230" s="48"/>
      <c r="BB230" s="48"/>
      <c r="BC230" s="2"/>
      <c r="BD230" s="3"/>
      <c r="BE230" s="3"/>
      <c r="BF230" s="3"/>
      <c r="BG230" s="3"/>
    </row>
    <row r="231" spans="1:59" ht="15">
      <c r="A231" s="66" t="s">
        <v>563</v>
      </c>
      <c r="B231" s="67" t="s">
        <v>4456</v>
      </c>
      <c r="C231" s="67" t="s">
        <v>56</v>
      </c>
      <c r="D231" s="68">
        <v>76</v>
      </c>
      <c r="E231" s="70"/>
      <c r="F231" s="97" t="str">
        <f>HYPERLINK("https://i.ytimg.com/vi/TaCRec7KBMc/default.jpg")</f>
        <v>https://i.ytimg.com/vi/TaCRec7KBMc/default.jpg</v>
      </c>
      <c r="G231" s="67"/>
      <c r="H231" s="71" t="s">
        <v>1297</v>
      </c>
      <c r="I231" s="72"/>
      <c r="J231" s="72" t="s">
        <v>159</v>
      </c>
      <c r="K231" s="71" t="s">
        <v>1297</v>
      </c>
      <c r="L231" s="75">
        <v>667.5333333333333</v>
      </c>
      <c r="M231" s="76">
        <v>3536.54443359375</v>
      </c>
      <c r="N231" s="76">
        <v>298.84393310546875</v>
      </c>
      <c r="O231" s="77"/>
      <c r="P231" s="78"/>
      <c r="Q231" s="78"/>
      <c r="R231" s="82"/>
      <c r="S231" s="48">
        <v>3</v>
      </c>
      <c r="T231" s="48">
        <v>0</v>
      </c>
      <c r="U231" s="49">
        <v>0</v>
      </c>
      <c r="V231" s="49">
        <v>0.001418</v>
      </c>
      <c r="W231" s="49">
        <v>0.001197</v>
      </c>
      <c r="X231" s="49">
        <v>0.335869</v>
      </c>
      <c r="Y231" s="49">
        <v>1</v>
      </c>
      <c r="Z231" s="49">
        <v>0</v>
      </c>
      <c r="AA231" s="73">
        <v>231</v>
      </c>
      <c r="AB231" s="73"/>
      <c r="AC231" s="74"/>
      <c r="AD231" s="80" t="s">
        <v>1297</v>
      </c>
      <c r="AE231" s="80" t="s">
        <v>1970</v>
      </c>
      <c r="AF231" s="80"/>
      <c r="AG231" s="80" t="s">
        <v>2904</v>
      </c>
      <c r="AH231" s="80" t="s">
        <v>3709</v>
      </c>
      <c r="AI231" s="80">
        <v>163</v>
      </c>
      <c r="AJ231" s="80">
        <v>0</v>
      </c>
      <c r="AK231" s="80">
        <v>2</v>
      </c>
      <c r="AL231" s="80">
        <v>0</v>
      </c>
      <c r="AM231" s="80" t="s">
        <v>4098</v>
      </c>
      <c r="AN231" s="96" t="str">
        <f>HYPERLINK("https://www.youtube.com/watch?v=TaCRec7KBMc")</f>
        <v>https://www.youtube.com/watch?v=TaCRec7KBMc</v>
      </c>
      <c r="AO231" s="80" t="str">
        <f>REPLACE(INDEX(GroupVertices[Group],MATCH(Vertices[[#This Row],[Vertex]],GroupVertices[Vertex],0)),1,1,"")</f>
        <v>2</v>
      </c>
      <c r="AP231" s="48"/>
      <c r="AQ231" s="49"/>
      <c r="AR231" s="48"/>
      <c r="AS231" s="49"/>
      <c r="AT231" s="48"/>
      <c r="AU231" s="49"/>
      <c r="AV231" s="48"/>
      <c r="AW231" s="49"/>
      <c r="AX231" s="48"/>
      <c r="AY231" s="48"/>
      <c r="AZ231" s="48"/>
      <c r="BA231" s="48"/>
      <c r="BB231" s="48"/>
      <c r="BC231" s="2"/>
      <c r="BD231" s="3"/>
      <c r="BE231" s="3"/>
      <c r="BF231" s="3"/>
      <c r="BG231" s="3"/>
    </row>
    <row r="232" spans="1:59" ht="15">
      <c r="A232" s="66" t="s">
        <v>569</v>
      </c>
      <c r="B232" s="67" t="s">
        <v>4456</v>
      </c>
      <c r="C232" s="67" t="s">
        <v>56</v>
      </c>
      <c r="D232" s="68">
        <v>76</v>
      </c>
      <c r="E232" s="70"/>
      <c r="F232" s="97" t="str">
        <f>HYPERLINK("https://i.ytimg.com/vi/77Sq1DeXoyI/default.jpg")</f>
        <v>https://i.ytimg.com/vi/77Sq1DeXoyI/default.jpg</v>
      </c>
      <c r="G232" s="67"/>
      <c r="H232" s="71" t="s">
        <v>1304</v>
      </c>
      <c r="I232" s="72"/>
      <c r="J232" s="72" t="s">
        <v>159</v>
      </c>
      <c r="K232" s="71" t="s">
        <v>1304</v>
      </c>
      <c r="L232" s="75">
        <v>667.5333333333333</v>
      </c>
      <c r="M232" s="76">
        <v>2945.087158203125</v>
      </c>
      <c r="N232" s="76">
        <v>203.50367736816406</v>
      </c>
      <c r="O232" s="77"/>
      <c r="P232" s="78"/>
      <c r="Q232" s="78"/>
      <c r="R232" s="82"/>
      <c r="S232" s="48">
        <v>3</v>
      </c>
      <c r="T232" s="48">
        <v>0</v>
      </c>
      <c r="U232" s="49">
        <v>0</v>
      </c>
      <c r="V232" s="49">
        <v>0.001418</v>
      </c>
      <c r="W232" s="49">
        <v>0.001197</v>
      </c>
      <c r="X232" s="49">
        <v>0.335869</v>
      </c>
      <c r="Y232" s="49">
        <v>1</v>
      </c>
      <c r="Z232" s="49">
        <v>0</v>
      </c>
      <c r="AA232" s="73">
        <v>232</v>
      </c>
      <c r="AB232" s="73"/>
      <c r="AC232" s="74"/>
      <c r="AD232" s="80" t="s">
        <v>1304</v>
      </c>
      <c r="AE232" s="80" t="s">
        <v>1973</v>
      </c>
      <c r="AF232" s="80"/>
      <c r="AG232" s="80" t="s">
        <v>2904</v>
      </c>
      <c r="AH232" s="80" t="s">
        <v>3716</v>
      </c>
      <c r="AI232" s="80">
        <v>135</v>
      </c>
      <c r="AJ232" s="80">
        <v>0</v>
      </c>
      <c r="AK232" s="80">
        <v>4</v>
      </c>
      <c r="AL232" s="80">
        <v>0</v>
      </c>
      <c r="AM232" s="80" t="s">
        <v>4098</v>
      </c>
      <c r="AN232" s="96" t="str">
        <f>HYPERLINK("https://www.youtube.com/watch?v=77Sq1DeXoyI")</f>
        <v>https://www.youtube.com/watch?v=77Sq1DeXoyI</v>
      </c>
      <c r="AO232" s="80" t="str">
        <f>REPLACE(INDEX(GroupVertices[Group],MATCH(Vertices[[#This Row],[Vertex]],GroupVertices[Vertex],0)),1,1,"")</f>
        <v>2</v>
      </c>
      <c r="AP232" s="48"/>
      <c r="AQ232" s="49"/>
      <c r="AR232" s="48"/>
      <c r="AS232" s="49"/>
      <c r="AT232" s="48"/>
      <c r="AU232" s="49"/>
      <c r="AV232" s="48"/>
      <c r="AW232" s="49"/>
      <c r="AX232" s="48"/>
      <c r="AY232" s="48"/>
      <c r="AZ232" s="48"/>
      <c r="BA232" s="48"/>
      <c r="BB232" s="48"/>
      <c r="BC232" s="2"/>
      <c r="BD232" s="3"/>
      <c r="BE232" s="3"/>
      <c r="BF232" s="3"/>
      <c r="BG232" s="3"/>
    </row>
    <row r="233" spans="1:59" ht="15">
      <c r="A233" s="66" t="s">
        <v>568</v>
      </c>
      <c r="B233" s="67" t="s">
        <v>4456</v>
      </c>
      <c r="C233" s="67" t="s">
        <v>56</v>
      </c>
      <c r="D233" s="68">
        <v>76</v>
      </c>
      <c r="E233" s="70"/>
      <c r="F233" s="97" t="str">
        <f>HYPERLINK("https://i.ytimg.com/vi/9LDCZCDD65Y/default.jpg")</f>
        <v>https://i.ytimg.com/vi/9LDCZCDD65Y/default.jpg</v>
      </c>
      <c r="G233" s="67"/>
      <c r="H233" s="71" t="s">
        <v>1303</v>
      </c>
      <c r="I233" s="72"/>
      <c r="J233" s="72" t="s">
        <v>159</v>
      </c>
      <c r="K233" s="71" t="s">
        <v>1303</v>
      </c>
      <c r="L233" s="75">
        <v>667.5333333333333</v>
      </c>
      <c r="M233" s="76">
        <v>3853.102294921875</v>
      </c>
      <c r="N233" s="76">
        <v>196.75518798828125</v>
      </c>
      <c r="O233" s="77"/>
      <c r="P233" s="78"/>
      <c r="Q233" s="78"/>
      <c r="R233" s="82"/>
      <c r="S233" s="48">
        <v>3</v>
      </c>
      <c r="T233" s="48">
        <v>0</v>
      </c>
      <c r="U233" s="49">
        <v>0</v>
      </c>
      <c r="V233" s="49">
        <v>0.001418</v>
      </c>
      <c r="W233" s="49">
        <v>0.001197</v>
      </c>
      <c r="X233" s="49">
        <v>0.335869</v>
      </c>
      <c r="Y233" s="49">
        <v>1</v>
      </c>
      <c r="Z233" s="49">
        <v>0</v>
      </c>
      <c r="AA233" s="73">
        <v>233</v>
      </c>
      <c r="AB233" s="73"/>
      <c r="AC233" s="74"/>
      <c r="AD233" s="80" t="s">
        <v>1303</v>
      </c>
      <c r="AE233" s="80" t="s">
        <v>1972</v>
      </c>
      <c r="AF233" s="80"/>
      <c r="AG233" s="80" t="s">
        <v>2904</v>
      </c>
      <c r="AH233" s="80" t="s">
        <v>3715</v>
      </c>
      <c r="AI233" s="80">
        <v>133</v>
      </c>
      <c r="AJ233" s="80">
        <v>0</v>
      </c>
      <c r="AK233" s="80">
        <v>2</v>
      </c>
      <c r="AL233" s="80">
        <v>0</v>
      </c>
      <c r="AM233" s="80" t="s">
        <v>4098</v>
      </c>
      <c r="AN233" s="96" t="str">
        <f>HYPERLINK("https://www.youtube.com/watch?v=9LDCZCDD65Y")</f>
        <v>https://www.youtube.com/watch?v=9LDCZCDD65Y</v>
      </c>
      <c r="AO233" s="80" t="str">
        <f>REPLACE(INDEX(GroupVertices[Group],MATCH(Vertices[[#This Row],[Vertex]],GroupVertices[Vertex],0)),1,1,"")</f>
        <v>2</v>
      </c>
      <c r="AP233" s="48"/>
      <c r="AQ233" s="49"/>
      <c r="AR233" s="48"/>
      <c r="AS233" s="49"/>
      <c r="AT233" s="48"/>
      <c r="AU233" s="49"/>
      <c r="AV233" s="48"/>
      <c r="AW233" s="49"/>
      <c r="AX233" s="48"/>
      <c r="AY233" s="48"/>
      <c r="AZ233" s="48"/>
      <c r="BA233" s="48"/>
      <c r="BB233" s="48"/>
      <c r="BC233" s="2"/>
      <c r="BD233" s="3"/>
      <c r="BE233" s="3"/>
      <c r="BF233" s="3"/>
      <c r="BG233" s="3"/>
    </row>
    <row r="234" spans="1:59" ht="15">
      <c r="A234" s="66" t="s">
        <v>570</v>
      </c>
      <c r="B234" s="67" t="s">
        <v>4456</v>
      </c>
      <c r="C234" s="67" t="s">
        <v>56</v>
      </c>
      <c r="D234" s="68">
        <v>76</v>
      </c>
      <c r="E234" s="70"/>
      <c r="F234" s="97" t="str">
        <f>HYPERLINK("https://i.ytimg.com/vi/rk97v1XZbTw/default.jpg")</f>
        <v>https://i.ytimg.com/vi/rk97v1XZbTw/default.jpg</v>
      </c>
      <c r="G234" s="67"/>
      <c r="H234" s="71" t="s">
        <v>1305</v>
      </c>
      <c r="I234" s="72"/>
      <c r="J234" s="72" t="s">
        <v>159</v>
      </c>
      <c r="K234" s="71" t="s">
        <v>1305</v>
      </c>
      <c r="L234" s="75">
        <v>667.5333333333333</v>
      </c>
      <c r="M234" s="76">
        <v>2590.7470703125</v>
      </c>
      <c r="N234" s="76">
        <v>195.84329223632812</v>
      </c>
      <c r="O234" s="77"/>
      <c r="P234" s="78"/>
      <c r="Q234" s="78"/>
      <c r="R234" s="82"/>
      <c r="S234" s="48">
        <v>3</v>
      </c>
      <c r="T234" s="48">
        <v>0</v>
      </c>
      <c r="U234" s="49">
        <v>0</v>
      </c>
      <c r="V234" s="49">
        <v>0.001418</v>
      </c>
      <c r="W234" s="49">
        <v>0.001197</v>
      </c>
      <c r="X234" s="49">
        <v>0.335869</v>
      </c>
      <c r="Y234" s="49">
        <v>1</v>
      </c>
      <c r="Z234" s="49">
        <v>0</v>
      </c>
      <c r="AA234" s="73">
        <v>234</v>
      </c>
      <c r="AB234" s="73"/>
      <c r="AC234" s="74"/>
      <c r="AD234" s="80" t="s">
        <v>1305</v>
      </c>
      <c r="AE234" s="80"/>
      <c r="AF234" s="80"/>
      <c r="AG234" s="80" t="s">
        <v>2904</v>
      </c>
      <c r="AH234" s="80" t="s">
        <v>3714</v>
      </c>
      <c r="AI234" s="80">
        <v>111</v>
      </c>
      <c r="AJ234" s="80">
        <v>0</v>
      </c>
      <c r="AK234" s="80">
        <v>3</v>
      </c>
      <c r="AL234" s="80">
        <v>0</v>
      </c>
      <c r="AM234" s="80" t="s">
        <v>4098</v>
      </c>
      <c r="AN234" s="96" t="str">
        <f>HYPERLINK("https://www.youtube.com/watch?v=rk97v1XZbTw")</f>
        <v>https://www.youtube.com/watch?v=rk97v1XZbTw</v>
      </c>
      <c r="AO234" s="80" t="str">
        <f>REPLACE(INDEX(GroupVertices[Group],MATCH(Vertices[[#This Row],[Vertex]],GroupVertices[Vertex],0)),1,1,"")</f>
        <v>2</v>
      </c>
      <c r="AP234" s="48"/>
      <c r="AQ234" s="49"/>
      <c r="AR234" s="48"/>
      <c r="AS234" s="49"/>
      <c r="AT234" s="48"/>
      <c r="AU234" s="49"/>
      <c r="AV234" s="48"/>
      <c r="AW234" s="49"/>
      <c r="AX234" s="48"/>
      <c r="AY234" s="48"/>
      <c r="AZ234" s="48"/>
      <c r="BA234" s="48"/>
      <c r="BB234" s="48"/>
      <c r="BC234" s="2"/>
      <c r="BD234" s="3"/>
      <c r="BE234" s="3"/>
      <c r="BF234" s="3"/>
      <c r="BG234" s="3"/>
    </row>
    <row r="235" spans="1:59" ht="15">
      <c r="A235" s="66" t="s">
        <v>661</v>
      </c>
      <c r="B235" s="67" t="s">
        <v>4456</v>
      </c>
      <c r="C235" s="67" t="s">
        <v>56</v>
      </c>
      <c r="D235" s="68">
        <v>76</v>
      </c>
      <c r="E235" s="70"/>
      <c r="F235" s="97" t="str">
        <f>HYPERLINK("https://i.ytimg.com/vi/8SlloTxRqWU/default.jpg")</f>
        <v>https://i.ytimg.com/vi/8SlloTxRqWU/default.jpg</v>
      </c>
      <c r="G235" s="67"/>
      <c r="H235" s="71" t="s">
        <v>1401</v>
      </c>
      <c r="I235" s="72"/>
      <c r="J235" s="72" t="s">
        <v>159</v>
      </c>
      <c r="K235" s="71" t="s">
        <v>1401</v>
      </c>
      <c r="L235" s="75">
        <v>667.5333333333333</v>
      </c>
      <c r="M235" s="76">
        <v>254.7301025390625</v>
      </c>
      <c r="N235" s="76">
        <v>1377.080078125</v>
      </c>
      <c r="O235" s="77"/>
      <c r="P235" s="78"/>
      <c r="Q235" s="78"/>
      <c r="R235" s="82"/>
      <c r="S235" s="48">
        <v>3</v>
      </c>
      <c r="T235" s="48">
        <v>0</v>
      </c>
      <c r="U235" s="49">
        <v>0</v>
      </c>
      <c r="V235" s="49">
        <v>0.001443</v>
      </c>
      <c r="W235" s="49">
        <v>0.001202</v>
      </c>
      <c r="X235" s="49">
        <v>0.333751</v>
      </c>
      <c r="Y235" s="49">
        <v>0.6666666666666666</v>
      </c>
      <c r="Z235" s="49">
        <v>0</v>
      </c>
      <c r="AA235" s="73">
        <v>235</v>
      </c>
      <c r="AB235" s="73"/>
      <c r="AC235" s="74"/>
      <c r="AD235" s="80" t="s">
        <v>1401</v>
      </c>
      <c r="AE235" s="80" t="s">
        <v>2063</v>
      </c>
      <c r="AF235" s="80"/>
      <c r="AG235" s="80" t="s">
        <v>3193</v>
      </c>
      <c r="AH235" s="80" t="s">
        <v>3813</v>
      </c>
      <c r="AI235" s="80">
        <v>106</v>
      </c>
      <c r="AJ235" s="80">
        <v>0</v>
      </c>
      <c r="AK235" s="80">
        <v>1</v>
      </c>
      <c r="AL235" s="80">
        <v>0</v>
      </c>
      <c r="AM235" s="80" t="s">
        <v>4098</v>
      </c>
      <c r="AN235" s="96" t="str">
        <f>HYPERLINK("https://www.youtube.com/watch?v=8SlloTxRqWU")</f>
        <v>https://www.youtube.com/watch?v=8SlloTxRqWU</v>
      </c>
      <c r="AO235" s="80" t="str">
        <f>REPLACE(INDEX(GroupVertices[Group],MATCH(Vertices[[#This Row],[Vertex]],GroupVertices[Vertex],0)),1,1,"")</f>
        <v>2</v>
      </c>
      <c r="AP235" s="48"/>
      <c r="AQ235" s="49"/>
      <c r="AR235" s="48"/>
      <c r="AS235" s="49"/>
      <c r="AT235" s="48"/>
      <c r="AU235" s="49"/>
      <c r="AV235" s="48"/>
      <c r="AW235" s="49"/>
      <c r="AX235" s="48"/>
      <c r="AY235" s="48"/>
      <c r="AZ235" s="48"/>
      <c r="BA235" s="48"/>
      <c r="BB235" s="48"/>
      <c r="BC235" s="2"/>
      <c r="BD235" s="3"/>
      <c r="BE235" s="3"/>
      <c r="BF235" s="3"/>
      <c r="BG235" s="3"/>
    </row>
    <row r="236" spans="1:59" ht="15">
      <c r="A236" s="66" t="s">
        <v>642</v>
      </c>
      <c r="B236" s="67" t="s">
        <v>4456</v>
      </c>
      <c r="C236" s="67" t="s">
        <v>56</v>
      </c>
      <c r="D236" s="68">
        <v>76</v>
      </c>
      <c r="E236" s="70"/>
      <c r="F236" s="97" t="str">
        <f>HYPERLINK("https://i.ytimg.com/vi/NZK6cMCTTMA/default.jpg")</f>
        <v>https://i.ytimg.com/vi/NZK6cMCTTMA/default.jpg</v>
      </c>
      <c r="G236" s="67"/>
      <c r="H236" s="71" t="s">
        <v>1382</v>
      </c>
      <c r="I236" s="72"/>
      <c r="J236" s="72" t="s">
        <v>159</v>
      </c>
      <c r="K236" s="71" t="s">
        <v>1382</v>
      </c>
      <c r="L236" s="75">
        <v>667.5333333333333</v>
      </c>
      <c r="M236" s="76">
        <v>7537.90283203125</v>
      </c>
      <c r="N236" s="76">
        <v>961.6485595703125</v>
      </c>
      <c r="O236" s="77"/>
      <c r="P236" s="78"/>
      <c r="Q236" s="78"/>
      <c r="R236" s="82"/>
      <c r="S236" s="48">
        <v>3</v>
      </c>
      <c r="T236" s="48">
        <v>0</v>
      </c>
      <c r="U236" s="49">
        <v>0</v>
      </c>
      <c r="V236" s="49">
        <v>0.001479</v>
      </c>
      <c r="W236" s="49">
        <v>0.001151</v>
      </c>
      <c r="X236" s="49">
        <v>0.337814</v>
      </c>
      <c r="Y236" s="49">
        <v>0.6666666666666666</v>
      </c>
      <c r="Z236" s="49">
        <v>0</v>
      </c>
      <c r="AA236" s="73">
        <v>236</v>
      </c>
      <c r="AB236" s="73"/>
      <c r="AC236" s="74"/>
      <c r="AD236" s="80" t="s">
        <v>1382</v>
      </c>
      <c r="AE236" s="80" t="s">
        <v>2047</v>
      </c>
      <c r="AF236" s="80" t="s">
        <v>2641</v>
      </c>
      <c r="AG236" s="80" t="s">
        <v>2905</v>
      </c>
      <c r="AH236" s="80" t="s">
        <v>3794</v>
      </c>
      <c r="AI236" s="80">
        <v>99</v>
      </c>
      <c r="AJ236" s="80">
        <v>1</v>
      </c>
      <c r="AK236" s="80">
        <v>1</v>
      </c>
      <c r="AL236" s="80">
        <v>0</v>
      </c>
      <c r="AM236" s="80" t="s">
        <v>4098</v>
      </c>
      <c r="AN236" s="96" t="str">
        <f>HYPERLINK("https://www.youtube.com/watch?v=NZK6cMCTTMA")</f>
        <v>https://www.youtube.com/watch?v=NZK6cMCTTMA</v>
      </c>
      <c r="AO236" s="80" t="str">
        <f>REPLACE(INDEX(GroupVertices[Group],MATCH(Vertices[[#This Row],[Vertex]],GroupVertices[Vertex],0)),1,1,"")</f>
        <v>4</v>
      </c>
      <c r="AP236" s="48">
        <v>0</v>
      </c>
      <c r="AQ236" s="49">
        <v>0</v>
      </c>
      <c r="AR236" s="48">
        <v>1</v>
      </c>
      <c r="AS236" s="49">
        <v>5.2631578947368425</v>
      </c>
      <c r="AT236" s="48">
        <v>0</v>
      </c>
      <c r="AU236" s="49">
        <v>0</v>
      </c>
      <c r="AV236" s="48">
        <v>18</v>
      </c>
      <c r="AW236" s="49">
        <v>94.73684210526316</v>
      </c>
      <c r="AX236" s="48">
        <v>19</v>
      </c>
      <c r="AY236" s="48"/>
      <c r="AZ236" s="48"/>
      <c r="BA236" s="48"/>
      <c r="BB236" s="48"/>
      <c r="BC236" s="2"/>
      <c r="BD236" s="3"/>
      <c r="BE236" s="3"/>
      <c r="BF236" s="3"/>
      <c r="BG236" s="3"/>
    </row>
    <row r="237" spans="1:59" ht="15">
      <c r="A237" s="66" t="s">
        <v>628</v>
      </c>
      <c r="B237" s="67" t="s">
        <v>4456</v>
      </c>
      <c r="C237" s="67" t="s">
        <v>56</v>
      </c>
      <c r="D237" s="68">
        <v>76</v>
      </c>
      <c r="E237" s="70"/>
      <c r="F237" s="97" t="str">
        <f>HYPERLINK("https://i.ytimg.com/vi/Te0PKZf8xe0/default.jpg")</f>
        <v>https://i.ytimg.com/vi/Te0PKZf8xe0/default.jpg</v>
      </c>
      <c r="G237" s="67"/>
      <c r="H237" s="71" t="s">
        <v>1368</v>
      </c>
      <c r="I237" s="72"/>
      <c r="J237" s="72" t="s">
        <v>159</v>
      </c>
      <c r="K237" s="71" t="s">
        <v>1368</v>
      </c>
      <c r="L237" s="75">
        <v>667.5333333333333</v>
      </c>
      <c r="M237" s="76">
        <v>7956.74267578125</v>
      </c>
      <c r="N237" s="76">
        <v>7747.1005859375</v>
      </c>
      <c r="O237" s="77"/>
      <c r="P237" s="78"/>
      <c r="Q237" s="78"/>
      <c r="R237" s="82"/>
      <c r="S237" s="48">
        <v>3</v>
      </c>
      <c r="T237" s="48">
        <v>0</v>
      </c>
      <c r="U237" s="49">
        <v>0</v>
      </c>
      <c r="V237" s="49">
        <v>0.001425</v>
      </c>
      <c r="W237" s="49">
        <v>0.001185</v>
      </c>
      <c r="X237" s="49">
        <v>0.333752</v>
      </c>
      <c r="Y237" s="49">
        <v>1</v>
      </c>
      <c r="Z237" s="49">
        <v>0</v>
      </c>
      <c r="AA237" s="73">
        <v>237</v>
      </c>
      <c r="AB237" s="73"/>
      <c r="AC237" s="74"/>
      <c r="AD237" s="80" t="s">
        <v>1368</v>
      </c>
      <c r="AE237" s="80" t="s">
        <v>2034</v>
      </c>
      <c r="AF237" s="80" t="s">
        <v>2630</v>
      </c>
      <c r="AG237" s="80" t="s">
        <v>2907</v>
      </c>
      <c r="AH237" s="80" t="s">
        <v>3780</v>
      </c>
      <c r="AI237" s="80">
        <v>59</v>
      </c>
      <c r="AJ237" s="80">
        <v>0</v>
      </c>
      <c r="AK237" s="80">
        <v>1</v>
      </c>
      <c r="AL237" s="80">
        <v>0</v>
      </c>
      <c r="AM237" s="80" t="s">
        <v>4098</v>
      </c>
      <c r="AN237" s="96" t="str">
        <f>HYPERLINK("https://www.youtube.com/watch?v=Te0PKZf8xe0")</f>
        <v>https://www.youtube.com/watch?v=Te0PKZf8xe0</v>
      </c>
      <c r="AO237" s="80" t="str">
        <f>REPLACE(INDEX(GroupVertices[Group],MATCH(Vertices[[#This Row],[Vertex]],GroupVertices[Vertex],0)),1,1,"")</f>
        <v>3</v>
      </c>
      <c r="AP237" s="48">
        <v>0</v>
      </c>
      <c r="AQ237" s="49">
        <v>0</v>
      </c>
      <c r="AR237" s="48">
        <v>0</v>
      </c>
      <c r="AS237" s="49">
        <v>0</v>
      </c>
      <c r="AT237" s="48">
        <v>0</v>
      </c>
      <c r="AU237" s="49">
        <v>0</v>
      </c>
      <c r="AV237" s="48">
        <v>12</v>
      </c>
      <c r="AW237" s="49">
        <v>100</v>
      </c>
      <c r="AX237" s="48">
        <v>12</v>
      </c>
      <c r="AY237" s="48"/>
      <c r="AZ237" s="48"/>
      <c r="BA237" s="48"/>
      <c r="BB237" s="48"/>
      <c r="BC237" s="2"/>
      <c r="BD237" s="3"/>
      <c r="BE237" s="3"/>
      <c r="BF237" s="3"/>
      <c r="BG237" s="3"/>
    </row>
    <row r="238" spans="1:59" ht="15">
      <c r="A238" s="66" t="s">
        <v>852</v>
      </c>
      <c r="B238" s="67" t="s">
        <v>4456</v>
      </c>
      <c r="C238" s="67" t="s">
        <v>56</v>
      </c>
      <c r="D238" s="68">
        <v>54</v>
      </c>
      <c r="E238" s="70"/>
      <c r="F238" s="97" t="str">
        <f>HYPERLINK("https://i.ytimg.com/vi/VjOVhWfh6iI/default.jpg")</f>
        <v>https://i.ytimg.com/vi/VjOVhWfh6iI/default.jpg</v>
      </c>
      <c r="G238" s="67"/>
      <c r="H238" s="71" t="s">
        <v>1591</v>
      </c>
      <c r="I238" s="72"/>
      <c r="J238" s="72" t="s">
        <v>159</v>
      </c>
      <c r="K238" s="71" t="s">
        <v>1591</v>
      </c>
      <c r="L238" s="75">
        <v>445.35555555555555</v>
      </c>
      <c r="M238" s="76">
        <v>9442.6494140625</v>
      </c>
      <c r="N238" s="76">
        <v>3119.413330078125</v>
      </c>
      <c r="O238" s="77"/>
      <c r="P238" s="78"/>
      <c r="Q238" s="78"/>
      <c r="R238" s="82"/>
      <c r="S238" s="48">
        <v>2</v>
      </c>
      <c r="T238" s="48">
        <v>0</v>
      </c>
      <c r="U238" s="49">
        <v>0</v>
      </c>
      <c r="V238" s="49">
        <v>0.001429</v>
      </c>
      <c r="W238" s="49">
        <v>0.000918</v>
      </c>
      <c r="X238" s="49">
        <v>0.271092</v>
      </c>
      <c r="Y238" s="49">
        <v>0.5</v>
      </c>
      <c r="Z238" s="49">
        <v>0</v>
      </c>
      <c r="AA238" s="73">
        <v>238</v>
      </c>
      <c r="AB238" s="73"/>
      <c r="AC238" s="74"/>
      <c r="AD238" s="80" t="s">
        <v>1591</v>
      </c>
      <c r="AE238" s="80"/>
      <c r="AF238" s="80"/>
      <c r="AG238" s="80" t="s">
        <v>3317</v>
      </c>
      <c r="AH238" s="80" t="s">
        <v>4006</v>
      </c>
      <c r="AI238" s="80">
        <v>16036</v>
      </c>
      <c r="AJ238" s="80">
        <v>9</v>
      </c>
      <c r="AK238" s="80">
        <v>87</v>
      </c>
      <c r="AL238" s="80">
        <v>0</v>
      </c>
      <c r="AM238" s="80" t="s">
        <v>4098</v>
      </c>
      <c r="AN238" s="96" t="str">
        <f>HYPERLINK("https://www.youtube.com/watch?v=VjOVhWfh6iI")</f>
        <v>https://www.youtube.com/watch?v=VjOVhWfh6iI</v>
      </c>
      <c r="AO238" s="80" t="str">
        <f>REPLACE(INDEX(GroupVertices[Group],MATCH(Vertices[[#This Row],[Vertex]],GroupVertices[Vertex],0)),1,1,"")</f>
        <v>4</v>
      </c>
      <c r="AP238" s="48"/>
      <c r="AQ238" s="49"/>
      <c r="AR238" s="48"/>
      <c r="AS238" s="49"/>
      <c r="AT238" s="48"/>
      <c r="AU238" s="49"/>
      <c r="AV238" s="48"/>
      <c r="AW238" s="49"/>
      <c r="AX238" s="48"/>
      <c r="AY238" s="48"/>
      <c r="AZ238" s="48"/>
      <c r="BA238" s="48"/>
      <c r="BB238" s="48"/>
      <c r="BC238" s="2"/>
      <c r="BD238" s="3"/>
      <c r="BE238" s="3"/>
      <c r="BF238" s="3"/>
      <c r="BG238" s="3"/>
    </row>
    <row r="239" spans="1:59" ht="15">
      <c r="A239" s="66" t="s">
        <v>740</v>
      </c>
      <c r="B239" s="67" t="s">
        <v>4456</v>
      </c>
      <c r="C239" s="67" t="s">
        <v>56</v>
      </c>
      <c r="D239" s="68">
        <v>54</v>
      </c>
      <c r="E239" s="70"/>
      <c r="F239" s="97" t="str">
        <f>HYPERLINK("https://i.ytimg.com/vi/Mp-ddvQ1mRE/default.jpg")</f>
        <v>https://i.ytimg.com/vi/Mp-ddvQ1mRE/default.jpg</v>
      </c>
      <c r="G239" s="67"/>
      <c r="H239" s="71" t="s">
        <v>1481</v>
      </c>
      <c r="I239" s="72"/>
      <c r="J239" s="72" t="s">
        <v>159</v>
      </c>
      <c r="K239" s="71" t="s">
        <v>1481</v>
      </c>
      <c r="L239" s="75">
        <v>445.35555555555555</v>
      </c>
      <c r="M239" s="76">
        <v>3731.4091796875</v>
      </c>
      <c r="N239" s="76">
        <v>4808.373046875</v>
      </c>
      <c r="O239" s="77"/>
      <c r="P239" s="78"/>
      <c r="Q239" s="78"/>
      <c r="R239" s="82"/>
      <c r="S239" s="48">
        <v>2</v>
      </c>
      <c r="T239" s="48">
        <v>0</v>
      </c>
      <c r="U239" s="49">
        <v>0</v>
      </c>
      <c r="V239" s="49">
        <v>0.001439</v>
      </c>
      <c r="W239" s="49">
        <v>0.000802</v>
      </c>
      <c r="X239" s="49">
        <v>0.275928</v>
      </c>
      <c r="Y239" s="49">
        <v>0.5</v>
      </c>
      <c r="Z239" s="49">
        <v>0</v>
      </c>
      <c r="AA239" s="73">
        <v>239</v>
      </c>
      <c r="AB239" s="73"/>
      <c r="AC239" s="74"/>
      <c r="AD239" s="80" t="s">
        <v>1481</v>
      </c>
      <c r="AE239" s="80" t="s">
        <v>2136</v>
      </c>
      <c r="AF239" s="80" t="s">
        <v>2724</v>
      </c>
      <c r="AG239" s="80" t="s">
        <v>3250</v>
      </c>
      <c r="AH239" s="80" t="s">
        <v>3894</v>
      </c>
      <c r="AI239" s="80">
        <v>15812</v>
      </c>
      <c r="AJ239" s="80">
        <v>4</v>
      </c>
      <c r="AK239" s="80">
        <v>160</v>
      </c>
      <c r="AL239" s="80">
        <v>0</v>
      </c>
      <c r="AM239" s="80" t="s">
        <v>4098</v>
      </c>
      <c r="AN239" s="96" t="str">
        <f>HYPERLINK("https://www.youtube.com/watch?v=Mp-ddvQ1mRE")</f>
        <v>https://www.youtube.com/watch?v=Mp-ddvQ1mRE</v>
      </c>
      <c r="AO239" s="80" t="str">
        <f>REPLACE(INDEX(GroupVertices[Group],MATCH(Vertices[[#This Row],[Vertex]],GroupVertices[Vertex],0)),1,1,"")</f>
        <v>1</v>
      </c>
      <c r="AP239" s="48">
        <v>1</v>
      </c>
      <c r="AQ239" s="49">
        <v>3.225806451612903</v>
      </c>
      <c r="AR239" s="48">
        <v>1</v>
      </c>
      <c r="AS239" s="49">
        <v>3.225806451612903</v>
      </c>
      <c r="AT239" s="48">
        <v>0</v>
      </c>
      <c r="AU239" s="49">
        <v>0</v>
      </c>
      <c r="AV239" s="48">
        <v>29</v>
      </c>
      <c r="AW239" s="49">
        <v>93.54838709677419</v>
      </c>
      <c r="AX239" s="48">
        <v>31</v>
      </c>
      <c r="AY239" s="48"/>
      <c r="AZ239" s="48"/>
      <c r="BA239" s="48"/>
      <c r="BB239" s="48"/>
      <c r="BC239" s="2"/>
      <c r="BD239" s="3"/>
      <c r="BE239" s="3"/>
      <c r="BF239" s="3"/>
      <c r="BG239" s="3"/>
    </row>
    <row r="240" spans="1:59" ht="15">
      <c r="A240" s="66" t="s">
        <v>525</v>
      </c>
      <c r="B240" s="67" t="s">
        <v>4456</v>
      </c>
      <c r="C240" s="67" t="s">
        <v>56</v>
      </c>
      <c r="D240" s="68">
        <v>54</v>
      </c>
      <c r="E240" s="70"/>
      <c r="F240" s="97" t="str">
        <f>HYPERLINK("https://i.ytimg.com/vi/agDPDzqB4o0/default.jpg")</f>
        <v>https://i.ytimg.com/vi/agDPDzqB4o0/default.jpg</v>
      </c>
      <c r="G240" s="67"/>
      <c r="H240" s="71" t="s">
        <v>1256</v>
      </c>
      <c r="I240" s="72"/>
      <c r="J240" s="72" t="s">
        <v>159</v>
      </c>
      <c r="K240" s="71" t="s">
        <v>1256</v>
      </c>
      <c r="L240" s="75">
        <v>445.35555555555555</v>
      </c>
      <c r="M240" s="76">
        <v>6082.1943359375</v>
      </c>
      <c r="N240" s="76">
        <v>7855.36767578125</v>
      </c>
      <c r="O240" s="77"/>
      <c r="P240" s="78"/>
      <c r="Q240" s="78"/>
      <c r="R240" s="82"/>
      <c r="S240" s="48">
        <v>2</v>
      </c>
      <c r="T240" s="48">
        <v>0</v>
      </c>
      <c r="U240" s="49">
        <v>0</v>
      </c>
      <c r="V240" s="49">
        <v>0.001366</v>
      </c>
      <c r="W240" s="49">
        <v>0.000491</v>
      </c>
      <c r="X240" s="49">
        <v>0.282352</v>
      </c>
      <c r="Y240" s="49">
        <v>0.5</v>
      </c>
      <c r="Z240" s="49">
        <v>0</v>
      </c>
      <c r="AA240" s="73">
        <v>240</v>
      </c>
      <c r="AB240" s="73"/>
      <c r="AC240" s="74"/>
      <c r="AD240" s="80" t="s">
        <v>1256</v>
      </c>
      <c r="AE240" s="80" t="s">
        <v>1256</v>
      </c>
      <c r="AF240" s="80" t="s">
        <v>2543</v>
      </c>
      <c r="AG240" s="80" t="s">
        <v>3093</v>
      </c>
      <c r="AH240" s="80" t="s">
        <v>3668</v>
      </c>
      <c r="AI240" s="80">
        <v>13002</v>
      </c>
      <c r="AJ240" s="80">
        <v>2</v>
      </c>
      <c r="AK240" s="80">
        <v>4</v>
      </c>
      <c r="AL240" s="80">
        <v>0</v>
      </c>
      <c r="AM240" s="80" t="s">
        <v>4098</v>
      </c>
      <c r="AN240" s="96" t="str">
        <f>HYPERLINK("https://www.youtube.com/watch?v=agDPDzqB4o0")</f>
        <v>https://www.youtube.com/watch?v=agDPDzqB4o0</v>
      </c>
      <c r="AO240" s="80" t="str">
        <f>REPLACE(INDEX(GroupVertices[Group],MATCH(Vertices[[#This Row],[Vertex]],GroupVertices[Vertex],0)),1,1,"")</f>
        <v>3</v>
      </c>
      <c r="AP240" s="48">
        <v>0</v>
      </c>
      <c r="AQ240" s="49">
        <v>0</v>
      </c>
      <c r="AR240" s="48">
        <v>0</v>
      </c>
      <c r="AS240" s="49">
        <v>0</v>
      </c>
      <c r="AT240" s="48">
        <v>0</v>
      </c>
      <c r="AU240" s="49">
        <v>0</v>
      </c>
      <c r="AV240" s="48">
        <v>4</v>
      </c>
      <c r="AW240" s="49">
        <v>100</v>
      </c>
      <c r="AX240" s="48">
        <v>4</v>
      </c>
      <c r="AY240" s="48"/>
      <c r="AZ240" s="48"/>
      <c r="BA240" s="48"/>
      <c r="BB240" s="48"/>
      <c r="BC240" s="2"/>
      <c r="BD240" s="3"/>
      <c r="BE240" s="3"/>
      <c r="BF240" s="3"/>
      <c r="BG240" s="3"/>
    </row>
    <row r="241" spans="1:59" ht="15">
      <c r="A241" s="66" t="s">
        <v>814</v>
      </c>
      <c r="B241" s="67" t="s">
        <v>4456</v>
      </c>
      <c r="C241" s="67" t="s">
        <v>56</v>
      </c>
      <c r="D241" s="68">
        <v>54</v>
      </c>
      <c r="E241" s="70"/>
      <c r="F241" s="97" t="str">
        <f>HYPERLINK("https://i.ytimg.com/vi/H4PfZIzngS0/default.jpg")</f>
        <v>https://i.ytimg.com/vi/H4PfZIzngS0/default.jpg</v>
      </c>
      <c r="G241" s="67"/>
      <c r="H241" s="71" t="s">
        <v>1553</v>
      </c>
      <c r="I241" s="72"/>
      <c r="J241" s="72" t="s">
        <v>159</v>
      </c>
      <c r="K241" s="71" t="s">
        <v>1553</v>
      </c>
      <c r="L241" s="75">
        <v>445.35555555555555</v>
      </c>
      <c r="M241" s="76">
        <v>6312.5205078125</v>
      </c>
      <c r="N241" s="76">
        <v>6055.57373046875</v>
      </c>
      <c r="O241" s="77"/>
      <c r="P241" s="78"/>
      <c r="Q241" s="78"/>
      <c r="R241" s="82"/>
      <c r="S241" s="48">
        <v>2</v>
      </c>
      <c r="T241" s="48">
        <v>0</v>
      </c>
      <c r="U241" s="49">
        <v>0</v>
      </c>
      <c r="V241" s="49">
        <v>0.001464</v>
      </c>
      <c r="W241" s="49">
        <v>0.000899</v>
      </c>
      <c r="X241" s="49">
        <v>0.272895</v>
      </c>
      <c r="Y241" s="49">
        <v>0.5</v>
      </c>
      <c r="Z241" s="49">
        <v>0</v>
      </c>
      <c r="AA241" s="73">
        <v>241</v>
      </c>
      <c r="AB241" s="73"/>
      <c r="AC241" s="74"/>
      <c r="AD241" s="80" t="s">
        <v>1553</v>
      </c>
      <c r="AE241" s="80" t="s">
        <v>2202</v>
      </c>
      <c r="AF241" s="80" t="s">
        <v>2787</v>
      </c>
      <c r="AG241" s="80" t="s">
        <v>3299</v>
      </c>
      <c r="AH241" s="80" t="s">
        <v>3968</v>
      </c>
      <c r="AI241" s="80">
        <v>4986</v>
      </c>
      <c r="AJ241" s="80">
        <v>0</v>
      </c>
      <c r="AK241" s="80">
        <v>5</v>
      </c>
      <c r="AL241" s="80">
        <v>0</v>
      </c>
      <c r="AM241" s="80" t="s">
        <v>4098</v>
      </c>
      <c r="AN241" s="96" t="str">
        <f>HYPERLINK("https://www.youtube.com/watch?v=H4PfZIzngS0")</f>
        <v>https://www.youtube.com/watch?v=H4PfZIzngS0</v>
      </c>
      <c r="AO241" s="80" t="str">
        <f>REPLACE(INDEX(GroupVertices[Group],MATCH(Vertices[[#This Row],[Vertex]],GroupVertices[Vertex],0)),1,1,"")</f>
        <v>3</v>
      </c>
      <c r="AP241" s="48">
        <v>0</v>
      </c>
      <c r="AQ241" s="49">
        <v>0</v>
      </c>
      <c r="AR241" s="48">
        <v>0</v>
      </c>
      <c r="AS241" s="49">
        <v>0</v>
      </c>
      <c r="AT241" s="48">
        <v>0</v>
      </c>
      <c r="AU241" s="49">
        <v>0</v>
      </c>
      <c r="AV241" s="48">
        <v>14</v>
      </c>
      <c r="AW241" s="49">
        <v>100</v>
      </c>
      <c r="AX241" s="48">
        <v>14</v>
      </c>
      <c r="AY241" s="48"/>
      <c r="AZ241" s="48"/>
      <c r="BA241" s="48"/>
      <c r="BB241" s="48"/>
      <c r="BC241" s="2"/>
      <c r="BD241" s="3"/>
      <c r="BE241" s="3"/>
      <c r="BF241" s="3"/>
      <c r="BG241" s="3"/>
    </row>
    <row r="242" spans="1:59" ht="15">
      <c r="A242" s="66" t="s">
        <v>857</v>
      </c>
      <c r="B242" s="67" t="s">
        <v>4456</v>
      </c>
      <c r="C242" s="67" t="s">
        <v>56</v>
      </c>
      <c r="D242" s="68">
        <v>54</v>
      </c>
      <c r="E242" s="70"/>
      <c r="F242" s="97" t="str">
        <f>HYPERLINK("https://i.ytimg.com/vi/2ckmtne3VlI/default.jpg")</f>
        <v>https://i.ytimg.com/vi/2ckmtne3VlI/default.jpg</v>
      </c>
      <c r="G242" s="67"/>
      <c r="H242" s="71" t="s">
        <v>1596</v>
      </c>
      <c r="I242" s="72"/>
      <c r="J242" s="72" t="s">
        <v>159</v>
      </c>
      <c r="K242" s="71" t="s">
        <v>1596</v>
      </c>
      <c r="L242" s="75">
        <v>445.35555555555555</v>
      </c>
      <c r="M242" s="76">
        <v>9334.1552734375</v>
      </c>
      <c r="N242" s="76">
        <v>3407.193603515625</v>
      </c>
      <c r="O242" s="77"/>
      <c r="P242" s="78"/>
      <c r="Q242" s="78"/>
      <c r="R242" s="82"/>
      <c r="S242" s="48">
        <v>2</v>
      </c>
      <c r="T242" s="48">
        <v>0</v>
      </c>
      <c r="U242" s="49">
        <v>0</v>
      </c>
      <c r="V242" s="49">
        <v>0.001401</v>
      </c>
      <c r="W242" s="49">
        <v>0.000911</v>
      </c>
      <c r="X242" s="49">
        <v>0.275632</v>
      </c>
      <c r="Y242" s="49">
        <v>1</v>
      </c>
      <c r="Z242" s="49">
        <v>0</v>
      </c>
      <c r="AA242" s="73">
        <v>242</v>
      </c>
      <c r="AB242" s="73"/>
      <c r="AC242" s="74"/>
      <c r="AD242" s="80" t="s">
        <v>1596</v>
      </c>
      <c r="AE242" s="80" t="s">
        <v>2237</v>
      </c>
      <c r="AF242" s="80" t="s">
        <v>2821</v>
      </c>
      <c r="AG242" s="80" t="s">
        <v>3077</v>
      </c>
      <c r="AH242" s="80" t="s">
        <v>4011</v>
      </c>
      <c r="AI242" s="80">
        <v>3696</v>
      </c>
      <c r="AJ242" s="80">
        <v>1</v>
      </c>
      <c r="AK242" s="80">
        <v>12</v>
      </c>
      <c r="AL242" s="80">
        <v>0</v>
      </c>
      <c r="AM242" s="80" t="s">
        <v>4098</v>
      </c>
      <c r="AN242" s="96" t="str">
        <f>HYPERLINK("https://www.youtube.com/watch?v=2ckmtne3VlI")</f>
        <v>https://www.youtube.com/watch?v=2ckmtne3VlI</v>
      </c>
      <c r="AO242" s="80" t="str">
        <f>REPLACE(INDEX(GroupVertices[Group],MATCH(Vertices[[#This Row],[Vertex]],GroupVertices[Vertex],0)),1,1,"")</f>
        <v>4</v>
      </c>
      <c r="AP242" s="48">
        <v>0</v>
      </c>
      <c r="AQ242" s="49">
        <v>0</v>
      </c>
      <c r="AR242" s="48">
        <v>0</v>
      </c>
      <c r="AS242" s="49">
        <v>0</v>
      </c>
      <c r="AT242" s="48">
        <v>0</v>
      </c>
      <c r="AU242" s="49">
        <v>0</v>
      </c>
      <c r="AV242" s="48">
        <v>6</v>
      </c>
      <c r="AW242" s="49">
        <v>100</v>
      </c>
      <c r="AX242" s="48">
        <v>6</v>
      </c>
      <c r="AY242" s="48"/>
      <c r="AZ242" s="48"/>
      <c r="BA242" s="48"/>
      <c r="BB242" s="48"/>
      <c r="BC242" s="2"/>
      <c r="BD242" s="3"/>
      <c r="BE242" s="3"/>
      <c r="BF242" s="3"/>
      <c r="BG242" s="3"/>
    </row>
    <row r="243" spans="1:59" ht="15">
      <c r="A243" s="66" t="s">
        <v>802</v>
      </c>
      <c r="B243" s="67" t="s">
        <v>4456</v>
      </c>
      <c r="C243" s="67" t="s">
        <v>56</v>
      </c>
      <c r="D243" s="68">
        <v>54</v>
      </c>
      <c r="E243" s="70"/>
      <c r="F243" s="97" t="str">
        <f>HYPERLINK("https://i.ytimg.com/vi/_eAzDGAxCeg/default.jpg")</f>
        <v>https://i.ytimg.com/vi/_eAzDGAxCeg/default.jpg</v>
      </c>
      <c r="G243" s="67"/>
      <c r="H243" s="71" t="s">
        <v>1542</v>
      </c>
      <c r="I243" s="72"/>
      <c r="J243" s="72" t="s">
        <v>159</v>
      </c>
      <c r="K243" s="71" t="s">
        <v>1542</v>
      </c>
      <c r="L243" s="75">
        <v>445.35555555555555</v>
      </c>
      <c r="M243" s="76">
        <v>738.8643798828125</v>
      </c>
      <c r="N243" s="76">
        <v>7669.7333984375</v>
      </c>
      <c r="O243" s="77"/>
      <c r="P243" s="78"/>
      <c r="Q243" s="78"/>
      <c r="R243" s="82"/>
      <c r="S243" s="48">
        <v>2</v>
      </c>
      <c r="T243" s="48">
        <v>0</v>
      </c>
      <c r="U243" s="49">
        <v>0</v>
      </c>
      <c r="V243" s="49">
        <v>0.00141</v>
      </c>
      <c r="W243" s="49">
        <v>0.000588</v>
      </c>
      <c r="X243" s="49">
        <v>0.286928</v>
      </c>
      <c r="Y243" s="49">
        <v>1</v>
      </c>
      <c r="Z243" s="49">
        <v>0</v>
      </c>
      <c r="AA243" s="73">
        <v>243</v>
      </c>
      <c r="AB243" s="73"/>
      <c r="AC243" s="74"/>
      <c r="AD243" s="80" t="s">
        <v>1542</v>
      </c>
      <c r="AE243" s="80" t="s">
        <v>2191</v>
      </c>
      <c r="AF243" s="80" t="s">
        <v>2777</v>
      </c>
      <c r="AG243" s="80" t="s">
        <v>2986</v>
      </c>
      <c r="AH243" s="80" t="s">
        <v>3956</v>
      </c>
      <c r="AI243" s="80">
        <v>3410</v>
      </c>
      <c r="AJ243" s="80">
        <v>6</v>
      </c>
      <c r="AK243" s="80">
        <v>6</v>
      </c>
      <c r="AL243" s="80">
        <v>0</v>
      </c>
      <c r="AM243" s="80" t="s">
        <v>4098</v>
      </c>
      <c r="AN243" s="96" t="str">
        <f>HYPERLINK("https://www.youtube.com/watch?v=_eAzDGAxCeg")</f>
        <v>https://www.youtube.com/watch?v=_eAzDGAxCeg</v>
      </c>
      <c r="AO243" s="80" t="str">
        <f>REPLACE(INDEX(GroupVertices[Group],MATCH(Vertices[[#This Row],[Vertex]],GroupVertices[Vertex],0)),1,1,"")</f>
        <v>1</v>
      </c>
      <c r="AP243" s="48">
        <v>0</v>
      </c>
      <c r="AQ243" s="49">
        <v>0</v>
      </c>
      <c r="AR243" s="48">
        <v>0</v>
      </c>
      <c r="AS243" s="49">
        <v>0</v>
      </c>
      <c r="AT243" s="48">
        <v>0</v>
      </c>
      <c r="AU243" s="49">
        <v>0</v>
      </c>
      <c r="AV243" s="48">
        <v>35</v>
      </c>
      <c r="AW243" s="49">
        <v>100</v>
      </c>
      <c r="AX243" s="48">
        <v>35</v>
      </c>
      <c r="AY243" s="48"/>
      <c r="AZ243" s="48"/>
      <c r="BA243" s="48"/>
      <c r="BB243" s="48"/>
      <c r="BC243" s="2"/>
      <c r="BD243" s="3"/>
      <c r="BE243" s="3"/>
      <c r="BF243" s="3"/>
      <c r="BG243" s="3"/>
    </row>
    <row r="244" spans="1:59" ht="15">
      <c r="A244" s="66" t="s">
        <v>603</v>
      </c>
      <c r="B244" s="67" t="s">
        <v>4456</v>
      </c>
      <c r="C244" s="67" t="s">
        <v>56</v>
      </c>
      <c r="D244" s="68">
        <v>32</v>
      </c>
      <c r="E244" s="70"/>
      <c r="F244" s="97" t="str">
        <f>HYPERLINK("https://i.ytimg.com/vi/My3ei_hoaTw/default.jpg")</f>
        <v>https://i.ytimg.com/vi/My3ei_hoaTw/default.jpg</v>
      </c>
      <c r="G244" s="67"/>
      <c r="H244" s="71" t="s">
        <v>1343</v>
      </c>
      <c r="I244" s="72"/>
      <c r="J244" s="72" t="s">
        <v>159</v>
      </c>
      <c r="K244" s="71" t="s">
        <v>1343</v>
      </c>
      <c r="L244" s="75">
        <v>223.17777777777778</v>
      </c>
      <c r="M244" s="76">
        <v>261.6708984375</v>
      </c>
      <c r="N244" s="76">
        <v>3077.255126953125</v>
      </c>
      <c r="O244" s="77"/>
      <c r="P244" s="78"/>
      <c r="Q244" s="78"/>
      <c r="R244" s="82"/>
      <c r="S244" s="48">
        <v>1</v>
      </c>
      <c r="T244" s="48">
        <v>0</v>
      </c>
      <c r="U244" s="49">
        <v>0</v>
      </c>
      <c r="V244" s="49">
        <v>0.001355</v>
      </c>
      <c r="W244" s="49">
        <v>0.000464</v>
      </c>
      <c r="X244" s="49">
        <v>0.213042</v>
      </c>
      <c r="Y244" s="49">
        <v>0</v>
      </c>
      <c r="Z244" s="49">
        <v>0</v>
      </c>
      <c r="AA244" s="73">
        <v>244</v>
      </c>
      <c r="AB244" s="73"/>
      <c r="AC244" s="74"/>
      <c r="AD244" s="80" t="s">
        <v>1343</v>
      </c>
      <c r="AE244" s="80" t="s">
        <v>2009</v>
      </c>
      <c r="AF244" s="80" t="s">
        <v>2520</v>
      </c>
      <c r="AG244" s="80" t="s">
        <v>3077</v>
      </c>
      <c r="AH244" s="80" t="s">
        <v>3755</v>
      </c>
      <c r="AI244" s="80">
        <v>2399</v>
      </c>
      <c r="AJ244" s="80">
        <v>0</v>
      </c>
      <c r="AK244" s="80">
        <v>10</v>
      </c>
      <c r="AL244" s="80">
        <v>0</v>
      </c>
      <c r="AM244" s="80" t="s">
        <v>4098</v>
      </c>
      <c r="AN244" s="96" t="str">
        <f>HYPERLINK("https://www.youtube.com/watch?v=My3ei_hoaTw")</f>
        <v>https://www.youtube.com/watch?v=My3ei_hoaTw</v>
      </c>
      <c r="AO244" s="80" t="str">
        <f>REPLACE(INDEX(GroupVertices[Group],MATCH(Vertices[[#This Row],[Vertex]],GroupVertices[Vertex],0)),1,1,"")</f>
        <v>2</v>
      </c>
      <c r="AP244" s="48">
        <v>0</v>
      </c>
      <c r="AQ244" s="49">
        <v>0</v>
      </c>
      <c r="AR244" s="48">
        <v>0</v>
      </c>
      <c r="AS244" s="49">
        <v>0</v>
      </c>
      <c r="AT244" s="48">
        <v>0</v>
      </c>
      <c r="AU244" s="49">
        <v>0</v>
      </c>
      <c r="AV244" s="48">
        <v>6</v>
      </c>
      <c r="AW244" s="49">
        <v>100</v>
      </c>
      <c r="AX244" s="48">
        <v>6</v>
      </c>
      <c r="AY244" s="48"/>
      <c r="AZ244" s="48"/>
      <c r="BA244" s="48"/>
      <c r="BB244" s="48"/>
      <c r="BC244" s="2"/>
      <c r="BD244" s="3"/>
      <c r="BE244" s="3"/>
      <c r="BF244" s="3"/>
      <c r="BG244" s="3"/>
    </row>
    <row r="245" spans="1:59" ht="15">
      <c r="A245" s="66" t="s">
        <v>607</v>
      </c>
      <c r="B245" s="67" t="s">
        <v>4456</v>
      </c>
      <c r="C245" s="67" t="s">
        <v>56</v>
      </c>
      <c r="D245" s="68">
        <v>32</v>
      </c>
      <c r="E245" s="70"/>
      <c r="F245" s="97" t="str">
        <f>HYPERLINK("https://i.ytimg.com/vi/N-xYGzJNCCE/default.jpg")</f>
        <v>https://i.ytimg.com/vi/N-xYGzJNCCE/default.jpg</v>
      </c>
      <c r="G245" s="67"/>
      <c r="H245" s="71" t="s">
        <v>1347</v>
      </c>
      <c r="I245" s="72"/>
      <c r="J245" s="72" t="s">
        <v>159</v>
      </c>
      <c r="K245" s="71" t="s">
        <v>1347</v>
      </c>
      <c r="L245" s="75">
        <v>223.17777777777778</v>
      </c>
      <c r="M245" s="76">
        <v>382.93951416015625</v>
      </c>
      <c r="N245" s="76">
        <v>8060.5478515625</v>
      </c>
      <c r="O245" s="77"/>
      <c r="P245" s="78"/>
      <c r="Q245" s="78"/>
      <c r="R245" s="82"/>
      <c r="S245" s="48">
        <v>1</v>
      </c>
      <c r="T245" s="48">
        <v>0</v>
      </c>
      <c r="U245" s="49">
        <v>0</v>
      </c>
      <c r="V245" s="49">
        <v>0.001385</v>
      </c>
      <c r="W245" s="49">
        <v>0.000384</v>
      </c>
      <c r="X245" s="49">
        <v>0.217854</v>
      </c>
      <c r="Y245" s="49">
        <v>0</v>
      </c>
      <c r="Z245" s="49">
        <v>0</v>
      </c>
      <c r="AA245" s="73">
        <v>245</v>
      </c>
      <c r="AB245" s="73"/>
      <c r="AC245" s="74"/>
      <c r="AD245" s="80" t="s">
        <v>1347</v>
      </c>
      <c r="AE245" s="80" t="s">
        <v>2013</v>
      </c>
      <c r="AF245" s="80" t="s">
        <v>2611</v>
      </c>
      <c r="AG245" s="80" t="s">
        <v>2900</v>
      </c>
      <c r="AH245" s="80" t="s">
        <v>3759</v>
      </c>
      <c r="AI245" s="80">
        <v>2077</v>
      </c>
      <c r="AJ245" s="80">
        <v>2</v>
      </c>
      <c r="AK245" s="80">
        <v>21</v>
      </c>
      <c r="AL245" s="80">
        <v>0</v>
      </c>
      <c r="AM245" s="80" t="s">
        <v>4098</v>
      </c>
      <c r="AN245" s="96" t="str">
        <f>HYPERLINK("https://www.youtube.com/watch?v=N-xYGzJNCCE")</f>
        <v>https://www.youtube.com/watch?v=N-xYGzJNCCE</v>
      </c>
      <c r="AO245" s="80" t="str">
        <f>REPLACE(INDEX(GroupVertices[Group],MATCH(Vertices[[#This Row],[Vertex]],GroupVertices[Vertex],0)),1,1,"")</f>
        <v>1</v>
      </c>
      <c r="AP245" s="48">
        <v>0</v>
      </c>
      <c r="AQ245" s="49">
        <v>0</v>
      </c>
      <c r="AR245" s="48">
        <v>0</v>
      </c>
      <c r="AS245" s="49">
        <v>0</v>
      </c>
      <c r="AT245" s="48">
        <v>0</v>
      </c>
      <c r="AU245" s="49">
        <v>0</v>
      </c>
      <c r="AV245" s="48">
        <v>6</v>
      </c>
      <c r="AW245" s="49">
        <v>100</v>
      </c>
      <c r="AX245" s="48">
        <v>6</v>
      </c>
      <c r="AY245" s="48"/>
      <c r="AZ245" s="48"/>
      <c r="BA245" s="48"/>
      <c r="BB245" s="48"/>
      <c r="BC245" s="2"/>
      <c r="BD245" s="3"/>
      <c r="BE245" s="3"/>
      <c r="BF245" s="3"/>
      <c r="BG245" s="3"/>
    </row>
    <row r="246" spans="1:59" ht="15">
      <c r="A246" s="66" t="s">
        <v>747</v>
      </c>
      <c r="B246" s="67" t="s">
        <v>4456</v>
      </c>
      <c r="C246" s="67" t="s">
        <v>56</v>
      </c>
      <c r="D246" s="68">
        <v>54</v>
      </c>
      <c r="E246" s="70"/>
      <c r="F246" s="97" t="str">
        <f>HYPERLINK("https://i.ytimg.com/vi/g2IriWIcClk/default.jpg")</f>
        <v>https://i.ytimg.com/vi/g2IriWIcClk/default.jpg</v>
      </c>
      <c r="G246" s="67"/>
      <c r="H246" s="71" t="s">
        <v>1487</v>
      </c>
      <c r="I246" s="72"/>
      <c r="J246" s="72" t="s">
        <v>159</v>
      </c>
      <c r="K246" s="71" t="s">
        <v>1487</v>
      </c>
      <c r="L246" s="75">
        <v>445.35555555555555</v>
      </c>
      <c r="M246" s="76">
        <v>106.14649963378906</v>
      </c>
      <c r="N246" s="76">
        <v>1991.2977294921875</v>
      </c>
      <c r="O246" s="77"/>
      <c r="P246" s="78"/>
      <c r="Q246" s="78"/>
      <c r="R246" s="82"/>
      <c r="S246" s="48">
        <v>2</v>
      </c>
      <c r="T246" s="48">
        <v>0</v>
      </c>
      <c r="U246" s="49">
        <v>0</v>
      </c>
      <c r="V246" s="49">
        <v>0.001391</v>
      </c>
      <c r="W246" s="49">
        <v>0.0008</v>
      </c>
      <c r="X246" s="49">
        <v>0.273697</v>
      </c>
      <c r="Y246" s="49">
        <v>0.5</v>
      </c>
      <c r="Z246" s="49">
        <v>0</v>
      </c>
      <c r="AA246" s="73">
        <v>246</v>
      </c>
      <c r="AB246" s="73"/>
      <c r="AC246" s="74"/>
      <c r="AD246" s="80" t="s">
        <v>1487</v>
      </c>
      <c r="AE246" s="80" t="s">
        <v>2143</v>
      </c>
      <c r="AF246" s="80" t="s">
        <v>2401</v>
      </c>
      <c r="AG246" s="80" t="s">
        <v>2975</v>
      </c>
      <c r="AH246" s="80" t="s">
        <v>3901</v>
      </c>
      <c r="AI246" s="80">
        <v>1928</v>
      </c>
      <c r="AJ246" s="80">
        <v>0</v>
      </c>
      <c r="AK246" s="80">
        <v>7</v>
      </c>
      <c r="AL246" s="80">
        <v>0</v>
      </c>
      <c r="AM246" s="80" t="s">
        <v>4098</v>
      </c>
      <c r="AN246" s="96" t="str">
        <f>HYPERLINK("https://www.youtube.com/watch?v=g2IriWIcClk")</f>
        <v>https://www.youtube.com/watch?v=g2IriWIcClk</v>
      </c>
      <c r="AO246" s="80" t="str">
        <f>REPLACE(INDEX(GroupVertices[Group],MATCH(Vertices[[#This Row],[Vertex]],GroupVertices[Vertex],0)),1,1,"")</f>
        <v>2</v>
      </c>
      <c r="AP246" s="48">
        <v>0</v>
      </c>
      <c r="AQ246" s="49">
        <v>0</v>
      </c>
      <c r="AR246" s="48">
        <v>0</v>
      </c>
      <c r="AS246" s="49">
        <v>0</v>
      </c>
      <c r="AT246" s="48">
        <v>0</v>
      </c>
      <c r="AU246" s="49">
        <v>0</v>
      </c>
      <c r="AV246" s="48">
        <v>5</v>
      </c>
      <c r="AW246" s="49">
        <v>100</v>
      </c>
      <c r="AX246" s="48">
        <v>5</v>
      </c>
      <c r="AY246" s="48"/>
      <c r="AZ246" s="48"/>
      <c r="BA246" s="48"/>
      <c r="BB246" s="48"/>
      <c r="BC246" s="2"/>
      <c r="BD246" s="3"/>
      <c r="BE246" s="3"/>
      <c r="BF246" s="3"/>
      <c r="BG246" s="3"/>
    </row>
    <row r="247" spans="1:59" ht="15">
      <c r="A247" s="66" t="s">
        <v>898</v>
      </c>
      <c r="B247" s="67" t="s">
        <v>4456</v>
      </c>
      <c r="C247" s="67" t="s">
        <v>56</v>
      </c>
      <c r="D247" s="68">
        <v>54</v>
      </c>
      <c r="E247" s="70"/>
      <c r="F247" s="97" t="str">
        <f>HYPERLINK("https://i.ytimg.com/vi/7zZjLBtHf7c/default.jpg")</f>
        <v>https://i.ytimg.com/vi/7zZjLBtHf7c/default.jpg</v>
      </c>
      <c r="G247" s="67"/>
      <c r="H247" s="71" t="s">
        <v>1636</v>
      </c>
      <c r="I247" s="72"/>
      <c r="J247" s="72" t="s">
        <v>159</v>
      </c>
      <c r="K247" s="71" t="s">
        <v>1636</v>
      </c>
      <c r="L247" s="75">
        <v>445.35555555555555</v>
      </c>
      <c r="M247" s="76">
        <v>6401.9638671875</v>
      </c>
      <c r="N247" s="76">
        <v>1235.9635009765625</v>
      </c>
      <c r="O247" s="77"/>
      <c r="P247" s="78"/>
      <c r="Q247" s="78"/>
      <c r="R247" s="82"/>
      <c r="S247" s="48">
        <v>2</v>
      </c>
      <c r="T247" s="48">
        <v>0</v>
      </c>
      <c r="U247" s="49">
        <v>0</v>
      </c>
      <c r="V247" s="49">
        <v>0.001466</v>
      </c>
      <c r="W247" s="49">
        <v>0.000831</v>
      </c>
      <c r="X247" s="49">
        <v>0.280737</v>
      </c>
      <c r="Y247" s="49">
        <v>0.5</v>
      </c>
      <c r="Z247" s="49">
        <v>0</v>
      </c>
      <c r="AA247" s="73">
        <v>247</v>
      </c>
      <c r="AB247" s="73"/>
      <c r="AC247" s="74"/>
      <c r="AD247" s="80" t="s">
        <v>1636</v>
      </c>
      <c r="AE247" s="80"/>
      <c r="AF247" s="80"/>
      <c r="AG247" s="80" t="s">
        <v>3344</v>
      </c>
      <c r="AH247" s="80" t="s">
        <v>4052</v>
      </c>
      <c r="AI247" s="80">
        <v>1504</v>
      </c>
      <c r="AJ247" s="80">
        <v>1</v>
      </c>
      <c r="AK247" s="80">
        <v>10</v>
      </c>
      <c r="AL247" s="80">
        <v>0</v>
      </c>
      <c r="AM247" s="80" t="s">
        <v>4098</v>
      </c>
      <c r="AN247" s="96" t="str">
        <f>HYPERLINK("https://www.youtube.com/watch?v=7zZjLBtHf7c")</f>
        <v>https://www.youtube.com/watch?v=7zZjLBtHf7c</v>
      </c>
      <c r="AO247" s="80" t="str">
        <f>REPLACE(INDEX(GroupVertices[Group],MATCH(Vertices[[#This Row],[Vertex]],GroupVertices[Vertex],0)),1,1,"")</f>
        <v>4</v>
      </c>
      <c r="AP247" s="48"/>
      <c r="AQ247" s="49"/>
      <c r="AR247" s="48"/>
      <c r="AS247" s="49"/>
      <c r="AT247" s="48"/>
      <c r="AU247" s="49"/>
      <c r="AV247" s="48"/>
      <c r="AW247" s="49"/>
      <c r="AX247" s="48"/>
      <c r="AY247" s="48"/>
      <c r="AZ247" s="48"/>
      <c r="BA247" s="48"/>
      <c r="BB247" s="48"/>
      <c r="BC247" s="2"/>
      <c r="BD247" s="3"/>
      <c r="BE247" s="3"/>
      <c r="BF247" s="3"/>
      <c r="BG247" s="3"/>
    </row>
    <row r="248" spans="1:59" ht="15">
      <c r="A248" s="66" t="s">
        <v>795</v>
      </c>
      <c r="B248" s="67" t="s">
        <v>4456</v>
      </c>
      <c r="C248" s="67" t="s">
        <v>56</v>
      </c>
      <c r="D248" s="68">
        <v>54</v>
      </c>
      <c r="E248" s="70"/>
      <c r="F248" s="97" t="str">
        <f>HYPERLINK("https://i.ytimg.com/vi/7IEq6IktVY4/default.jpg")</f>
        <v>https://i.ytimg.com/vi/7IEq6IktVY4/default.jpg</v>
      </c>
      <c r="G248" s="67"/>
      <c r="H248" s="71" t="s">
        <v>1535</v>
      </c>
      <c r="I248" s="72"/>
      <c r="J248" s="72" t="s">
        <v>159</v>
      </c>
      <c r="K248" s="71" t="s">
        <v>1535</v>
      </c>
      <c r="L248" s="75">
        <v>445.35555555555555</v>
      </c>
      <c r="M248" s="76">
        <v>306.4781494140625</v>
      </c>
      <c r="N248" s="76">
        <v>7498.0830078125</v>
      </c>
      <c r="O248" s="77"/>
      <c r="P248" s="78"/>
      <c r="Q248" s="78"/>
      <c r="R248" s="82"/>
      <c r="S248" s="48">
        <v>2</v>
      </c>
      <c r="T248" s="48">
        <v>0</v>
      </c>
      <c r="U248" s="49">
        <v>0</v>
      </c>
      <c r="V248" s="49">
        <v>0.001399</v>
      </c>
      <c r="W248" s="49">
        <v>0.000533</v>
      </c>
      <c r="X248" s="49">
        <v>0.289755</v>
      </c>
      <c r="Y248" s="49">
        <v>1</v>
      </c>
      <c r="Z248" s="49">
        <v>0</v>
      </c>
      <c r="AA248" s="73">
        <v>248</v>
      </c>
      <c r="AB248" s="73"/>
      <c r="AC248" s="74"/>
      <c r="AD248" s="80" t="s">
        <v>1535</v>
      </c>
      <c r="AE248" s="80" t="s">
        <v>2184</v>
      </c>
      <c r="AF248" s="80" t="s">
        <v>2770</v>
      </c>
      <c r="AG248" s="80" t="s">
        <v>3287</v>
      </c>
      <c r="AH248" s="80" t="s">
        <v>3949</v>
      </c>
      <c r="AI248" s="80">
        <v>1428</v>
      </c>
      <c r="AJ248" s="80">
        <v>1</v>
      </c>
      <c r="AK248" s="80">
        <v>11</v>
      </c>
      <c r="AL248" s="80">
        <v>0</v>
      </c>
      <c r="AM248" s="80" t="s">
        <v>4098</v>
      </c>
      <c r="AN248" s="96" t="str">
        <f>HYPERLINK("https://www.youtube.com/watch?v=7IEq6IktVY4")</f>
        <v>https://www.youtube.com/watch?v=7IEq6IktVY4</v>
      </c>
      <c r="AO248" s="80" t="str">
        <f>REPLACE(INDEX(GroupVertices[Group],MATCH(Vertices[[#This Row],[Vertex]],GroupVertices[Vertex],0)),1,1,"")</f>
        <v>1</v>
      </c>
      <c r="AP248" s="48">
        <v>0</v>
      </c>
      <c r="AQ248" s="49">
        <v>0</v>
      </c>
      <c r="AR248" s="48">
        <v>0</v>
      </c>
      <c r="AS248" s="49">
        <v>0</v>
      </c>
      <c r="AT248" s="48">
        <v>0</v>
      </c>
      <c r="AU248" s="49">
        <v>0</v>
      </c>
      <c r="AV248" s="48">
        <v>4</v>
      </c>
      <c r="AW248" s="49">
        <v>100</v>
      </c>
      <c r="AX248" s="48">
        <v>4</v>
      </c>
      <c r="AY248" s="48"/>
      <c r="AZ248" s="48"/>
      <c r="BA248" s="48"/>
      <c r="BB248" s="48"/>
      <c r="BC248" s="2"/>
      <c r="BD248" s="3"/>
      <c r="BE248" s="3"/>
      <c r="BF248" s="3"/>
      <c r="BG248" s="3"/>
    </row>
    <row r="249" spans="1:59" ht="15">
      <c r="A249" s="66" t="s">
        <v>919</v>
      </c>
      <c r="B249" s="67" t="s">
        <v>4456</v>
      </c>
      <c r="C249" s="67" t="s">
        <v>56</v>
      </c>
      <c r="D249" s="68">
        <v>54</v>
      </c>
      <c r="E249" s="70"/>
      <c r="F249" s="97" t="str">
        <f>HYPERLINK("https://i.ytimg.com/vi/ba4TdpnMJm8/default.jpg")</f>
        <v>https://i.ytimg.com/vi/ba4TdpnMJm8/default.jpg</v>
      </c>
      <c r="G249" s="67"/>
      <c r="H249" s="71" t="s">
        <v>1657</v>
      </c>
      <c r="I249" s="72"/>
      <c r="J249" s="72" t="s">
        <v>159</v>
      </c>
      <c r="K249" s="71" t="s">
        <v>1657</v>
      </c>
      <c r="L249" s="75">
        <v>445.35555555555555</v>
      </c>
      <c r="M249" s="76">
        <v>859.9103393554688</v>
      </c>
      <c r="N249" s="76">
        <v>3501.799072265625</v>
      </c>
      <c r="O249" s="77"/>
      <c r="P249" s="78"/>
      <c r="Q249" s="78"/>
      <c r="R249" s="82"/>
      <c r="S249" s="48">
        <v>2</v>
      </c>
      <c r="T249" s="48">
        <v>0</v>
      </c>
      <c r="U249" s="49">
        <v>0</v>
      </c>
      <c r="V249" s="49">
        <v>0.001418</v>
      </c>
      <c r="W249" s="49">
        <v>0.000959</v>
      </c>
      <c r="X249" s="49">
        <v>0.27398</v>
      </c>
      <c r="Y249" s="49">
        <v>1</v>
      </c>
      <c r="Z249" s="49">
        <v>0</v>
      </c>
      <c r="AA249" s="73">
        <v>249</v>
      </c>
      <c r="AB249" s="73"/>
      <c r="AC249" s="74"/>
      <c r="AD249" s="80" t="s">
        <v>1657</v>
      </c>
      <c r="AE249" s="80" t="s">
        <v>2293</v>
      </c>
      <c r="AF249" s="80" t="s">
        <v>2874</v>
      </c>
      <c r="AG249" s="80" t="s">
        <v>3358</v>
      </c>
      <c r="AH249" s="80" t="s">
        <v>4073</v>
      </c>
      <c r="AI249" s="80">
        <v>1218</v>
      </c>
      <c r="AJ249" s="80">
        <v>0</v>
      </c>
      <c r="AK249" s="80">
        <v>13</v>
      </c>
      <c r="AL249" s="80">
        <v>0</v>
      </c>
      <c r="AM249" s="80" t="s">
        <v>4098</v>
      </c>
      <c r="AN249" s="96" t="str">
        <f>HYPERLINK("https://www.youtube.com/watch?v=ba4TdpnMJm8")</f>
        <v>https://www.youtube.com/watch?v=ba4TdpnMJm8</v>
      </c>
      <c r="AO249" s="80" t="str">
        <f>REPLACE(INDEX(GroupVertices[Group],MATCH(Vertices[[#This Row],[Vertex]],GroupVertices[Vertex],0)),1,1,"")</f>
        <v>2</v>
      </c>
      <c r="AP249" s="48">
        <v>0</v>
      </c>
      <c r="AQ249" s="49">
        <v>0</v>
      </c>
      <c r="AR249" s="48">
        <v>0</v>
      </c>
      <c r="AS249" s="49">
        <v>0</v>
      </c>
      <c r="AT249" s="48">
        <v>0</v>
      </c>
      <c r="AU249" s="49">
        <v>0</v>
      </c>
      <c r="AV249" s="48">
        <v>1</v>
      </c>
      <c r="AW249" s="49">
        <v>100</v>
      </c>
      <c r="AX249" s="48">
        <v>1</v>
      </c>
      <c r="AY249" s="48"/>
      <c r="AZ249" s="48"/>
      <c r="BA249" s="48"/>
      <c r="BB249" s="48"/>
      <c r="BC249" s="2"/>
      <c r="BD249" s="3"/>
      <c r="BE249" s="3"/>
      <c r="BF249" s="3"/>
      <c r="BG249" s="3"/>
    </row>
    <row r="250" spans="1:59" ht="15">
      <c r="A250" s="66" t="s">
        <v>370</v>
      </c>
      <c r="B250" s="67" t="s">
        <v>4456</v>
      </c>
      <c r="C250" s="67" t="s">
        <v>56</v>
      </c>
      <c r="D250" s="68">
        <v>32</v>
      </c>
      <c r="E250" s="70"/>
      <c r="F250" s="97" t="str">
        <f>HYPERLINK("https://i.ytimg.com/vi/RCmm58xSucY/default.jpg")</f>
        <v>https://i.ytimg.com/vi/RCmm58xSucY/default.jpg</v>
      </c>
      <c r="G250" s="67"/>
      <c r="H250" s="71" t="s">
        <v>1076</v>
      </c>
      <c r="I250" s="72"/>
      <c r="J250" s="72" t="s">
        <v>159</v>
      </c>
      <c r="K250" s="71" t="s">
        <v>1076</v>
      </c>
      <c r="L250" s="75">
        <v>223.17777777777778</v>
      </c>
      <c r="M250" s="76">
        <v>7648.62744140625</v>
      </c>
      <c r="N250" s="76">
        <v>4349.27587890625</v>
      </c>
      <c r="O250" s="77"/>
      <c r="P250" s="78"/>
      <c r="Q250" s="78"/>
      <c r="R250" s="82"/>
      <c r="S250" s="48">
        <v>1</v>
      </c>
      <c r="T250" s="48">
        <v>0</v>
      </c>
      <c r="U250" s="49">
        <v>0</v>
      </c>
      <c r="V250" s="49">
        <v>0.001333</v>
      </c>
      <c r="W250" s="49">
        <v>0.000382</v>
      </c>
      <c r="X250" s="49">
        <v>0.215397</v>
      </c>
      <c r="Y250" s="49">
        <v>0</v>
      </c>
      <c r="Z250" s="49">
        <v>0</v>
      </c>
      <c r="AA250" s="73">
        <v>250</v>
      </c>
      <c r="AB250" s="73"/>
      <c r="AC250" s="74"/>
      <c r="AD250" s="80" t="s">
        <v>1076</v>
      </c>
      <c r="AE250" s="80" t="s">
        <v>1786</v>
      </c>
      <c r="AF250" s="80"/>
      <c r="AG250" s="80" t="s">
        <v>2958</v>
      </c>
      <c r="AH250" s="80" t="s">
        <v>3489</v>
      </c>
      <c r="AI250" s="80">
        <v>796</v>
      </c>
      <c r="AJ250" s="80">
        <v>0</v>
      </c>
      <c r="AK250" s="80">
        <v>0</v>
      </c>
      <c r="AL250" s="80">
        <v>0</v>
      </c>
      <c r="AM250" s="80" t="s">
        <v>4098</v>
      </c>
      <c r="AN250" s="96" t="str">
        <f>HYPERLINK("https://www.youtube.com/watch?v=RCmm58xSucY")</f>
        <v>https://www.youtube.com/watch?v=RCmm58xSucY</v>
      </c>
      <c r="AO250" s="80" t="str">
        <f>REPLACE(INDEX(GroupVertices[Group],MATCH(Vertices[[#This Row],[Vertex]],GroupVertices[Vertex],0)),1,1,"")</f>
        <v>3</v>
      </c>
      <c r="AP250" s="48"/>
      <c r="AQ250" s="49"/>
      <c r="AR250" s="48"/>
      <c r="AS250" s="49"/>
      <c r="AT250" s="48"/>
      <c r="AU250" s="49"/>
      <c r="AV250" s="48"/>
      <c r="AW250" s="49"/>
      <c r="AX250" s="48"/>
      <c r="AY250" s="48"/>
      <c r="AZ250" s="48"/>
      <c r="BA250" s="48"/>
      <c r="BB250" s="48"/>
      <c r="BC250" s="2"/>
      <c r="BD250" s="3"/>
      <c r="BE250" s="3"/>
      <c r="BF250" s="3"/>
      <c r="BG250" s="3"/>
    </row>
    <row r="251" spans="1:59" ht="15">
      <c r="A251" s="66" t="s">
        <v>918</v>
      </c>
      <c r="B251" s="67" t="s">
        <v>4456</v>
      </c>
      <c r="C251" s="67" t="s">
        <v>56</v>
      </c>
      <c r="D251" s="68">
        <v>54</v>
      </c>
      <c r="E251" s="70"/>
      <c r="F251" s="97" t="str">
        <f>HYPERLINK("https://i.ytimg.com/vi/vtTa5bPgfJs/default.jpg")</f>
        <v>https://i.ytimg.com/vi/vtTa5bPgfJs/default.jpg</v>
      </c>
      <c r="G251" s="67"/>
      <c r="H251" s="71" t="s">
        <v>1656</v>
      </c>
      <c r="I251" s="72"/>
      <c r="J251" s="72" t="s">
        <v>159</v>
      </c>
      <c r="K251" s="71" t="s">
        <v>1656</v>
      </c>
      <c r="L251" s="75">
        <v>445.35555555555555</v>
      </c>
      <c r="M251" s="76">
        <v>652.060302734375</v>
      </c>
      <c r="N251" s="76">
        <v>3271.983642578125</v>
      </c>
      <c r="O251" s="77"/>
      <c r="P251" s="78"/>
      <c r="Q251" s="78"/>
      <c r="R251" s="82"/>
      <c r="S251" s="48">
        <v>2</v>
      </c>
      <c r="T251" s="48">
        <v>0</v>
      </c>
      <c r="U251" s="49">
        <v>0</v>
      </c>
      <c r="V251" s="49">
        <v>0.001418</v>
      </c>
      <c r="W251" s="49">
        <v>0.000959</v>
      </c>
      <c r="X251" s="49">
        <v>0.27398</v>
      </c>
      <c r="Y251" s="49">
        <v>1</v>
      </c>
      <c r="Z251" s="49">
        <v>0</v>
      </c>
      <c r="AA251" s="73">
        <v>251</v>
      </c>
      <c r="AB251" s="73"/>
      <c r="AC251" s="74"/>
      <c r="AD251" s="80" t="s">
        <v>1656</v>
      </c>
      <c r="AE251" s="80" t="s">
        <v>2292</v>
      </c>
      <c r="AF251" s="80" t="s">
        <v>2873</v>
      </c>
      <c r="AG251" s="80" t="s">
        <v>3357</v>
      </c>
      <c r="AH251" s="80" t="s">
        <v>4072</v>
      </c>
      <c r="AI251" s="80">
        <v>770</v>
      </c>
      <c r="AJ251" s="80">
        <v>1</v>
      </c>
      <c r="AK251" s="80">
        <v>6</v>
      </c>
      <c r="AL251" s="80">
        <v>0</v>
      </c>
      <c r="AM251" s="80" t="s">
        <v>4098</v>
      </c>
      <c r="AN251" s="96" t="str">
        <f>HYPERLINK("https://www.youtube.com/watch?v=vtTa5bPgfJs")</f>
        <v>https://www.youtube.com/watch?v=vtTa5bPgfJs</v>
      </c>
      <c r="AO251" s="80" t="str">
        <f>REPLACE(INDEX(GroupVertices[Group],MATCH(Vertices[[#This Row],[Vertex]],GroupVertices[Vertex],0)),1,1,"")</f>
        <v>2</v>
      </c>
      <c r="AP251" s="48">
        <v>0</v>
      </c>
      <c r="AQ251" s="49">
        <v>0</v>
      </c>
      <c r="AR251" s="48">
        <v>0</v>
      </c>
      <c r="AS251" s="49">
        <v>0</v>
      </c>
      <c r="AT251" s="48">
        <v>0</v>
      </c>
      <c r="AU251" s="49">
        <v>0</v>
      </c>
      <c r="AV251" s="48">
        <v>1</v>
      </c>
      <c r="AW251" s="49">
        <v>100</v>
      </c>
      <c r="AX251" s="48">
        <v>1</v>
      </c>
      <c r="AY251" s="48"/>
      <c r="AZ251" s="48"/>
      <c r="BA251" s="48"/>
      <c r="BB251" s="48"/>
      <c r="BC251" s="2"/>
      <c r="BD251" s="3"/>
      <c r="BE251" s="3"/>
      <c r="BF251" s="3"/>
      <c r="BG251" s="3"/>
    </row>
    <row r="252" spans="1:59" ht="15">
      <c r="A252" s="66" t="s">
        <v>707</v>
      </c>
      <c r="B252" s="67" t="s">
        <v>4456</v>
      </c>
      <c r="C252" s="67" t="s">
        <v>56</v>
      </c>
      <c r="D252" s="68">
        <v>54</v>
      </c>
      <c r="E252" s="70"/>
      <c r="F252" s="97" t="str">
        <f>HYPERLINK("https://i.ytimg.com/vi/YrHNhqrmPs0/default.jpg")</f>
        <v>https://i.ytimg.com/vi/YrHNhqrmPs0/default.jpg</v>
      </c>
      <c r="G252" s="67"/>
      <c r="H252" s="71" t="s">
        <v>1448</v>
      </c>
      <c r="I252" s="72"/>
      <c r="J252" s="72" t="s">
        <v>159</v>
      </c>
      <c r="K252" s="71" t="s">
        <v>1448</v>
      </c>
      <c r="L252" s="75">
        <v>445.35555555555555</v>
      </c>
      <c r="M252" s="76">
        <v>7048.8759765625</v>
      </c>
      <c r="N252" s="76">
        <v>9052.4296875</v>
      </c>
      <c r="O252" s="77"/>
      <c r="P252" s="78"/>
      <c r="Q252" s="78"/>
      <c r="R252" s="82"/>
      <c r="S252" s="48">
        <v>2</v>
      </c>
      <c r="T252" s="48">
        <v>0</v>
      </c>
      <c r="U252" s="49">
        <v>0</v>
      </c>
      <c r="V252" s="49">
        <v>0.001368</v>
      </c>
      <c r="W252" s="49">
        <v>0.000536</v>
      </c>
      <c r="X252" s="49">
        <v>0.280374</v>
      </c>
      <c r="Y252" s="49">
        <v>0.5</v>
      </c>
      <c r="Z252" s="49">
        <v>0</v>
      </c>
      <c r="AA252" s="73">
        <v>252</v>
      </c>
      <c r="AB252" s="73"/>
      <c r="AC252" s="74"/>
      <c r="AD252" s="80" t="s">
        <v>1448</v>
      </c>
      <c r="AE252" s="80" t="s">
        <v>2106</v>
      </c>
      <c r="AF252" s="80" t="s">
        <v>2665</v>
      </c>
      <c r="AG252" s="80" t="s">
        <v>3205</v>
      </c>
      <c r="AH252" s="80" t="s">
        <v>3861</v>
      </c>
      <c r="AI252" s="80">
        <v>764</v>
      </c>
      <c r="AJ252" s="80">
        <v>0</v>
      </c>
      <c r="AK252" s="80">
        <v>0</v>
      </c>
      <c r="AL252" s="80">
        <v>0</v>
      </c>
      <c r="AM252" s="80" t="s">
        <v>4098</v>
      </c>
      <c r="AN252" s="96" t="str">
        <f>HYPERLINK("https://www.youtube.com/watch?v=YrHNhqrmPs0")</f>
        <v>https://www.youtube.com/watch?v=YrHNhqrmPs0</v>
      </c>
      <c r="AO252" s="80" t="str">
        <f>REPLACE(INDEX(GroupVertices[Group],MATCH(Vertices[[#This Row],[Vertex]],GroupVertices[Vertex],0)),1,1,"")</f>
        <v>3</v>
      </c>
      <c r="AP252" s="48">
        <v>0</v>
      </c>
      <c r="AQ252" s="49">
        <v>0</v>
      </c>
      <c r="AR252" s="48">
        <v>0</v>
      </c>
      <c r="AS252" s="49">
        <v>0</v>
      </c>
      <c r="AT252" s="48">
        <v>0</v>
      </c>
      <c r="AU252" s="49">
        <v>0</v>
      </c>
      <c r="AV252" s="48">
        <v>9</v>
      </c>
      <c r="AW252" s="49">
        <v>100</v>
      </c>
      <c r="AX252" s="48">
        <v>9</v>
      </c>
      <c r="AY252" s="48"/>
      <c r="AZ252" s="48"/>
      <c r="BA252" s="48"/>
      <c r="BB252" s="48"/>
      <c r="BC252" s="2"/>
      <c r="BD252" s="3"/>
      <c r="BE252" s="3"/>
      <c r="BF252" s="3"/>
      <c r="BG252" s="3"/>
    </row>
    <row r="253" spans="1:59" ht="15">
      <c r="A253" s="66" t="s">
        <v>297</v>
      </c>
      <c r="B253" s="67" t="s">
        <v>4456</v>
      </c>
      <c r="C253" s="67" t="s">
        <v>56</v>
      </c>
      <c r="D253" s="68">
        <v>54</v>
      </c>
      <c r="E253" s="70"/>
      <c r="F253" s="97" t="str">
        <f>HYPERLINK("https://i.ytimg.com/vi/Y7S5IF_lDp8/default.jpg")</f>
        <v>https://i.ytimg.com/vi/Y7S5IF_lDp8/default.jpg</v>
      </c>
      <c r="G253" s="67"/>
      <c r="H253" s="71" t="s">
        <v>995</v>
      </c>
      <c r="I253" s="72"/>
      <c r="J253" s="72" t="s">
        <v>159</v>
      </c>
      <c r="K253" s="71" t="s">
        <v>995</v>
      </c>
      <c r="L253" s="75">
        <v>445.35555555555555</v>
      </c>
      <c r="M253" s="76">
        <v>6355.80419921875</v>
      </c>
      <c r="N253" s="76">
        <v>7201.40478515625</v>
      </c>
      <c r="O253" s="77"/>
      <c r="P253" s="78"/>
      <c r="Q253" s="78"/>
      <c r="R253" s="82"/>
      <c r="S253" s="48">
        <v>2</v>
      </c>
      <c r="T253" s="48">
        <v>0</v>
      </c>
      <c r="U253" s="49">
        <v>0</v>
      </c>
      <c r="V253" s="49">
        <v>0.001379</v>
      </c>
      <c r="W253" s="49">
        <v>0.00067</v>
      </c>
      <c r="X253" s="49">
        <v>0.275244</v>
      </c>
      <c r="Y253" s="49">
        <v>0.5</v>
      </c>
      <c r="Z253" s="49">
        <v>0</v>
      </c>
      <c r="AA253" s="73">
        <v>253</v>
      </c>
      <c r="AB253" s="73"/>
      <c r="AC253" s="74"/>
      <c r="AD253" s="80" t="s">
        <v>995</v>
      </c>
      <c r="AE253" s="80" t="s">
        <v>1718</v>
      </c>
      <c r="AF253" s="80" t="s">
        <v>2350</v>
      </c>
      <c r="AG253" s="80" t="s">
        <v>2907</v>
      </c>
      <c r="AH253" s="80" t="s">
        <v>3410</v>
      </c>
      <c r="AI253" s="80">
        <v>356</v>
      </c>
      <c r="AJ253" s="80">
        <v>0</v>
      </c>
      <c r="AK253" s="80">
        <v>0</v>
      </c>
      <c r="AL253" s="80">
        <v>0</v>
      </c>
      <c r="AM253" s="80" t="s">
        <v>4098</v>
      </c>
      <c r="AN253" s="96" t="str">
        <f>HYPERLINK("https://www.youtube.com/watch?v=Y7S5IF_lDp8")</f>
        <v>https://www.youtube.com/watch?v=Y7S5IF_lDp8</v>
      </c>
      <c r="AO253" s="80" t="str">
        <f>REPLACE(INDEX(GroupVertices[Group],MATCH(Vertices[[#This Row],[Vertex]],GroupVertices[Vertex],0)),1,1,"")</f>
        <v>3</v>
      </c>
      <c r="AP253" s="48">
        <v>0</v>
      </c>
      <c r="AQ253" s="49">
        <v>0</v>
      </c>
      <c r="AR253" s="48">
        <v>0</v>
      </c>
      <c r="AS253" s="49">
        <v>0</v>
      </c>
      <c r="AT253" s="48">
        <v>0</v>
      </c>
      <c r="AU253" s="49">
        <v>0</v>
      </c>
      <c r="AV253" s="48">
        <v>25</v>
      </c>
      <c r="AW253" s="49">
        <v>100</v>
      </c>
      <c r="AX253" s="48">
        <v>25</v>
      </c>
      <c r="AY253" s="48"/>
      <c r="AZ253" s="48"/>
      <c r="BA253" s="48"/>
      <c r="BB253" s="48"/>
      <c r="BC253" s="2"/>
      <c r="BD253" s="3"/>
      <c r="BE253" s="3"/>
      <c r="BF253" s="3"/>
      <c r="BG253" s="3"/>
    </row>
    <row r="254" spans="1:59" ht="15">
      <c r="A254" s="66" t="s">
        <v>786</v>
      </c>
      <c r="B254" s="67" t="s">
        <v>4456</v>
      </c>
      <c r="C254" s="67" t="s">
        <v>56</v>
      </c>
      <c r="D254" s="68">
        <v>54</v>
      </c>
      <c r="E254" s="70"/>
      <c r="F254" s="97" t="str">
        <f>HYPERLINK("https://i.ytimg.com/vi/PSygsopzXg8/default.jpg")</f>
        <v>https://i.ytimg.com/vi/PSygsopzXg8/default.jpg</v>
      </c>
      <c r="G254" s="67"/>
      <c r="H254" s="71" t="s">
        <v>1526</v>
      </c>
      <c r="I254" s="72"/>
      <c r="J254" s="72" t="s">
        <v>159</v>
      </c>
      <c r="K254" s="71" t="s">
        <v>1526</v>
      </c>
      <c r="L254" s="75">
        <v>445.35555555555555</v>
      </c>
      <c r="M254" s="76">
        <v>8935.6240234375</v>
      </c>
      <c r="N254" s="76">
        <v>144.4942169189453</v>
      </c>
      <c r="O254" s="77"/>
      <c r="P254" s="78"/>
      <c r="Q254" s="78"/>
      <c r="R254" s="82"/>
      <c r="S254" s="48">
        <v>2</v>
      </c>
      <c r="T254" s="48">
        <v>0</v>
      </c>
      <c r="U254" s="49">
        <v>0</v>
      </c>
      <c r="V254" s="49">
        <v>0.001401</v>
      </c>
      <c r="W254" s="49">
        <v>0.000793</v>
      </c>
      <c r="X254" s="49">
        <v>0.270835</v>
      </c>
      <c r="Y254" s="49">
        <v>1</v>
      </c>
      <c r="Z254" s="49">
        <v>0</v>
      </c>
      <c r="AA254" s="73">
        <v>254</v>
      </c>
      <c r="AB254" s="73"/>
      <c r="AC254" s="74"/>
      <c r="AD254" s="80" t="s">
        <v>1526</v>
      </c>
      <c r="AE254" s="80" t="s">
        <v>2175</v>
      </c>
      <c r="AF254" s="80"/>
      <c r="AG254" s="80" t="s">
        <v>2999</v>
      </c>
      <c r="AH254" s="80" t="s">
        <v>3940</v>
      </c>
      <c r="AI254" s="80">
        <v>179</v>
      </c>
      <c r="AJ254" s="80">
        <v>0</v>
      </c>
      <c r="AK254" s="80">
        <v>1</v>
      </c>
      <c r="AL254" s="80">
        <v>0</v>
      </c>
      <c r="AM254" s="80" t="s">
        <v>4098</v>
      </c>
      <c r="AN254" s="96" t="str">
        <f>HYPERLINK("https://www.youtube.com/watch?v=PSygsopzXg8")</f>
        <v>https://www.youtube.com/watch?v=PSygsopzXg8</v>
      </c>
      <c r="AO254" s="80" t="str">
        <f>REPLACE(INDEX(GroupVertices[Group],MATCH(Vertices[[#This Row],[Vertex]],GroupVertices[Vertex],0)),1,1,"")</f>
        <v>4</v>
      </c>
      <c r="AP254" s="48"/>
      <c r="AQ254" s="49"/>
      <c r="AR254" s="48"/>
      <c r="AS254" s="49"/>
      <c r="AT254" s="48"/>
      <c r="AU254" s="49"/>
      <c r="AV254" s="48"/>
      <c r="AW254" s="49"/>
      <c r="AX254" s="48"/>
      <c r="AY254" s="48"/>
      <c r="AZ254" s="48"/>
      <c r="BA254" s="48"/>
      <c r="BB254" s="48"/>
      <c r="BC254" s="2"/>
      <c r="BD254" s="3"/>
      <c r="BE254" s="3"/>
      <c r="BF254" s="3"/>
      <c r="BG254" s="3"/>
    </row>
    <row r="255" spans="1:59" ht="15">
      <c r="A255" s="66" t="s">
        <v>451</v>
      </c>
      <c r="B255" s="67" t="s">
        <v>4456</v>
      </c>
      <c r="C255" s="67" t="s">
        <v>56</v>
      </c>
      <c r="D255" s="68">
        <v>32</v>
      </c>
      <c r="E255" s="70"/>
      <c r="F255" s="97" t="str">
        <f>HYPERLINK("https://i.ytimg.com/vi/nZbFYwbyFhQ/default.jpg")</f>
        <v>https://i.ytimg.com/vi/nZbFYwbyFhQ/default.jpg</v>
      </c>
      <c r="G255" s="67"/>
      <c r="H255" s="71" t="s">
        <v>1161</v>
      </c>
      <c r="I255" s="72"/>
      <c r="J255" s="72" t="s">
        <v>159</v>
      </c>
      <c r="K255" s="71" t="s">
        <v>1161</v>
      </c>
      <c r="L255" s="75">
        <v>223.17777777777778</v>
      </c>
      <c r="M255" s="76">
        <v>6270.14990234375</v>
      </c>
      <c r="N255" s="76">
        <v>6784.22607421875</v>
      </c>
      <c r="O255" s="77"/>
      <c r="P255" s="78"/>
      <c r="Q255" s="78"/>
      <c r="R255" s="82"/>
      <c r="S255" s="48">
        <v>1</v>
      </c>
      <c r="T255" s="48">
        <v>0</v>
      </c>
      <c r="U255" s="49">
        <v>0</v>
      </c>
      <c r="V255" s="49">
        <v>0.001325</v>
      </c>
      <c r="W255" s="49">
        <v>0.000398</v>
      </c>
      <c r="X255" s="49">
        <v>0.210534</v>
      </c>
      <c r="Y255" s="49">
        <v>0</v>
      </c>
      <c r="Z255" s="49">
        <v>0</v>
      </c>
      <c r="AA255" s="73">
        <v>255</v>
      </c>
      <c r="AB255" s="73"/>
      <c r="AC255" s="74"/>
      <c r="AD255" s="80" t="s">
        <v>1161</v>
      </c>
      <c r="AE255" s="80" t="s">
        <v>1852</v>
      </c>
      <c r="AF255" s="80" t="s">
        <v>1245</v>
      </c>
      <c r="AG255" s="80" t="s">
        <v>3025</v>
      </c>
      <c r="AH255" s="80" t="s">
        <v>3574</v>
      </c>
      <c r="AI255" s="80">
        <v>117</v>
      </c>
      <c r="AJ255" s="80">
        <v>0</v>
      </c>
      <c r="AK255" s="80">
        <v>1</v>
      </c>
      <c r="AL255" s="80">
        <v>0</v>
      </c>
      <c r="AM255" s="80" t="s">
        <v>4098</v>
      </c>
      <c r="AN255" s="96" t="str">
        <f>HYPERLINK("https://www.youtube.com/watch?v=nZbFYwbyFhQ")</f>
        <v>https://www.youtube.com/watch?v=nZbFYwbyFhQ</v>
      </c>
      <c r="AO255" s="80" t="str">
        <f>REPLACE(INDEX(GroupVertices[Group],MATCH(Vertices[[#This Row],[Vertex]],GroupVertices[Vertex],0)),1,1,"")</f>
        <v>3</v>
      </c>
      <c r="AP255" s="48">
        <v>0</v>
      </c>
      <c r="AQ255" s="49">
        <v>0</v>
      </c>
      <c r="AR255" s="48">
        <v>0</v>
      </c>
      <c r="AS255" s="49">
        <v>0</v>
      </c>
      <c r="AT255" s="48">
        <v>0</v>
      </c>
      <c r="AU255" s="49">
        <v>0</v>
      </c>
      <c r="AV255" s="48">
        <v>1</v>
      </c>
      <c r="AW255" s="49">
        <v>100</v>
      </c>
      <c r="AX255" s="48">
        <v>1</v>
      </c>
      <c r="AY255" s="48"/>
      <c r="AZ255" s="48"/>
      <c r="BA255" s="48"/>
      <c r="BB255" s="48"/>
      <c r="BC255" s="2"/>
      <c r="BD255" s="3"/>
      <c r="BE255" s="3"/>
      <c r="BF255" s="3"/>
      <c r="BG255" s="3"/>
    </row>
    <row r="256" spans="1:59" ht="15">
      <c r="A256" s="66" t="s">
        <v>452</v>
      </c>
      <c r="B256" s="67" t="s">
        <v>4456</v>
      </c>
      <c r="C256" s="67" t="s">
        <v>56</v>
      </c>
      <c r="D256" s="68">
        <v>54</v>
      </c>
      <c r="E256" s="70"/>
      <c r="F256" s="97" t="str">
        <f>HYPERLINK("https://i.ytimg.com/vi/KqCUrtdVnkU/default.jpg")</f>
        <v>https://i.ytimg.com/vi/KqCUrtdVnkU/default.jpg</v>
      </c>
      <c r="G256" s="67"/>
      <c r="H256" s="71" t="s">
        <v>1162</v>
      </c>
      <c r="I256" s="72"/>
      <c r="J256" s="72" t="s">
        <v>159</v>
      </c>
      <c r="K256" s="71" t="s">
        <v>1162</v>
      </c>
      <c r="L256" s="75">
        <v>445.35555555555555</v>
      </c>
      <c r="M256" s="76">
        <v>7751.7158203125</v>
      </c>
      <c r="N256" s="76">
        <v>8503.314453125</v>
      </c>
      <c r="O256" s="77"/>
      <c r="P256" s="78"/>
      <c r="Q256" s="78"/>
      <c r="R256" s="82"/>
      <c r="S256" s="48">
        <v>2</v>
      </c>
      <c r="T256" s="48">
        <v>0</v>
      </c>
      <c r="U256" s="49">
        <v>0</v>
      </c>
      <c r="V256" s="49">
        <v>0.001381</v>
      </c>
      <c r="W256" s="49">
        <v>0.000774</v>
      </c>
      <c r="X256" s="49">
        <v>0.271274</v>
      </c>
      <c r="Y256" s="49">
        <v>1</v>
      </c>
      <c r="Z256" s="49">
        <v>0</v>
      </c>
      <c r="AA256" s="73">
        <v>256</v>
      </c>
      <c r="AB256" s="73"/>
      <c r="AC256" s="74"/>
      <c r="AD256" s="80" t="s">
        <v>1162</v>
      </c>
      <c r="AE256" s="80" t="s">
        <v>1853</v>
      </c>
      <c r="AF256" s="80" t="s">
        <v>2472</v>
      </c>
      <c r="AG256" s="80" t="s">
        <v>2907</v>
      </c>
      <c r="AH256" s="80" t="s">
        <v>3575</v>
      </c>
      <c r="AI256" s="80">
        <v>117</v>
      </c>
      <c r="AJ256" s="80">
        <v>3</v>
      </c>
      <c r="AK256" s="80">
        <v>2</v>
      </c>
      <c r="AL256" s="80">
        <v>0</v>
      </c>
      <c r="AM256" s="80" t="s">
        <v>4098</v>
      </c>
      <c r="AN256" s="96" t="str">
        <f>HYPERLINK("https://www.youtube.com/watch?v=KqCUrtdVnkU")</f>
        <v>https://www.youtube.com/watch?v=KqCUrtdVnkU</v>
      </c>
      <c r="AO256" s="80" t="str">
        <f>REPLACE(INDEX(GroupVertices[Group],MATCH(Vertices[[#This Row],[Vertex]],GroupVertices[Vertex],0)),1,1,"")</f>
        <v>3</v>
      </c>
      <c r="AP256" s="48">
        <v>0</v>
      </c>
      <c r="AQ256" s="49">
        <v>0</v>
      </c>
      <c r="AR256" s="48">
        <v>0</v>
      </c>
      <c r="AS256" s="49">
        <v>0</v>
      </c>
      <c r="AT256" s="48">
        <v>0</v>
      </c>
      <c r="AU256" s="49">
        <v>0</v>
      </c>
      <c r="AV256" s="48">
        <v>8</v>
      </c>
      <c r="AW256" s="49">
        <v>100</v>
      </c>
      <c r="AX256" s="48">
        <v>8</v>
      </c>
      <c r="AY256" s="48"/>
      <c r="AZ256" s="48"/>
      <c r="BA256" s="48"/>
      <c r="BB256" s="48"/>
      <c r="BC256" s="2"/>
      <c r="BD256" s="3"/>
      <c r="BE256" s="3"/>
      <c r="BF256" s="3"/>
      <c r="BG256" s="3"/>
    </row>
    <row r="257" spans="1:59" ht="15">
      <c r="A257" s="66" t="s">
        <v>641</v>
      </c>
      <c r="B257" s="67" t="s">
        <v>4456</v>
      </c>
      <c r="C257" s="67" t="s">
        <v>56</v>
      </c>
      <c r="D257" s="68">
        <v>54</v>
      </c>
      <c r="E257" s="70"/>
      <c r="F257" s="97" t="str">
        <f>HYPERLINK("https://i.ytimg.com/vi/D2yECwk_gq8/default.jpg")</f>
        <v>https://i.ytimg.com/vi/D2yECwk_gq8/default.jpg</v>
      </c>
      <c r="G257" s="67"/>
      <c r="H257" s="71" t="s">
        <v>1381</v>
      </c>
      <c r="I257" s="72"/>
      <c r="J257" s="72" t="s">
        <v>159</v>
      </c>
      <c r="K257" s="71" t="s">
        <v>1381</v>
      </c>
      <c r="L257" s="75">
        <v>445.35555555555555</v>
      </c>
      <c r="M257" s="76">
        <v>5976.0478515625</v>
      </c>
      <c r="N257" s="76">
        <v>2751.022216796875</v>
      </c>
      <c r="O257" s="77"/>
      <c r="P257" s="78"/>
      <c r="Q257" s="78"/>
      <c r="R257" s="82"/>
      <c r="S257" s="48">
        <v>2</v>
      </c>
      <c r="T257" s="48">
        <v>0</v>
      </c>
      <c r="U257" s="49">
        <v>0</v>
      </c>
      <c r="V257" s="49">
        <v>0.001397</v>
      </c>
      <c r="W257" s="49">
        <v>0.000776</v>
      </c>
      <c r="X257" s="49">
        <v>0.271035</v>
      </c>
      <c r="Y257" s="49">
        <v>1</v>
      </c>
      <c r="Z257" s="49">
        <v>0</v>
      </c>
      <c r="AA257" s="73">
        <v>257</v>
      </c>
      <c r="AB257" s="73"/>
      <c r="AC257" s="74"/>
      <c r="AD257" s="80" t="s">
        <v>1381</v>
      </c>
      <c r="AE257" s="80" t="s">
        <v>2046</v>
      </c>
      <c r="AF257" s="80" t="s">
        <v>2640</v>
      </c>
      <c r="AG257" s="80" t="s">
        <v>2905</v>
      </c>
      <c r="AH257" s="80" t="s">
        <v>3793</v>
      </c>
      <c r="AI257" s="80">
        <v>100</v>
      </c>
      <c r="AJ257" s="80">
        <v>0</v>
      </c>
      <c r="AK257" s="80">
        <v>0</v>
      </c>
      <c r="AL257" s="80">
        <v>0</v>
      </c>
      <c r="AM257" s="80" t="s">
        <v>4098</v>
      </c>
      <c r="AN257" s="96" t="str">
        <f>HYPERLINK("https://www.youtube.com/watch?v=D2yECwk_gq8")</f>
        <v>https://www.youtube.com/watch?v=D2yECwk_gq8</v>
      </c>
      <c r="AO257" s="80" t="str">
        <f>REPLACE(INDEX(GroupVertices[Group],MATCH(Vertices[[#This Row],[Vertex]],GroupVertices[Vertex],0)),1,1,"")</f>
        <v>2</v>
      </c>
      <c r="AP257" s="48">
        <v>0</v>
      </c>
      <c r="AQ257" s="49">
        <v>0</v>
      </c>
      <c r="AR257" s="48">
        <v>0</v>
      </c>
      <c r="AS257" s="49">
        <v>0</v>
      </c>
      <c r="AT257" s="48">
        <v>0</v>
      </c>
      <c r="AU257" s="49">
        <v>0</v>
      </c>
      <c r="AV257" s="48">
        <v>15</v>
      </c>
      <c r="AW257" s="49">
        <v>100</v>
      </c>
      <c r="AX257" s="48">
        <v>15</v>
      </c>
      <c r="AY257" s="48"/>
      <c r="AZ257" s="48"/>
      <c r="BA257" s="48"/>
      <c r="BB257" s="48"/>
      <c r="BC257" s="2"/>
      <c r="BD257" s="3"/>
      <c r="BE257" s="3"/>
      <c r="BF257" s="3"/>
      <c r="BG257" s="3"/>
    </row>
    <row r="258" spans="1:59" ht="15">
      <c r="A258" s="66" t="s">
        <v>656</v>
      </c>
      <c r="B258" s="67" t="s">
        <v>4456</v>
      </c>
      <c r="C258" s="67" t="s">
        <v>56</v>
      </c>
      <c r="D258" s="68">
        <v>54</v>
      </c>
      <c r="E258" s="70"/>
      <c r="F258" s="97" t="str">
        <f>HYPERLINK("https://i.ytimg.com/vi/uxMB47VTqyU/default.jpg")</f>
        <v>https://i.ytimg.com/vi/uxMB47VTqyU/default.jpg</v>
      </c>
      <c r="G258" s="67"/>
      <c r="H258" s="71" t="s">
        <v>1396</v>
      </c>
      <c r="I258" s="72"/>
      <c r="J258" s="72" t="s">
        <v>159</v>
      </c>
      <c r="K258" s="71" t="s">
        <v>1396</v>
      </c>
      <c r="L258" s="75">
        <v>445.35555555555555</v>
      </c>
      <c r="M258" s="76">
        <v>4780.349609375</v>
      </c>
      <c r="N258" s="76">
        <v>9360.083984375</v>
      </c>
      <c r="O258" s="77"/>
      <c r="P258" s="78"/>
      <c r="Q258" s="78"/>
      <c r="R258" s="82"/>
      <c r="S258" s="48">
        <v>2</v>
      </c>
      <c r="T258" s="48">
        <v>0</v>
      </c>
      <c r="U258" s="49">
        <v>0</v>
      </c>
      <c r="V258" s="49">
        <v>0.001403</v>
      </c>
      <c r="W258" s="49">
        <v>0.000773</v>
      </c>
      <c r="X258" s="49">
        <v>0.270513</v>
      </c>
      <c r="Y258" s="49">
        <v>0.5</v>
      </c>
      <c r="Z258" s="49">
        <v>0</v>
      </c>
      <c r="AA258" s="73">
        <v>258</v>
      </c>
      <c r="AB258" s="73"/>
      <c r="AC258" s="74"/>
      <c r="AD258" s="80" t="s">
        <v>1396</v>
      </c>
      <c r="AE258" s="80"/>
      <c r="AF258" s="80" t="s">
        <v>2652</v>
      </c>
      <c r="AG258" s="80" t="s">
        <v>3189</v>
      </c>
      <c r="AH258" s="80" t="s">
        <v>3808</v>
      </c>
      <c r="AI258" s="80">
        <v>94</v>
      </c>
      <c r="AJ258" s="80">
        <v>0</v>
      </c>
      <c r="AK258" s="80">
        <v>1</v>
      </c>
      <c r="AL258" s="80">
        <v>0</v>
      </c>
      <c r="AM258" s="80" t="s">
        <v>4098</v>
      </c>
      <c r="AN258" s="96" t="str">
        <f>HYPERLINK("https://www.youtube.com/watch?v=uxMB47VTqyU")</f>
        <v>https://www.youtube.com/watch?v=uxMB47VTqyU</v>
      </c>
      <c r="AO258" s="80" t="str">
        <f>REPLACE(INDEX(GroupVertices[Group],MATCH(Vertices[[#This Row],[Vertex]],GroupVertices[Vertex],0)),1,1,"")</f>
        <v>1</v>
      </c>
      <c r="AP258" s="48">
        <v>0</v>
      </c>
      <c r="AQ258" s="49">
        <v>0</v>
      </c>
      <c r="AR258" s="48">
        <v>1</v>
      </c>
      <c r="AS258" s="49">
        <v>25</v>
      </c>
      <c r="AT258" s="48">
        <v>0</v>
      </c>
      <c r="AU258" s="49">
        <v>0</v>
      </c>
      <c r="AV258" s="48">
        <v>3</v>
      </c>
      <c r="AW258" s="49">
        <v>75</v>
      </c>
      <c r="AX258" s="48">
        <v>4</v>
      </c>
      <c r="AY258" s="48"/>
      <c r="AZ258" s="48"/>
      <c r="BA258" s="48"/>
      <c r="BB258" s="48"/>
      <c r="BC258" s="2"/>
      <c r="BD258" s="3"/>
      <c r="BE258" s="3"/>
      <c r="BF258" s="3"/>
      <c r="BG258" s="3"/>
    </row>
    <row r="259" spans="1:59" ht="15">
      <c r="A259" s="66" t="s">
        <v>829</v>
      </c>
      <c r="B259" s="67" t="s">
        <v>4456</v>
      </c>
      <c r="C259" s="67" t="s">
        <v>56</v>
      </c>
      <c r="D259" s="68">
        <v>54</v>
      </c>
      <c r="E259" s="70"/>
      <c r="F259" s="97" t="str">
        <f>HYPERLINK("https://i.ytimg.com/vi/9lwAAtefIRs/default.jpg")</f>
        <v>https://i.ytimg.com/vi/9lwAAtefIRs/default.jpg</v>
      </c>
      <c r="G259" s="67"/>
      <c r="H259" s="71" t="s">
        <v>1568</v>
      </c>
      <c r="I259" s="72"/>
      <c r="J259" s="72" t="s">
        <v>159</v>
      </c>
      <c r="K259" s="71" t="s">
        <v>1568</v>
      </c>
      <c r="L259" s="75">
        <v>445.35555555555555</v>
      </c>
      <c r="M259" s="76">
        <v>8476.2275390625</v>
      </c>
      <c r="N259" s="76">
        <v>4894.9755859375</v>
      </c>
      <c r="O259" s="77"/>
      <c r="P259" s="78"/>
      <c r="Q259" s="78"/>
      <c r="R259" s="82"/>
      <c r="S259" s="48">
        <v>2</v>
      </c>
      <c r="T259" s="48">
        <v>0</v>
      </c>
      <c r="U259" s="49">
        <v>0</v>
      </c>
      <c r="V259" s="49">
        <v>0.001453</v>
      </c>
      <c r="W259" s="49">
        <v>0.000854</v>
      </c>
      <c r="X259" s="49">
        <v>0.27941</v>
      </c>
      <c r="Y259" s="49">
        <v>0.5</v>
      </c>
      <c r="Z259" s="49">
        <v>0</v>
      </c>
      <c r="AA259" s="73">
        <v>259</v>
      </c>
      <c r="AB259" s="73"/>
      <c r="AC259" s="74"/>
      <c r="AD259" s="80" t="s">
        <v>1568</v>
      </c>
      <c r="AE259" s="80" t="s">
        <v>2215</v>
      </c>
      <c r="AF259" s="80"/>
      <c r="AG259" s="80" t="s">
        <v>2907</v>
      </c>
      <c r="AH259" s="80" t="s">
        <v>3983</v>
      </c>
      <c r="AI259" s="80">
        <v>74</v>
      </c>
      <c r="AJ259" s="80">
        <v>0</v>
      </c>
      <c r="AK259" s="80">
        <v>1</v>
      </c>
      <c r="AL259" s="80">
        <v>0</v>
      </c>
      <c r="AM259" s="80" t="s">
        <v>4098</v>
      </c>
      <c r="AN259" s="96" t="str">
        <f>HYPERLINK("https://www.youtube.com/watch?v=9lwAAtefIRs")</f>
        <v>https://www.youtube.com/watch?v=9lwAAtefIRs</v>
      </c>
      <c r="AO259" s="80" t="str">
        <f>REPLACE(INDEX(GroupVertices[Group],MATCH(Vertices[[#This Row],[Vertex]],GroupVertices[Vertex],0)),1,1,"")</f>
        <v>3</v>
      </c>
      <c r="AP259" s="48"/>
      <c r="AQ259" s="49"/>
      <c r="AR259" s="48"/>
      <c r="AS259" s="49"/>
      <c r="AT259" s="48"/>
      <c r="AU259" s="49"/>
      <c r="AV259" s="48"/>
      <c r="AW259" s="49"/>
      <c r="AX259" s="48"/>
      <c r="AY259" s="48"/>
      <c r="AZ259" s="48"/>
      <c r="BA259" s="48"/>
      <c r="BB259" s="48"/>
      <c r="BC259" s="2"/>
      <c r="BD259" s="3"/>
      <c r="BE259" s="3"/>
      <c r="BF259" s="3"/>
      <c r="BG259" s="3"/>
    </row>
    <row r="260" spans="1:59" ht="15">
      <c r="A260" s="66" t="s">
        <v>826</v>
      </c>
      <c r="B260" s="67" t="s">
        <v>4456</v>
      </c>
      <c r="C260" s="67" t="s">
        <v>56</v>
      </c>
      <c r="D260" s="68">
        <v>54</v>
      </c>
      <c r="E260" s="70"/>
      <c r="F260" s="97" t="str">
        <f>HYPERLINK("https://i.ytimg.com/vi/52H15kjSMgQ/default.jpg")</f>
        <v>https://i.ytimg.com/vi/52H15kjSMgQ/default.jpg</v>
      </c>
      <c r="G260" s="67"/>
      <c r="H260" s="71" t="s">
        <v>1565</v>
      </c>
      <c r="I260" s="72"/>
      <c r="J260" s="72" t="s">
        <v>159</v>
      </c>
      <c r="K260" s="71" t="s">
        <v>1565</v>
      </c>
      <c r="L260" s="75">
        <v>445.35555555555555</v>
      </c>
      <c r="M260" s="76">
        <v>8835.5947265625</v>
      </c>
      <c r="N260" s="76">
        <v>5146.36181640625</v>
      </c>
      <c r="O260" s="77"/>
      <c r="P260" s="78"/>
      <c r="Q260" s="78"/>
      <c r="R260" s="82"/>
      <c r="S260" s="48">
        <v>2</v>
      </c>
      <c r="T260" s="48">
        <v>0</v>
      </c>
      <c r="U260" s="49">
        <v>0</v>
      </c>
      <c r="V260" s="49">
        <v>0.001453</v>
      </c>
      <c r="W260" s="49">
        <v>0.000854</v>
      </c>
      <c r="X260" s="49">
        <v>0.27941</v>
      </c>
      <c r="Y260" s="49">
        <v>0.5</v>
      </c>
      <c r="Z260" s="49">
        <v>0</v>
      </c>
      <c r="AA260" s="73">
        <v>260</v>
      </c>
      <c r="AB260" s="73"/>
      <c r="AC260" s="74"/>
      <c r="AD260" s="80" t="s">
        <v>1565</v>
      </c>
      <c r="AE260" s="80" t="s">
        <v>2212</v>
      </c>
      <c r="AF260" s="80"/>
      <c r="AG260" s="80" t="s">
        <v>2907</v>
      </c>
      <c r="AH260" s="80" t="s">
        <v>3980</v>
      </c>
      <c r="AI260" s="80">
        <v>68</v>
      </c>
      <c r="AJ260" s="80">
        <v>0</v>
      </c>
      <c r="AK260" s="80">
        <v>1</v>
      </c>
      <c r="AL260" s="80">
        <v>0</v>
      </c>
      <c r="AM260" s="80" t="s">
        <v>4098</v>
      </c>
      <c r="AN260" s="96" t="str">
        <f>HYPERLINK("https://www.youtube.com/watch?v=52H15kjSMgQ")</f>
        <v>https://www.youtube.com/watch?v=52H15kjSMgQ</v>
      </c>
      <c r="AO260" s="80" t="str">
        <f>REPLACE(INDEX(GroupVertices[Group],MATCH(Vertices[[#This Row],[Vertex]],GroupVertices[Vertex],0)),1,1,"")</f>
        <v>3</v>
      </c>
      <c r="AP260" s="48"/>
      <c r="AQ260" s="49"/>
      <c r="AR260" s="48"/>
      <c r="AS260" s="49"/>
      <c r="AT260" s="48"/>
      <c r="AU260" s="49"/>
      <c r="AV260" s="48"/>
      <c r="AW260" s="49"/>
      <c r="AX260" s="48"/>
      <c r="AY260" s="48"/>
      <c r="AZ260" s="48"/>
      <c r="BA260" s="48"/>
      <c r="BB260" s="48"/>
      <c r="BC260" s="2"/>
      <c r="BD260" s="3"/>
      <c r="BE260" s="3"/>
      <c r="BF260" s="3"/>
      <c r="BG260" s="3"/>
    </row>
    <row r="261" spans="1:59" ht="15">
      <c r="A261" s="66" t="s">
        <v>381</v>
      </c>
      <c r="B261" s="67" t="s">
        <v>4456</v>
      </c>
      <c r="C261" s="67" t="s">
        <v>56</v>
      </c>
      <c r="D261" s="68">
        <v>32</v>
      </c>
      <c r="E261" s="70"/>
      <c r="F261" s="97" t="str">
        <f>HYPERLINK("https://i.ytimg.com/vi/HqJ2N4fkKtI/default.jpg")</f>
        <v>https://i.ytimg.com/vi/HqJ2N4fkKtI/default.jpg</v>
      </c>
      <c r="G261" s="67"/>
      <c r="H261" s="71" t="s">
        <v>1029</v>
      </c>
      <c r="I261" s="72"/>
      <c r="J261" s="72" t="s">
        <v>159</v>
      </c>
      <c r="K261" s="71" t="s">
        <v>1029</v>
      </c>
      <c r="L261" s="75">
        <v>223.17777777777778</v>
      </c>
      <c r="M261" s="76">
        <v>471.4307556152344</v>
      </c>
      <c r="N261" s="76">
        <v>5215.3896484375</v>
      </c>
      <c r="O261" s="77"/>
      <c r="P261" s="78"/>
      <c r="Q261" s="78"/>
      <c r="R261" s="82"/>
      <c r="S261" s="48">
        <v>1</v>
      </c>
      <c r="T261" s="48">
        <v>0</v>
      </c>
      <c r="U261" s="49">
        <v>0</v>
      </c>
      <c r="V261" s="49">
        <v>0.001147</v>
      </c>
      <c r="W261" s="49">
        <v>7.8E-05</v>
      </c>
      <c r="X261" s="49">
        <v>0.24103</v>
      </c>
      <c r="Y261" s="49">
        <v>0</v>
      </c>
      <c r="Z261" s="49">
        <v>0</v>
      </c>
      <c r="AA261" s="73">
        <v>261</v>
      </c>
      <c r="AB261" s="73"/>
      <c r="AC261" s="74"/>
      <c r="AD261" s="80" t="s">
        <v>1029</v>
      </c>
      <c r="AE261" s="80"/>
      <c r="AF261" s="80"/>
      <c r="AG261" s="80" t="s">
        <v>2995</v>
      </c>
      <c r="AH261" s="80" t="s">
        <v>3502</v>
      </c>
      <c r="AI261" s="80">
        <v>50</v>
      </c>
      <c r="AJ261" s="80">
        <v>0</v>
      </c>
      <c r="AK261" s="80">
        <v>0</v>
      </c>
      <c r="AL261" s="80">
        <v>0</v>
      </c>
      <c r="AM261" s="80" t="s">
        <v>4098</v>
      </c>
      <c r="AN261" s="96" t="str">
        <f>HYPERLINK("https://www.youtube.com/watch?v=HqJ2N4fkKtI")</f>
        <v>https://www.youtube.com/watch?v=HqJ2N4fkKtI</v>
      </c>
      <c r="AO261" s="80" t="str">
        <f>REPLACE(INDEX(GroupVertices[Group],MATCH(Vertices[[#This Row],[Vertex]],GroupVertices[Vertex],0)),1,1,"")</f>
        <v>1</v>
      </c>
      <c r="AP261" s="48"/>
      <c r="AQ261" s="49"/>
      <c r="AR261" s="48"/>
      <c r="AS261" s="49"/>
      <c r="AT261" s="48"/>
      <c r="AU261" s="49"/>
      <c r="AV261" s="48"/>
      <c r="AW261" s="49"/>
      <c r="AX261" s="48"/>
      <c r="AY261" s="48"/>
      <c r="AZ261" s="48"/>
      <c r="BA261" s="48"/>
      <c r="BB261" s="48"/>
      <c r="BC261" s="2"/>
      <c r="BD261" s="3"/>
      <c r="BE261" s="3"/>
      <c r="BF261" s="3"/>
      <c r="BG261" s="3"/>
    </row>
    <row r="262" spans="1:59" ht="15">
      <c r="A262" s="66" t="s">
        <v>842</v>
      </c>
      <c r="B262" s="67" t="s">
        <v>4456</v>
      </c>
      <c r="C262" s="67" t="s">
        <v>56</v>
      </c>
      <c r="D262" s="68">
        <v>54</v>
      </c>
      <c r="E262" s="70"/>
      <c r="F262" s="97" t="str">
        <f>HYPERLINK("https://i.ytimg.com/vi/UiqRF1ru5pM/default.jpg")</f>
        <v>https://i.ytimg.com/vi/UiqRF1ru5pM/default.jpg</v>
      </c>
      <c r="G262" s="67"/>
      <c r="H262" s="71" t="s">
        <v>1581</v>
      </c>
      <c r="I262" s="72"/>
      <c r="J262" s="72" t="s">
        <v>159</v>
      </c>
      <c r="K262" s="71" t="s">
        <v>1581</v>
      </c>
      <c r="L262" s="75">
        <v>445.35555555555555</v>
      </c>
      <c r="M262" s="76">
        <v>8282.498046875</v>
      </c>
      <c r="N262" s="76">
        <v>4667.45947265625</v>
      </c>
      <c r="O262" s="77"/>
      <c r="P262" s="78"/>
      <c r="Q262" s="78"/>
      <c r="R262" s="82"/>
      <c r="S262" s="48">
        <v>2</v>
      </c>
      <c r="T262" s="48">
        <v>0</v>
      </c>
      <c r="U262" s="49">
        <v>0</v>
      </c>
      <c r="V262" s="49">
        <v>0.001453</v>
      </c>
      <c r="W262" s="49">
        <v>0.000854</v>
      </c>
      <c r="X262" s="49">
        <v>0.27941</v>
      </c>
      <c r="Y262" s="49">
        <v>0.5</v>
      </c>
      <c r="Z262" s="49">
        <v>0</v>
      </c>
      <c r="AA262" s="73">
        <v>262</v>
      </c>
      <c r="AB262" s="73"/>
      <c r="AC262" s="74"/>
      <c r="AD262" s="80" t="s">
        <v>1581</v>
      </c>
      <c r="AE262" s="80" t="s">
        <v>2225</v>
      </c>
      <c r="AF262" s="80" t="s">
        <v>2811</v>
      </c>
      <c r="AG262" s="80" t="s">
        <v>2907</v>
      </c>
      <c r="AH262" s="80" t="s">
        <v>3996</v>
      </c>
      <c r="AI262" s="80">
        <v>36</v>
      </c>
      <c r="AJ262" s="80">
        <v>2</v>
      </c>
      <c r="AK262" s="80">
        <v>1</v>
      </c>
      <c r="AL262" s="80">
        <v>0</v>
      </c>
      <c r="AM262" s="80" t="s">
        <v>4098</v>
      </c>
      <c r="AN262" s="96" t="str">
        <f>HYPERLINK("https://www.youtube.com/watch?v=UiqRF1ru5pM")</f>
        <v>https://www.youtube.com/watch?v=UiqRF1ru5pM</v>
      </c>
      <c r="AO262" s="80" t="str">
        <f>REPLACE(INDEX(GroupVertices[Group],MATCH(Vertices[[#This Row],[Vertex]],GroupVertices[Vertex],0)),1,1,"")</f>
        <v>3</v>
      </c>
      <c r="AP262" s="48">
        <v>0</v>
      </c>
      <c r="AQ262" s="49">
        <v>0</v>
      </c>
      <c r="AR262" s="48">
        <v>0</v>
      </c>
      <c r="AS262" s="49">
        <v>0</v>
      </c>
      <c r="AT262" s="48">
        <v>0</v>
      </c>
      <c r="AU262" s="49">
        <v>0</v>
      </c>
      <c r="AV262" s="48">
        <v>11</v>
      </c>
      <c r="AW262" s="49">
        <v>100</v>
      </c>
      <c r="AX262" s="48">
        <v>11</v>
      </c>
      <c r="AY262" s="48"/>
      <c r="AZ262" s="48"/>
      <c r="BA262" s="48"/>
      <c r="BB262" s="48"/>
      <c r="BC262" s="2"/>
      <c r="BD262" s="3"/>
      <c r="BE262" s="3"/>
      <c r="BF262" s="3"/>
      <c r="BG262" s="3"/>
    </row>
    <row r="263" spans="1:59" ht="15">
      <c r="A263" s="66" t="s">
        <v>903</v>
      </c>
      <c r="B263" s="67" t="s">
        <v>4461</v>
      </c>
      <c r="C263" s="67"/>
      <c r="D263" s="68">
        <v>1000</v>
      </c>
      <c r="E263" s="70"/>
      <c r="F263" s="97" t="str">
        <f>HYPERLINK("https://i.ytimg.com/vi/Q4yUlJV31Rk/default.jpg")</f>
        <v>https://i.ytimg.com/vi/Q4yUlJV31Rk/default.jpg</v>
      </c>
      <c r="G263" s="120" t="s">
        <v>52</v>
      </c>
      <c r="H263" s="71" t="s">
        <v>1641</v>
      </c>
      <c r="I263" s="72"/>
      <c r="J263" s="72" t="s">
        <v>159</v>
      </c>
      <c r="K263" s="71" t="s">
        <v>1641</v>
      </c>
      <c r="L263" s="75">
        <v>213.72340425531914</v>
      </c>
      <c r="M263" s="76">
        <v>8043</v>
      </c>
      <c r="N263" s="76">
        <v>1185.154296875</v>
      </c>
      <c r="O263" s="77"/>
      <c r="P263" s="78"/>
      <c r="Q263" s="78"/>
      <c r="R263" s="82"/>
      <c r="S263" s="48"/>
      <c r="T263" s="48"/>
      <c r="U263" s="49"/>
      <c r="V263" s="49"/>
      <c r="W263" s="49"/>
      <c r="X263" s="49"/>
      <c r="Y263" s="49"/>
      <c r="Z263" s="49"/>
      <c r="AA263" s="73">
        <v>263</v>
      </c>
      <c r="AB263" s="73"/>
      <c r="AC263" s="74"/>
      <c r="AD263" s="80" t="s">
        <v>1641</v>
      </c>
      <c r="AE263" s="80" t="s">
        <v>2278</v>
      </c>
      <c r="AF263" s="80" t="s">
        <v>2860</v>
      </c>
      <c r="AG263" s="80" t="s">
        <v>3348</v>
      </c>
      <c r="AH263" s="80" t="s">
        <v>4057</v>
      </c>
      <c r="AI263" s="80">
        <v>5177434</v>
      </c>
      <c r="AJ263" s="80">
        <v>2737</v>
      </c>
      <c r="AK263" s="80">
        <v>41316</v>
      </c>
      <c r="AL263" s="80">
        <v>8060</v>
      </c>
      <c r="AM263" s="80" t="s">
        <v>4098</v>
      </c>
      <c r="AN263" s="96" t="str">
        <f>HYPERLINK("https://www.youtube.com/watch?v=Q4yUlJV31Rk")</f>
        <v>https://www.youtube.com/watch?v=Q4yUlJV31Rk</v>
      </c>
      <c r="AO263" s="80" t="e">
        <f>REPLACE(INDEX(GroupVertices[Group],MATCH(Vertices[[#This Row],[Vertex]],GroupVertices[Vertex],0)),1,1,"")</f>
        <v>#N/A</v>
      </c>
      <c r="AP263" s="48"/>
      <c r="AQ263" s="49"/>
      <c r="AR263" s="48"/>
      <c r="AS263" s="49"/>
      <c r="AT263" s="48"/>
      <c r="AU263" s="49"/>
      <c r="AV263" s="48"/>
      <c r="AW263" s="49"/>
      <c r="AX263" s="48"/>
      <c r="AY263" s="48"/>
      <c r="AZ263" s="48"/>
      <c r="BA263" s="48"/>
      <c r="BB263" s="48"/>
      <c r="BC263" s="2"/>
      <c r="BD263" s="3"/>
      <c r="BE263" s="3"/>
      <c r="BF263" s="3"/>
      <c r="BG263" s="3"/>
    </row>
    <row r="264" spans="1:59" ht="15">
      <c r="A264" s="66" t="s">
        <v>893</v>
      </c>
      <c r="B264" s="67" t="s">
        <v>4461</v>
      </c>
      <c r="C264" s="67"/>
      <c r="D264" s="68">
        <v>1000</v>
      </c>
      <c r="E264" s="70"/>
      <c r="F264" s="97" t="str">
        <f>HYPERLINK("https://i.ytimg.com/vi/yYnxw5aBkoA/default.jpg")</f>
        <v>https://i.ytimg.com/vi/yYnxw5aBkoA/default.jpg</v>
      </c>
      <c r="G264" s="120" t="s">
        <v>52</v>
      </c>
      <c r="H264" s="71" t="s">
        <v>1631</v>
      </c>
      <c r="I264" s="72"/>
      <c r="J264" s="72" t="s">
        <v>159</v>
      </c>
      <c r="K264" s="71" t="s">
        <v>1631</v>
      </c>
      <c r="L264" s="75">
        <v>213.72340425531914</v>
      </c>
      <c r="M264" s="76">
        <v>8375.7451171875</v>
      </c>
      <c r="N264" s="76">
        <v>1690.5823974609375</v>
      </c>
      <c r="O264" s="77"/>
      <c r="P264" s="78"/>
      <c r="Q264" s="78"/>
      <c r="R264" s="82"/>
      <c r="S264" s="48"/>
      <c r="T264" s="48"/>
      <c r="U264" s="49"/>
      <c r="V264" s="49"/>
      <c r="W264" s="49"/>
      <c r="X264" s="49"/>
      <c r="Y264" s="49"/>
      <c r="Z264" s="49"/>
      <c r="AA264" s="73">
        <v>264</v>
      </c>
      <c r="AB264" s="73"/>
      <c r="AC264" s="74"/>
      <c r="AD264" s="80" t="s">
        <v>1631</v>
      </c>
      <c r="AE264" s="80" t="s">
        <v>2269</v>
      </c>
      <c r="AF264" s="80" t="s">
        <v>2851</v>
      </c>
      <c r="AG264" s="80" t="s">
        <v>3339</v>
      </c>
      <c r="AH264" s="80" t="s">
        <v>4047</v>
      </c>
      <c r="AI264" s="80">
        <v>1802861</v>
      </c>
      <c r="AJ264" s="80">
        <v>10124</v>
      </c>
      <c r="AK264" s="80">
        <v>192480</v>
      </c>
      <c r="AL264" s="80">
        <v>3917</v>
      </c>
      <c r="AM264" s="80" t="s">
        <v>4098</v>
      </c>
      <c r="AN264" s="96" t="str">
        <f>HYPERLINK("https://www.youtube.com/watch?v=yYnxw5aBkoA")</f>
        <v>https://www.youtube.com/watch?v=yYnxw5aBkoA</v>
      </c>
      <c r="AO264" s="80" t="e">
        <f>REPLACE(INDEX(GroupVertices[Group],MATCH(Vertices[[#This Row],[Vertex]],GroupVertices[Vertex],0)),1,1,"")</f>
        <v>#N/A</v>
      </c>
      <c r="AP264" s="48"/>
      <c r="AQ264" s="49"/>
      <c r="AR264" s="48"/>
      <c r="AS264" s="49"/>
      <c r="AT264" s="48"/>
      <c r="AU264" s="49"/>
      <c r="AV264" s="48"/>
      <c r="AW264" s="49"/>
      <c r="AX264" s="48"/>
      <c r="AY264" s="48"/>
      <c r="AZ264" s="48"/>
      <c r="BA264" s="48"/>
      <c r="BB264" s="48"/>
      <c r="BC264" s="2"/>
      <c r="BD264" s="3"/>
      <c r="BE264" s="3"/>
      <c r="BF264" s="3"/>
      <c r="BG264" s="3"/>
    </row>
    <row r="265" spans="1:59" ht="15">
      <c r="A265" s="83" t="s">
        <v>942</v>
      </c>
      <c r="B265" s="120" t="s">
        <v>4461</v>
      </c>
      <c r="C265" s="120"/>
      <c r="D265" s="121">
        <v>1000</v>
      </c>
      <c r="E265" s="122"/>
      <c r="F265" s="97" t="str">
        <f>HYPERLINK("https://i.ytimg.com/vi/rwbho0CgEAE/default.jpg")</f>
        <v>https://i.ytimg.com/vi/rwbho0CgEAE/default.jpg</v>
      </c>
      <c r="G265" s="120" t="s">
        <v>52</v>
      </c>
      <c r="H265" s="123" t="s">
        <v>1679</v>
      </c>
      <c r="I265" s="124"/>
      <c r="J265" s="124" t="s">
        <v>159</v>
      </c>
      <c r="K265" s="123" t="s">
        <v>1679</v>
      </c>
      <c r="L265" s="125">
        <v>213.72340425531914</v>
      </c>
      <c r="M265" s="126">
        <v>1966.205810546875</v>
      </c>
      <c r="N265" s="126">
        <v>4299.16455078125</v>
      </c>
      <c r="O265" s="127"/>
      <c r="P265" s="128"/>
      <c r="Q265" s="128"/>
      <c r="R265" s="129"/>
      <c r="S265" s="48"/>
      <c r="T265" s="48"/>
      <c r="U265" s="49"/>
      <c r="V265" s="49"/>
      <c r="W265" s="49"/>
      <c r="X265" s="49"/>
      <c r="Y265" s="49"/>
      <c r="Z265" s="49"/>
      <c r="AA265" s="130">
        <v>265</v>
      </c>
      <c r="AB265" s="130"/>
      <c r="AC265" s="95"/>
      <c r="AD265" s="80" t="s">
        <v>1679</v>
      </c>
      <c r="AE265" s="80" t="s">
        <v>2313</v>
      </c>
      <c r="AF265" s="80" t="s">
        <v>2893</v>
      </c>
      <c r="AG265" s="80" t="s">
        <v>3306</v>
      </c>
      <c r="AH265" s="80" t="s">
        <v>4096</v>
      </c>
      <c r="AI265" s="80">
        <v>8554123</v>
      </c>
      <c r="AJ265" s="80">
        <v>3591</v>
      </c>
      <c r="AK265" s="80">
        <v>116803</v>
      </c>
      <c r="AL265" s="80">
        <v>2648</v>
      </c>
      <c r="AM265" s="80" t="s">
        <v>4098</v>
      </c>
      <c r="AN265" s="96" t="str">
        <f>HYPERLINK("https://www.youtube.com/watch?v=rwbho0CgEAE")</f>
        <v>https://www.youtube.com/watch?v=rwbho0CgEAE</v>
      </c>
      <c r="AO265" s="80" t="e">
        <f>REPLACE(INDEX(GroupVertices[Group],MATCH(Vertices[[#This Row],[Vertex]],GroupVertices[Vertex],0)),1,1,"")</f>
        <v>#N/A</v>
      </c>
      <c r="AP265" s="48"/>
      <c r="AQ265" s="49"/>
      <c r="AR265" s="48"/>
      <c r="AS265" s="49"/>
      <c r="AT265" s="48"/>
      <c r="AU265" s="49"/>
      <c r="AV265" s="48"/>
      <c r="AW265" s="49"/>
      <c r="AX265" s="48"/>
      <c r="AY265" s="48"/>
      <c r="AZ265" s="48"/>
      <c r="BA265" s="48"/>
      <c r="BB265" s="48"/>
      <c r="BC265" s="2"/>
      <c r="BD265" s="3"/>
      <c r="BE265" s="3"/>
      <c r="BF265" s="3"/>
      <c r="BG265" s="3"/>
    </row>
    <row r="266" spans="1:59" ht="15">
      <c r="A266" s="66" t="s">
        <v>533</v>
      </c>
      <c r="B266" s="67" t="s">
        <v>4461</v>
      </c>
      <c r="C266" s="67"/>
      <c r="D266" s="68">
        <v>1000</v>
      </c>
      <c r="E266" s="70"/>
      <c r="F266" s="97" t="str">
        <f>HYPERLINK("https://i.ytimg.com/vi/eyJjCiNmZb4/default.jpg")</f>
        <v>https://i.ytimg.com/vi/eyJjCiNmZb4/default.jpg</v>
      </c>
      <c r="G266" s="120" t="s">
        <v>52</v>
      </c>
      <c r="H266" s="71" t="s">
        <v>1265</v>
      </c>
      <c r="I266" s="72"/>
      <c r="J266" s="72" t="s">
        <v>159</v>
      </c>
      <c r="K266" s="71" t="s">
        <v>1265</v>
      </c>
      <c r="L266" s="75">
        <v>213.72340425531914</v>
      </c>
      <c r="M266" s="76">
        <v>4068.335693359375</v>
      </c>
      <c r="N266" s="76">
        <v>6695.59326171875</v>
      </c>
      <c r="O266" s="77"/>
      <c r="P266" s="78"/>
      <c r="Q266" s="78"/>
      <c r="R266" s="82"/>
      <c r="S266" s="48"/>
      <c r="T266" s="48"/>
      <c r="U266" s="49"/>
      <c r="V266" s="49"/>
      <c r="W266" s="49"/>
      <c r="X266" s="49"/>
      <c r="Y266" s="49"/>
      <c r="Z266" s="49"/>
      <c r="AA266" s="73">
        <v>266</v>
      </c>
      <c r="AB266" s="73"/>
      <c r="AC266" s="74"/>
      <c r="AD266" s="80" t="s">
        <v>1265</v>
      </c>
      <c r="AE266" s="80" t="s">
        <v>1941</v>
      </c>
      <c r="AF266" s="80" t="s">
        <v>2550</v>
      </c>
      <c r="AG266" s="80" t="s">
        <v>3100</v>
      </c>
      <c r="AH266" s="80" t="s">
        <v>3677</v>
      </c>
      <c r="AI266" s="80">
        <v>9371554</v>
      </c>
      <c r="AJ266" s="80">
        <v>1140</v>
      </c>
      <c r="AK266" s="80">
        <v>37403</v>
      </c>
      <c r="AL266" s="80">
        <v>2143</v>
      </c>
      <c r="AM266" s="80" t="s">
        <v>4098</v>
      </c>
      <c r="AN266" s="96" t="str">
        <f>HYPERLINK("https://www.youtube.com/watch?v=eyJjCiNmZb4")</f>
        <v>https://www.youtube.com/watch?v=eyJjCiNmZb4</v>
      </c>
      <c r="AO266" s="80" t="e">
        <f>REPLACE(INDEX(GroupVertices[Group],MATCH(Vertices[[#This Row],[Vertex]],GroupVertices[Vertex],0)),1,1,"")</f>
        <v>#N/A</v>
      </c>
      <c r="AP266" s="48"/>
      <c r="AQ266" s="49"/>
      <c r="AR266" s="48"/>
      <c r="AS266" s="49"/>
      <c r="AT266" s="48"/>
      <c r="AU266" s="49"/>
      <c r="AV266" s="48"/>
      <c r="AW266" s="49"/>
      <c r="AX266" s="48"/>
      <c r="AY266" s="48"/>
      <c r="AZ266" s="48"/>
      <c r="BA266" s="48"/>
      <c r="BB266" s="48"/>
      <c r="BC266" s="2"/>
      <c r="BD266" s="3"/>
      <c r="BE266" s="3"/>
      <c r="BF266" s="3"/>
      <c r="BG266" s="3"/>
    </row>
    <row r="267" spans="1:59" ht="15">
      <c r="A267" s="66" t="s">
        <v>516</v>
      </c>
      <c r="B267" s="67" t="s">
        <v>4461</v>
      </c>
      <c r="C267" s="67"/>
      <c r="D267" s="68">
        <v>1000</v>
      </c>
      <c r="E267" s="70"/>
      <c r="F267" s="97" t="str">
        <f>HYPERLINK("https://i.ytimg.com/vi/Flxg08yvjEM/default.jpg")</f>
        <v>https://i.ytimg.com/vi/Flxg08yvjEM/default.jpg</v>
      </c>
      <c r="G267" s="120" t="s">
        <v>52</v>
      </c>
      <c r="H267" s="71" t="s">
        <v>1247</v>
      </c>
      <c r="I267" s="72"/>
      <c r="J267" s="72" t="s">
        <v>159</v>
      </c>
      <c r="K267" s="71" t="s">
        <v>1247</v>
      </c>
      <c r="L267" s="75">
        <v>213.72340425531914</v>
      </c>
      <c r="M267" s="76">
        <v>9227.228515625</v>
      </c>
      <c r="N267" s="76">
        <v>9570.75390625</v>
      </c>
      <c r="O267" s="77"/>
      <c r="P267" s="78"/>
      <c r="Q267" s="78"/>
      <c r="R267" s="82"/>
      <c r="S267" s="48"/>
      <c r="T267" s="48"/>
      <c r="U267" s="49"/>
      <c r="V267" s="49"/>
      <c r="W267" s="49"/>
      <c r="X267" s="49"/>
      <c r="Y267" s="49"/>
      <c r="Z267" s="49"/>
      <c r="AA267" s="73">
        <v>267</v>
      </c>
      <c r="AB267" s="73"/>
      <c r="AC267" s="74"/>
      <c r="AD267" s="80" t="s">
        <v>1247</v>
      </c>
      <c r="AE267" s="80" t="s">
        <v>1928</v>
      </c>
      <c r="AF267" s="80" t="s">
        <v>2535</v>
      </c>
      <c r="AG267" s="80" t="s">
        <v>3084</v>
      </c>
      <c r="AH267" s="80" t="s">
        <v>3659</v>
      </c>
      <c r="AI267" s="80">
        <v>1627470</v>
      </c>
      <c r="AJ267" s="80">
        <v>31535</v>
      </c>
      <c r="AK267" s="80">
        <v>176204</v>
      </c>
      <c r="AL267" s="80">
        <v>2123</v>
      </c>
      <c r="AM267" s="80" t="s">
        <v>4098</v>
      </c>
      <c r="AN267" s="96" t="str">
        <f>HYPERLINK("https://www.youtube.com/watch?v=Flxg08yvjEM")</f>
        <v>https://www.youtube.com/watch?v=Flxg08yvjEM</v>
      </c>
      <c r="AO267" s="80" t="e">
        <f>REPLACE(INDEX(GroupVertices[Group],MATCH(Vertices[[#This Row],[Vertex]],GroupVertices[Vertex],0)),1,1,"")</f>
        <v>#N/A</v>
      </c>
      <c r="AP267" s="48"/>
      <c r="AQ267" s="49"/>
      <c r="AR267" s="48"/>
      <c r="AS267" s="49"/>
      <c r="AT267" s="48"/>
      <c r="AU267" s="49"/>
      <c r="AV267" s="48"/>
      <c r="AW267" s="49"/>
      <c r="AX267" s="48"/>
      <c r="AY267" s="48"/>
      <c r="AZ267" s="48"/>
      <c r="BA267" s="48"/>
      <c r="BB267" s="48"/>
      <c r="BC267" s="2"/>
      <c r="BD267" s="3"/>
      <c r="BE267" s="3"/>
      <c r="BF267" s="3"/>
      <c r="BG267" s="3"/>
    </row>
    <row r="268" spans="1:59" ht="15">
      <c r="A268" s="66" t="s">
        <v>668</v>
      </c>
      <c r="B268" s="67" t="s">
        <v>4461</v>
      </c>
      <c r="C268" s="67"/>
      <c r="D268" s="68">
        <v>1000</v>
      </c>
      <c r="E268" s="70"/>
      <c r="F268" s="97" t="str">
        <f>HYPERLINK("https://i.ytimg.com/vi/1Fu0Yfnpr8M/default.jpg")</f>
        <v>https://i.ytimg.com/vi/1Fu0Yfnpr8M/default.jpg</v>
      </c>
      <c r="G268" s="120" t="s">
        <v>52</v>
      </c>
      <c r="H268" s="71" t="s">
        <v>1409</v>
      </c>
      <c r="I268" s="72"/>
      <c r="J268" s="72" t="s">
        <v>159</v>
      </c>
      <c r="K268" s="71" t="s">
        <v>1409</v>
      </c>
      <c r="L268" s="75">
        <v>213.72340425531914</v>
      </c>
      <c r="M268" s="76">
        <v>8838.2607421875</v>
      </c>
      <c r="N268" s="76">
        <v>3438.96240234375</v>
      </c>
      <c r="O268" s="77"/>
      <c r="P268" s="78"/>
      <c r="Q268" s="78"/>
      <c r="R268" s="82"/>
      <c r="S268" s="48"/>
      <c r="T268" s="48"/>
      <c r="U268" s="49"/>
      <c r="V268" s="49"/>
      <c r="W268" s="49"/>
      <c r="X268" s="49"/>
      <c r="Y268" s="49"/>
      <c r="Z268" s="49"/>
      <c r="AA268" s="73">
        <v>268</v>
      </c>
      <c r="AB268" s="73"/>
      <c r="AC268" s="74"/>
      <c r="AD268" s="80" t="s">
        <v>1409</v>
      </c>
      <c r="AE268" s="80" t="s">
        <v>2069</v>
      </c>
      <c r="AF268" s="80" t="s">
        <v>2660</v>
      </c>
      <c r="AG268" s="80" t="s">
        <v>3200</v>
      </c>
      <c r="AH268" s="80" t="s">
        <v>3821</v>
      </c>
      <c r="AI268" s="80">
        <v>2542807</v>
      </c>
      <c r="AJ268" s="80">
        <v>192</v>
      </c>
      <c r="AK268" s="80">
        <v>5546</v>
      </c>
      <c r="AL268" s="80">
        <v>1902</v>
      </c>
      <c r="AM268" s="80" t="s">
        <v>4098</v>
      </c>
      <c r="AN268" s="96" t="str">
        <f>HYPERLINK("https://www.youtube.com/watch?v=1Fu0Yfnpr8M")</f>
        <v>https://www.youtube.com/watch?v=1Fu0Yfnpr8M</v>
      </c>
      <c r="AO268" s="80" t="e">
        <f>REPLACE(INDEX(GroupVertices[Group],MATCH(Vertices[[#This Row],[Vertex]],GroupVertices[Vertex],0)),1,1,"")</f>
        <v>#N/A</v>
      </c>
      <c r="AP268" s="48"/>
      <c r="AQ268" s="49"/>
      <c r="AR268" s="48"/>
      <c r="AS268" s="49"/>
      <c r="AT268" s="48"/>
      <c r="AU268" s="49"/>
      <c r="AV268" s="48"/>
      <c r="AW268" s="49"/>
      <c r="AX268" s="48"/>
      <c r="AY268" s="48"/>
      <c r="AZ268" s="48"/>
      <c r="BA268" s="48"/>
      <c r="BB268" s="48"/>
      <c r="BC268" s="2"/>
      <c r="BD268" s="3"/>
      <c r="BE268" s="3"/>
      <c r="BF268" s="3"/>
      <c r="BG268" s="3"/>
    </row>
    <row r="269" spans="1:59" ht="15">
      <c r="A269" s="66" t="s">
        <v>595</v>
      </c>
      <c r="B269" s="67" t="s">
        <v>4461</v>
      </c>
      <c r="C269" s="67"/>
      <c r="D269" s="68">
        <v>1000</v>
      </c>
      <c r="E269" s="70"/>
      <c r="F269" s="97" t="str">
        <f>HYPERLINK("https://i.ytimg.com/vi/x6Acjlxjmh8/default.jpg")</f>
        <v>https://i.ytimg.com/vi/x6Acjlxjmh8/default.jpg</v>
      </c>
      <c r="G269" s="120" t="s">
        <v>52</v>
      </c>
      <c r="H269" s="71" t="s">
        <v>1331</v>
      </c>
      <c r="I269" s="72"/>
      <c r="J269" s="72" t="s">
        <v>159</v>
      </c>
      <c r="K269" s="71" t="s">
        <v>1331</v>
      </c>
      <c r="L269" s="75">
        <v>213.72340425531914</v>
      </c>
      <c r="M269" s="76">
        <v>9892.853515625</v>
      </c>
      <c r="N269" s="76">
        <v>976.2496337890625</v>
      </c>
      <c r="O269" s="77"/>
      <c r="P269" s="78"/>
      <c r="Q269" s="78"/>
      <c r="R269" s="82"/>
      <c r="S269" s="48"/>
      <c r="T269" s="48"/>
      <c r="U269" s="49"/>
      <c r="V269" s="49"/>
      <c r="W269" s="49"/>
      <c r="X269" s="49"/>
      <c r="Y269" s="49"/>
      <c r="Z269" s="49"/>
      <c r="AA269" s="73">
        <v>269</v>
      </c>
      <c r="AB269" s="73"/>
      <c r="AC269" s="74"/>
      <c r="AD269" s="80" t="s">
        <v>1331</v>
      </c>
      <c r="AE269" s="80" t="s">
        <v>1998</v>
      </c>
      <c r="AF269" s="80" t="s">
        <v>2599</v>
      </c>
      <c r="AG269" s="80" t="s">
        <v>3143</v>
      </c>
      <c r="AH269" s="80" t="s">
        <v>3742</v>
      </c>
      <c r="AI269" s="80">
        <v>1812728</v>
      </c>
      <c r="AJ269" s="80">
        <v>7791</v>
      </c>
      <c r="AK269" s="80">
        <v>207246</v>
      </c>
      <c r="AL269" s="80">
        <v>1868</v>
      </c>
      <c r="AM269" s="80" t="s">
        <v>4098</v>
      </c>
      <c r="AN269" s="96" t="str">
        <f>HYPERLINK("https://www.youtube.com/watch?v=x6Acjlxjmh8")</f>
        <v>https://www.youtube.com/watch?v=x6Acjlxjmh8</v>
      </c>
      <c r="AO269" s="80" t="e">
        <f>REPLACE(INDEX(GroupVertices[Group],MATCH(Vertices[[#This Row],[Vertex]],GroupVertices[Vertex],0)),1,1,"")</f>
        <v>#N/A</v>
      </c>
      <c r="AP269" s="48"/>
      <c r="AQ269" s="49"/>
      <c r="AR269" s="48"/>
      <c r="AS269" s="49"/>
      <c r="AT269" s="48"/>
      <c r="AU269" s="49"/>
      <c r="AV269" s="48"/>
      <c r="AW269" s="49"/>
      <c r="AX269" s="48"/>
      <c r="AY269" s="48"/>
      <c r="AZ269" s="48"/>
      <c r="BA269" s="48"/>
      <c r="BB269" s="48"/>
      <c r="BC269" s="2"/>
      <c r="BD269" s="3"/>
      <c r="BE269" s="3"/>
      <c r="BF269" s="3"/>
      <c r="BG269" s="3"/>
    </row>
    <row r="270" spans="1:59" ht="15">
      <c r="A270" s="66" t="s">
        <v>530</v>
      </c>
      <c r="B270" s="67" t="s">
        <v>4461</v>
      </c>
      <c r="C270" s="67"/>
      <c r="D270" s="68">
        <v>1000</v>
      </c>
      <c r="E270" s="70"/>
      <c r="F270" s="97" t="str">
        <f>HYPERLINK("https://i.ytimg.com/vi/HkXzfjXzfFs/default.jpg")</f>
        <v>https://i.ytimg.com/vi/HkXzfjXzfFs/default.jpg</v>
      </c>
      <c r="G270" s="120" t="s">
        <v>52</v>
      </c>
      <c r="H270" s="71" t="s">
        <v>1262</v>
      </c>
      <c r="I270" s="72"/>
      <c r="J270" s="72" t="s">
        <v>159</v>
      </c>
      <c r="K270" s="71" t="s">
        <v>1262</v>
      </c>
      <c r="L270" s="75">
        <v>213.72340425531914</v>
      </c>
      <c r="M270" s="76">
        <v>3497.018798828125</v>
      </c>
      <c r="N270" s="76">
        <v>7105.02099609375</v>
      </c>
      <c r="O270" s="77"/>
      <c r="P270" s="78"/>
      <c r="Q270" s="78"/>
      <c r="R270" s="82"/>
      <c r="S270" s="48"/>
      <c r="T270" s="48"/>
      <c r="U270" s="49"/>
      <c r="V270" s="49"/>
      <c r="W270" s="49"/>
      <c r="X270" s="49"/>
      <c r="Y270" s="49"/>
      <c r="Z270" s="49"/>
      <c r="AA270" s="73">
        <v>270</v>
      </c>
      <c r="AB270" s="73"/>
      <c r="AC270" s="74"/>
      <c r="AD270" s="80" t="s">
        <v>1262</v>
      </c>
      <c r="AE270" s="80" t="s">
        <v>1938</v>
      </c>
      <c r="AF270" s="80" t="s">
        <v>2547</v>
      </c>
      <c r="AG270" s="80" t="s">
        <v>3097</v>
      </c>
      <c r="AH270" s="80" t="s">
        <v>3674</v>
      </c>
      <c r="AI270" s="80">
        <v>1231328</v>
      </c>
      <c r="AJ270" s="80">
        <v>5983</v>
      </c>
      <c r="AK270" s="80">
        <v>58702</v>
      </c>
      <c r="AL270" s="80">
        <v>1692</v>
      </c>
      <c r="AM270" s="80" t="s">
        <v>4098</v>
      </c>
      <c r="AN270" s="96" t="str">
        <f>HYPERLINK("https://www.youtube.com/watch?v=HkXzfjXzfFs")</f>
        <v>https://www.youtube.com/watch?v=HkXzfjXzfFs</v>
      </c>
      <c r="AO270" s="80" t="e">
        <f>REPLACE(INDEX(GroupVertices[Group],MATCH(Vertices[[#This Row],[Vertex]],GroupVertices[Vertex],0)),1,1,"")</f>
        <v>#N/A</v>
      </c>
      <c r="AP270" s="48"/>
      <c r="AQ270" s="49"/>
      <c r="AR270" s="48"/>
      <c r="AS270" s="49"/>
      <c r="AT270" s="48"/>
      <c r="AU270" s="49"/>
      <c r="AV270" s="48"/>
      <c r="AW270" s="49"/>
      <c r="AX270" s="48"/>
      <c r="AY270" s="48"/>
      <c r="AZ270" s="48"/>
      <c r="BA270" s="48"/>
      <c r="BB270" s="48"/>
      <c r="BC270" s="2"/>
      <c r="BD270" s="3"/>
      <c r="BE270" s="3"/>
      <c r="BF270" s="3"/>
      <c r="BG270" s="3"/>
    </row>
    <row r="271" spans="1:59" ht="15">
      <c r="A271" s="66" t="s">
        <v>896</v>
      </c>
      <c r="B271" s="67" t="s">
        <v>4461</v>
      </c>
      <c r="C271" s="67"/>
      <c r="D271" s="68">
        <v>1000</v>
      </c>
      <c r="E271" s="70"/>
      <c r="F271" s="97" t="str">
        <f>HYPERLINK("https://i.ytimg.com/vi/i3H4AhjO8H8/default.jpg")</f>
        <v>https://i.ytimg.com/vi/i3H4AhjO8H8/default.jpg</v>
      </c>
      <c r="G271" s="120" t="s">
        <v>52</v>
      </c>
      <c r="H271" s="71" t="s">
        <v>1634</v>
      </c>
      <c r="I271" s="72"/>
      <c r="J271" s="72" t="s">
        <v>159</v>
      </c>
      <c r="K271" s="71" t="s">
        <v>1634</v>
      </c>
      <c r="L271" s="75">
        <v>213.72340425531914</v>
      </c>
      <c r="M271" s="76">
        <v>8393.41796875</v>
      </c>
      <c r="N271" s="76">
        <v>456.13043212890625</v>
      </c>
      <c r="O271" s="77"/>
      <c r="P271" s="78"/>
      <c r="Q271" s="78"/>
      <c r="R271" s="82"/>
      <c r="S271" s="48"/>
      <c r="T271" s="48"/>
      <c r="U271" s="49"/>
      <c r="V271" s="49"/>
      <c r="W271" s="49"/>
      <c r="X271" s="49"/>
      <c r="Y271" s="49"/>
      <c r="Z271" s="49"/>
      <c r="AA271" s="73">
        <v>271</v>
      </c>
      <c r="AB271" s="73"/>
      <c r="AC271" s="74"/>
      <c r="AD271" s="80" t="s">
        <v>1634</v>
      </c>
      <c r="AE271" s="80" t="s">
        <v>2272</v>
      </c>
      <c r="AF271" s="80" t="s">
        <v>2854</v>
      </c>
      <c r="AG271" s="80" t="s">
        <v>3342</v>
      </c>
      <c r="AH271" s="80" t="s">
        <v>4050</v>
      </c>
      <c r="AI271" s="80">
        <v>2008744</v>
      </c>
      <c r="AJ271" s="80">
        <v>13632</v>
      </c>
      <c r="AK271" s="80">
        <v>227200</v>
      </c>
      <c r="AL271" s="80">
        <v>1636</v>
      </c>
      <c r="AM271" s="80" t="s">
        <v>4098</v>
      </c>
      <c r="AN271" s="96" t="str">
        <f>HYPERLINK("https://www.youtube.com/watch?v=i3H4AhjO8H8")</f>
        <v>https://www.youtube.com/watch?v=i3H4AhjO8H8</v>
      </c>
      <c r="AO271" s="80" t="e">
        <f>REPLACE(INDEX(GroupVertices[Group],MATCH(Vertices[[#This Row],[Vertex]],GroupVertices[Vertex],0)),1,1,"")</f>
        <v>#N/A</v>
      </c>
      <c r="AP271" s="48"/>
      <c r="AQ271" s="49"/>
      <c r="AR271" s="48"/>
      <c r="AS271" s="49"/>
      <c r="AT271" s="48"/>
      <c r="AU271" s="49"/>
      <c r="AV271" s="48"/>
      <c r="AW271" s="49"/>
      <c r="AX271" s="48"/>
      <c r="AY271" s="48"/>
      <c r="AZ271" s="48"/>
      <c r="BA271" s="48"/>
      <c r="BB271" s="48"/>
      <c r="BC271" s="2"/>
      <c r="BD271" s="3"/>
      <c r="BE271" s="3"/>
      <c r="BF271" s="3"/>
      <c r="BG271" s="3"/>
    </row>
    <row r="272" spans="1:59" ht="15">
      <c r="A272" s="66" t="s">
        <v>787</v>
      </c>
      <c r="B272" s="67" t="s">
        <v>4461</v>
      </c>
      <c r="C272" s="67"/>
      <c r="D272" s="68">
        <v>1000</v>
      </c>
      <c r="E272" s="70"/>
      <c r="F272" s="97" t="str">
        <f>HYPERLINK("https://i.ytimg.com/vi/Dy55X4QaAAU/default.jpg")</f>
        <v>https://i.ytimg.com/vi/Dy55X4QaAAU/default.jpg</v>
      </c>
      <c r="G272" s="120" t="s">
        <v>52</v>
      </c>
      <c r="H272" s="71" t="s">
        <v>1527</v>
      </c>
      <c r="I272" s="72"/>
      <c r="J272" s="72" t="s">
        <v>159</v>
      </c>
      <c r="K272" s="71" t="s">
        <v>1527</v>
      </c>
      <c r="L272" s="75">
        <v>213.72340425531914</v>
      </c>
      <c r="M272" s="76">
        <v>5765.0576171875</v>
      </c>
      <c r="N272" s="76">
        <v>7624.92578125</v>
      </c>
      <c r="O272" s="77"/>
      <c r="P272" s="78"/>
      <c r="Q272" s="78"/>
      <c r="R272" s="82"/>
      <c r="S272" s="48"/>
      <c r="T272" s="48"/>
      <c r="U272" s="49"/>
      <c r="V272" s="49"/>
      <c r="W272" s="49"/>
      <c r="X272" s="49"/>
      <c r="Y272" s="49"/>
      <c r="Z272" s="49"/>
      <c r="AA272" s="73">
        <v>272</v>
      </c>
      <c r="AB272" s="73"/>
      <c r="AC272" s="74"/>
      <c r="AD272" s="80" t="s">
        <v>1527</v>
      </c>
      <c r="AE272" s="80" t="s">
        <v>2176</v>
      </c>
      <c r="AF272" s="80" t="s">
        <v>2762</v>
      </c>
      <c r="AG272" s="80" t="s">
        <v>3281</v>
      </c>
      <c r="AH272" s="80" t="s">
        <v>3941</v>
      </c>
      <c r="AI272" s="80">
        <v>1410743</v>
      </c>
      <c r="AJ272" s="80">
        <v>9926</v>
      </c>
      <c r="AK272" s="80">
        <v>71887</v>
      </c>
      <c r="AL272" s="80">
        <v>1618</v>
      </c>
      <c r="AM272" s="80" t="s">
        <v>4098</v>
      </c>
      <c r="AN272" s="96" t="str">
        <f>HYPERLINK("https://www.youtube.com/watch?v=Dy55X4QaAAU")</f>
        <v>https://www.youtube.com/watch?v=Dy55X4QaAAU</v>
      </c>
      <c r="AO272" s="80" t="e">
        <f>REPLACE(INDEX(GroupVertices[Group],MATCH(Vertices[[#This Row],[Vertex]],GroupVertices[Vertex],0)),1,1,"")</f>
        <v>#N/A</v>
      </c>
      <c r="AP272" s="48"/>
      <c r="AQ272" s="49"/>
      <c r="AR272" s="48"/>
      <c r="AS272" s="49"/>
      <c r="AT272" s="48"/>
      <c r="AU272" s="49"/>
      <c r="AV272" s="48"/>
      <c r="AW272" s="49"/>
      <c r="AX272" s="48"/>
      <c r="AY272" s="48"/>
      <c r="AZ272" s="48"/>
      <c r="BA272" s="48"/>
      <c r="BB272" s="48"/>
      <c r="BC272" s="2"/>
      <c r="BD272" s="3"/>
      <c r="BE272" s="3"/>
      <c r="BF272" s="3"/>
      <c r="BG272" s="3"/>
    </row>
    <row r="273" spans="1:59" ht="15">
      <c r="A273" s="66" t="s">
        <v>283</v>
      </c>
      <c r="B273" s="67" t="s">
        <v>4461</v>
      </c>
      <c r="C273" s="67"/>
      <c r="D273" s="68">
        <v>1000</v>
      </c>
      <c r="E273" s="70"/>
      <c r="F273" s="97" t="str">
        <f>HYPERLINK("https://i.ytimg.com/vi/lngzlLlgcSc/default.jpg")</f>
        <v>https://i.ytimg.com/vi/lngzlLlgcSc/default.jpg</v>
      </c>
      <c r="G273" s="120" t="s">
        <v>52</v>
      </c>
      <c r="H273" s="71" t="s">
        <v>980</v>
      </c>
      <c r="I273" s="72"/>
      <c r="J273" s="72" t="s">
        <v>159</v>
      </c>
      <c r="K273" s="71" t="s">
        <v>980</v>
      </c>
      <c r="L273" s="75">
        <v>213.72340425531914</v>
      </c>
      <c r="M273" s="76">
        <v>6353.79345703125</v>
      </c>
      <c r="N273" s="76">
        <v>7429.888671875</v>
      </c>
      <c r="O273" s="77"/>
      <c r="P273" s="78"/>
      <c r="Q273" s="78"/>
      <c r="R273" s="82"/>
      <c r="S273" s="48"/>
      <c r="T273" s="48"/>
      <c r="U273" s="49"/>
      <c r="V273" s="49"/>
      <c r="W273" s="49"/>
      <c r="X273" s="49"/>
      <c r="Y273" s="49"/>
      <c r="Z273" s="49"/>
      <c r="AA273" s="73">
        <v>273</v>
      </c>
      <c r="AB273" s="73"/>
      <c r="AC273" s="74"/>
      <c r="AD273" s="80" t="s">
        <v>980</v>
      </c>
      <c r="AE273" s="80" t="s">
        <v>1703</v>
      </c>
      <c r="AF273" s="80" t="s">
        <v>2335</v>
      </c>
      <c r="AG273" s="80" t="s">
        <v>2914</v>
      </c>
      <c r="AH273" s="80" t="s">
        <v>3395</v>
      </c>
      <c r="AI273" s="80">
        <v>933049</v>
      </c>
      <c r="AJ273" s="80">
        <v>7600</v>
      </c>
      <c r="AK273" s="80">
        <v>132023</v>
      </c>
      <c r="AL273" s="80">
        <v>1536</v>
      </c>
      <c r="AM273" s="80" t="s">
        <v>4098</v>
      </c>
      <c r="AN273" s="96" t="str">
        <f>HYPERLINK("https://www.youtube.com/watch?v=lngzlLlgcSc")</f>
        <v>https://www.youtube.com/watch?v=lngzlLlgcSc</v>
      </c>
      <c r="AO273" s="80" t="e">
        <f>REPLACE(INDEX(GroupVertices[Group],MATCH(Vertices[[#This Row],[Vertex]],GroupVertices[Vertex],0)),1,1,"")</f>
        <v>#N/A</v>
      </c>
      <c r="AP273" s="48"/>
      <c r="AQ273" s="49"/>
      <c r="AR273" s="48"/>
      <c r="AS273" s="49"/>
      <c r="AT273" s="48"/>
      <c r="AU273" s="49"/>
      <c r="AV273" s="48"/>
      <c r="AW273" s="49"/>
      <c r="AX273" s="48"/>
      <c r="AY273" s="48"/>
      <c r="AZ273" s="48"/>
      <c r="BA273" s="48"/>
      <c r="BB273" s="48"/>
      <c r="BC273" s="2"/>
      <c r="BD273" s="3"/>
      <c r="BE273" s="3"/>
      <c r="BF273" s="3"/>
      <c r="BG273" s="3"/>
    </row>
    <row r="274" spans="1:59" ht="15">
      <c r="A274" s="66" t="s">
        <v>571</v>
      </c>
      <c r="B274" s="67" t="s">
        <v>4461</v>
      </c>
      <c r="C274" s="67"/>
      <c r="D274" s="68">
        <v>1000</v>
      </c>
      <c r="E274" s="70"/>
      <c r="F274" s="97" t="str">
        <f>HYPERLINK("https://i.ytimg.com/vi/4fnY9RkOsbw/default.jpg")</f>
        <v>https://i.ytimg.com/vi/4fnY9RkOsbw/default.jpg</v>
      </c>
      <c r="G274" s="120" t="s">
        <v>52</v>
      </c>
      <c r="H274" s="71" t="s">
        <v>1306</v>
      </c>
      <c r="I274" s="72"/>
      <c r="J274" s="72" t="s">
        <v>159</v>
      </c>
      <c r="K274" s="71" t="s">
        <v>1306</v>
      </c>
      <c r="L274" s="75">
        <v>213.72340425531914</v>
      </c>
      <c r="M274" s="76">
        <v>8364.00390625</v>
      </c>
      <c r="N274" s="76">
        <v>7033.6630859375</v>
      </c>
      <c r="O274" s="77"/>
      <c r="P274" s="78"/>
      <c r="Q274" s="78"/>
      <c r="R274" s="82"/>
      <c r="S274" s="48"/>
      <c r="T274" s="48"/>
      <c r="U274" s="49"/>
      <c r="V274" s="49"/>
      <c r="W274" s="49"/>
      <c r="X274" s="49"/>
      <c r="Y274" s="49"/>
      <c r="Z274" s="49"/>
      <c r="AA274" s="73">
        <v>274</v>
      </c>
      <c r="AB274" s="73"/>
      <c r="AC274" s="74"/>
      <c r="AD274" s="80" t="s">
        <v>1306</v>
      </c>
      <c r="AE274" s="80" t="s">
        <v>1974</v>
      </c>
      <c r="AF274" s="80" t="s">
        <v>2578</v>
      </c>
      <c r="AG274" s="80" t="s">
        <v>3120</v>
      </c>
      <c r="AH274" s="80" t="s">
        <v>3717</v>
      </c>
      <c r="AI274" s="80">
        <v>2407762</v>
      </c>
      <c r="AJ274" s="80">
        <v>11778</v>
      </c>
      <c r="AK274" s="80">
        <v>117795</v>
      </c>
      <c r="AL274" s="80">
        <v>1497</v>
      </c>
      <c r="AM274" s="80" t="s">
        <v>4098</v>
      </c>
      <c r="AN274" s="96" t="str">
        <f>HYPERLINK("https://www.youtube.com/watch?v=4fnY9RkOsbw")</f>
        <v>https://www.youtube.com/watch?v=4fnY9RkOsbw</v>
      </c>
      <c r="AO274" s="80" t="e">
        <f>REPLACE(INDEX(GroupVertices[Group],MATCH(Vertices[[#This Row],[Vertex]],GroupVertices[Vertex],0)),1,1,"")</f>
        <v>#N/A</v>
      </c>
      <c r="AP274" s="48"/>
      <c r="AQ274" s="49"/>
      <c r="AR274" s="48"/>
      <c r="AS274" s="49"/>
      <c r="AT274" s="48"/>
      <c r="AU274" s="49"/>
      <c r="AV274" s="48"/>
      <c r="AW274" s="49"/>
      <c r="AX274" s="48"/>
      <c r="AY274" s="48"/>
      <c r="AZ274" s="48"/>
      <c r="BA274" s="48"/>
      <c r="BB274" s="48"/>
      <c r="BC274" s="2"/>
      <c r="BD274" s="3"/>
      <c r="BE274" s="3"/>
      <c r="BF274" s="3"/>
      <c r="BG274" s="3"/>
    </row>
    <row r="275" spans="1:59" ht="15">
      <c r="A275" s="66" t="s">
        <v>537</v>
      </c>
      <c r="B275" s="67" t="s">
        <v>4461</v>
      </c>
      <c r="C275" s="67"/>
      <c r="D275" s="68">
        <v>1000</v>
      </c>
      <c r="E275" s="70"/>
      <c r="F275" s="97" t="str">
        <f>HYPERLINK("https://i.ytimg.com/vi/63NTeLmDANo/default.jpg")</f>
        <v>https://i.ytimg.com/vi/63NTeLmDANo/default.jpg</v>
      </c>
      <c r="G275" s="120" t="s">
        <v>52</v>
      </c>
      <c r="H275" s="71" t="s">
        <v>1269</v>
      </c>
      <c r="I275" s="72"/>
      <c r="J275" s="72" t="s">
        <v>159</v>
      </c>
      <c r="K275" s="71" t="s">
        <v>1269</v>
      </c>
      <c r="L275" s="75">
        <v>213.72340425531914</v>
      </c>
      <c r="M275" s="76">
        <v>3333.58642578125</v>
      </c>
      <c r="N275" s="76">
        <v>7268.4033203125</v>
      </c>
      <c r="O275" s="77"/>
      <c r="P275" s="78"/>
      <c r="Q275" s="78"/>
      <c r="R275" s="82"/>
      <c r="S275" s="48"/>
      <c r="T275" s="48"/>
      <c r="U275" s="49"/>
      <c r="V275" s="49"/>
      <c r="W275" s="49"/>
      <c r="X275" s="49"/>
      <c r="Y275" s="49"/>
      <c r="Z275" s="49"/>
      <c r="AA275" s="73">
        <v>275</v>
      </c>
      <c r="AB275" s="73"/>
      <c r="AC275" s="74"/>
      <c r="AD275" s="80" t="s">
        <v>1269</v>
      </c>
      <c r="AE275" s="80" t="s">
        <v>1945</v>
      </c>
      <c r="AF275" s="80" t="s">
        <v>2554</v>
      </c>
      <c r="AG275" s="80" t="s">
        <v>3104</v>
      </c>
      <c r="AH275" s="80" t="s">
        <v>3681</v>
      </c>
      <c r="AI275" s="80">
        <v>1039184</v>
      </c>
      <c r="AJ275" s="80">
        <v>1116</v>
      </c>
      <c r="AK275" s="80">
        <v>18313</v>
      </c>
      <c r="AL275" s="80">
        <v>1483</v>
      </c>
      <c r="AM275" s="80" t="s">
        <v>4098</v>
      </c>
      <c r="AN275" s="96" t="str">
        <f>HYPERLINK("https://www.youtube.com/watch?v=63NTeLmDANo")</f>
        <v>https://www.youtube.com/watch?v=63NTeLmDANo</v>
      </c>
      <c r="AO275" s="80" t="e">
        <f>REPLACE(INDEX(GroupVertices[Group],MATCH(Vertices[[#This Row],[Vertex]],GroupVertices[Vertex],0)),1,1,"")</f>
        <v>#N/A</v>
      </c>
      <c r="AP275" s="48"/>
      <c r="AQ275" s="49"/>
      <c r="AR275" s="48"/>
      <c r="AS275" s="49"/>
      <c r="AT275" s="48"/>
      <c r="AU275" s="49"/>
      <c r="AV275" s="48"/>
      <c r="AW275" s="49"/>
      <c r="AX275" s="48"/>
      <c r="AY275" s="48"/>
      <c r="AZ275" s="48"/>
      <c r="BA275" s="48"/>
      <c r="BB275" s="48"/>
      <c r="BC275" s="2"/>
      <c r="BD275" s="3"/>
      <c r="BE275" s="3"/>
      <c r="BF275" s="3"/>
      <c r="BG275" s="3"/>
    </row>
    <row r="276" spans="1:59" ht="15">
      <c r="A276" s="66" t="s">
        <v>716</v>
      </c>
      <c r="B276" s="67" t="s">
        <v>4461</v>
      </c>
      <c r="C276" s="67"/>
      <c r="D276" s="68">
        <v>1000</v>
      </c>
      <c r="E276" s="70"/>
      <c r="F276" s="97" t="str">
        <f>HYPERLINK("https://i.ytimg.com/vi/2nFkoeG2BXs/default.jpg")</f>
        <v>https://i.ytimg.com/vi/2nFkoeG2BXs/default.jpg</v>
      </c>
      <c r="G276" s="120" t="s">
        <v>52</v>
      </c>
      <c r="H276" s="71" t="s">
        <v>1457</v>
      </c>
      <c r="I276" s="72"/>
      <c r="J276" s="72" t="s">
        <v>159</v>
      </c>
      <c r="K276" s="71" t="s">
        <v>1457</v>
      </c>
      <c r="L276" s="75">
        <v>213.72340425531914</v>
      </c>
      <c r="M276" s="76">
        <v>6959.25</v>
      </c>
      <c r="N276" s="76">
        <v>7774.87548828125</v>
      </c>
      <c r="O276" s="77"/>
      <c r="P276" s="78"/>
      <c r="Q276" s="78"/>
      <c r="R276" s="82"/>
      <c r="S276" s="48"/>
      <c r="T276" s="48"/>
      <c r="U276" s="49"/>
      <c r="V276" s="49"/>
      <c r="W276" s="49"/>
      <c r="X276" s="49"/>
      <c r="Y276" s="49"/>
      <c r="Z276" s="49"/>
      <c r="AA276" s="73">
        <v>276</v>
      </c>
      <c r="AB276" s="73"/>
      <c r="AC276" s="74"/>
      <c r="AD276" s="80" t="s">
        <v>1457</v>
      </c>
      <c r="AE276" s="80" t="s">
        <v>2115</v>
      </c>
      <c r="AF276" s="80" t="s">
        <v>2704</v>
      </c>
      <c r="AG276" s="80" t="s">
        <v>3235</v>
      </c>
      <c r="AH276" s="80" t="s">
        <v>3870</v>
      </c>
      <c r="AI276" s="80">
        <v>1727579</v>
      </c>
      <c r="AJ276" s="80">
        <v>4618</v>
      </c>
      <c r="AK276" s="80">
        <v>30474</v>
      </c>
      <c r="AL276" s="80">
        <v>1453</v>
      </c>
      <c r="AM276" s="80" t="s">
        <v>4098</v>
      </c>
      <c r="AN276" s="96" t="str">
        <f>HYPERLINK("https://www.youtube.com/watch?v=2nFkoeG2BXs")</f>
        <v>https://www.youtube.com/watch?v=2nFkoeG2BXs</v>
      </c>
      <c r="AO276" s="80" t="e">
        <f>REPLACE(INDEX(GroupVertices[Group],MATCH(Vertices[[#This Row],[Vertex]],GroupVertices[Vertex],0)),1,1,"")</f>
        <v>#N/A</v>
      </c>
      <c r="AP276" s="48"/>
      <c r="AQ276" s="49"/>
      <c r="AR276" s="48"/>
      <c r="AS276" s="49"/>
      <c r="AT276" s="48"/>
      <c r="AU276" s="49"/>
      <c r="AV276" s="48"/>
      <c r="AW276" s="49"/>
      <c r="AX276" s="48"/>
      <c r="AY276" s="48"/>
      <c r="AZ276" s="48"/>
      <c r="BA276" s="48"/>
      <c r="BB276" s="48"/>
      <c r="BC276" s="2"/>
      <c r="BD276" s="3"/>
      <c r="BE276" s="3"/>
      <c r="BF276" s="3"/>
      <c r="BG276" s="3"/>
    </row>
    <row r="277" spans="1:59" ht="15">
      <c r="A277" s="66" t="s">
        <v>711</v>
      </c>
      <c r="B277" s="67" t="s">
        <v>4461</v>
      </c>
      <c r="C277" s="67"/>
      <c r="D277" s="68">
        <v>1000</v>
      </c>
      <c r="E277" s="70"/>
      <c r="F277" s="97" t="str">
        <f>HYPERLINK("https://i.ytimg.com/vi/wtt-uPS_VhU/default.jpg")</f>
        <v>https://i.ytimg.com/vi/wtt-uPS_VhU/default.jpg</v>
      </c>
      <c r="G277" s="120" t="s">
        <v>52</v>
      </c>
      <c r="H277" s="71" t="s">
        <v>1452</v>
      </c>
      <c r="I277" s="72"/>
      <c r="J277" s="72" t="s">
        <v>159</v>
      </c>
      <c r="K277" s="71" t="s">
        <v>1452</v>
      </c>
      <c r="L277" s="75">
        <v>213.72340425531914</v>
      </c>
      <c r="M277" s="76">
        <v>6924.94921875</v>
      </c>
      <c r="N277" s="76">
        <v>8667.896484375</v>
      </c>
      <c r="O277" s="77"/>
      <c r="P277" s="78"/>
      <c r="Q277" s="78"/>
      <c r="R277" s="82"/>
      <c r="S277" s="48"/>
      <c r="T277" s="48"/>
      <c r="U277" s="49"/>
      <c r="V277" s="49"/>
      <c r="W277" s="49"/>
      <c r="X277" s="49"/>
      <c r="Y277" s="49"/>
      <c r="Z277" s="49"/>
      <c r="AA277" s="73">
        <v>277</v>
      </c>
      <c r="AB277" s="73"/>
      <c r="AC277" s="74"/>
      <c r="AD277" s="80" t="s">
        <v>1452</v>
      </c>
      <c r="AE277" s="80" t="s">
        <v>2110</v>
      </c>
      <c r="AF277" s="80"/>
      <c r="AG277" s="80" t="s">
        <v>3230</v>
      </c>
      <c r="AH277" s="80" t="s">
        <v>3865</v>
      </c>
      <c r="AI277" s="80">
        <v>2054198</v>
      </c>
      <c r="AJ277" s="80">
        <v>10040</v>
      </c>
      <c r="AK277" s="80">
        <v>129491</v>
      </c>
      <c r="AL277" s="80">
        <v>1414</v>
      </c>
      <c r="AM277" s="80" t="s">
        <v>4098</v>
      </c>
      <c r="AN277" s="96" t="str">
        <f>HYPERLINK("https://www.youtube.com/watch?v=wtt-uPS_VhU")</f>
        <v>https://www.youtube.com/watch?v=wtt-uPS_VhU</v>
      </c>
      <c r="AO277" s="80" t="e">
        <f>REPLACE(INDEX(GroupVertices[Group],MATCH(Vertices[[#This Row],[Vertex]],GroupVertices[Vertex],0)),1,1,"")</f>
        <v>#N/A</v>
      </c>
      <c r="AP277" s="48"/>
      <c r="AQ277" s="49"/>
      <c r="AR277" s="48"/>
      <c r="AS277" s="49"/>
      <c r="AT277" s="48"/>
      <c r="AU277" s="49"/>
      <c r="AV277" s="48"/>
      <c r="AW277" s="49"/>
      <c r="AX277" s="48"/>
      <c r="AY277" s="48"/>
      <c r="AZ277" s="48"/>
      <c r="BA277" s="48"/>
      <c r="BB277" s="48"/>
      <c r="BC277" s="2"/>
      <c r="BD277" s="3"/>
      <c r="BE277" s="3"/>
      <c r="BF277" s="3"/>
      <c r="BG277" s="3"/>
    </row>
    <row r="278" spans="1:59" ht="15">
      <c r="A278" s="66" t="s">
        <v>575</v>
      </c>
      <c r="B278" s="67" t="s">
        <v>4461</v>
      </c>
      <c r="C278" s="67"/>
      <c r="D278" s="68">
        <v>1000</v>
      </c>
      <c r="E278" s="70"/>
      <c r="F278" s="97" t="str">
        <f>HYPERLINK("https://i.ytimg.com/vi/MYYxRf9COTs/default.jpg")</f>
        <v>https://i.ytimg.com/vi/MYYxRf9COTs/default.jpg</v>
      </c>
      <c r="G278" s="120" t="s">
        <v>52</v>
      </c>
      <c r="H278" s="71" t="s">
        <v>1310</v>
      </c>
      <c r="I278" s="72"/>
      <c r="J278" s="72" t="s">
        <v>159</v>
      </c>
      <c r="K278" s="71" t="s">
        <v>1310</v>
      </c>
      <c r="L278" s="75">
        <v>213.72340425531914</v>
      </c>
      <c r="M278" s="76">
        <v>8990.171875</v>
      </c>
      <c r="N278" s="76">
        <v>7563.90771484375</v>
      </c>
      <c r="O278" s="77"/>
      <c r="P278" s="78"/>
      <c r="Q278" s="78"/>
      <c r="R278" s="82"/>
      <c r="S278" s="48"/>
      <c r="T278" s="48"/>
      <c r="U278" s="49"/>
      <c r="V278" s="49"/>
      <c r="W278" s="49"/>
      <c r="X278" s="49"/>
      <c r="Y278" s="49"/>
      <c r="Z278" s="49"/>
      <c r="AA278" s="73">
        <v>278</v>
      </c>
      <c r="AB278" s="73"/>
      <c r="AC278" s="74"/>
      <c r="AD278" s="80" t="s">
        <v>1310</v>
      </c>
      <c r="AE278" s="80" t="s">
        <v>1978</v>
      </c>
      <c r="AF278" s="80"/>
      <c r="AG278" s="80" t="s">
        <v>3124</v>
      </c>
      <c r="AH278" s="80" t="s">
        <v>3721</v>
      </c>
      <c r="AI278" s="80">
        <v>1247322</v>
      </c>
      <c r="AJ278" s="80">
        <v>8590</v>
      </c>
      <c r="AK278" s="80">
        <v>157078</v>
      </c>
      <c r="AL278" s="80">
        <v>1400</v>
      </c>
      <c r="AM278" s="80" t="s">
        <v>4098</v>
      </c>
      <c r="AN278" s="96" t="str">
        <f>HYPERLINK("https://www.youtube.com/watch?v=MYYxRf9COTs")</f>
        <v>https://www.youtube.com/watch?v=MYYxRf9COTs</v>
      </c>
      <c r="AO278" s="80" t="e">
        <f>REPLACE(INDEX(GroupVertices[Group],MATCH(Vertices[[#This Row],[Vertex]],GroupVertices[Vertex],0)),1,1,"")</f>
        <v>#N/A</v>
      </c>
      <c r="AP278" s="48"/>
      <c r="AQ278" s="49"/>
      <c r="AR278" s="48"/>
      <c r="AS278" s="49"/>
      <c r="AT278" s="48"/>
      <c r="AU278" s="49"/>
      <c r="AV278" s="48"/>
      <c r="AW278" s="49"/>
      <c r="AX278" s="48"/>
      <c r="AY278" s="48"/>
      <c r="AZ278" s="48"/>
      <c r="BA278" s="48"/>
      <c r="BB278" s="48"/>
      <c r="BC278" s="2"/>
      <c r="BD278" s="3"/>
      <c r="BE278" s="3"/>
      <c r="BF278" s="3"/>
      <c r="BG278" s="3"/>
    </row>
    <row r="279" spans="1:59" ht="15">
      <c r="A279" s="66" t="s">
        <v>647</v>
      </c>
      <c r="B279" s="67" t="s">
        <v>4461</v>
      </c>
      <c r="C279" s="67"/>
      <c r="D279" s="68">
        <v>1000</v>
      </c>
      <c r="E279" s="70"/>
      <c r="F279" s="97" t="str">
        <f>HYPERLINK("https://i.ytimg.com/vi/hq1L6H1Ybsg/default.jpg")</f>
        <v>https://i.ytimg.com/vi/hq1L6H1Ybsg/default.jpg</v>
      </c>
      <c r="G279" s="120" t="s">
        <v>52</v>
      </c>
      <c r="H279" s="71" t="s">
        <v>1387</v>
      </c>
      <c r="I279" s="72"/>
      <c r="J279" s="72" t="s">
        <v>159</v>
      </c>
      <c r="K279" s="71" t="s">
        <v>1387</v>
      </c>
      <c r="L279" s="75">
        <v>213.72340425531914</v>
      </c>
      <c r="M279" s="76">
        <v>2714.433349609375</v>
      </c>
      <c r="N279" s="76">
        <v>1138.6204833984375</v>
      </c>
      <c r="O279" s="77"/>
      <c r="P279" s="78"/>
      <c r="Q279" s="78"/>
      <c r="R279" s="82"/>
      <c r="S279" s="48"/>
      <c r="T279" s="48"/>
      <c r="U279" s="49"/>
      <c r="V279" s="49"/>
      <c r="W279" s="49"/>
      <c r="X279" s="49"/>
      <c r="Y279" s="49"/>
      <c r="Z279" s="49"/>
      <c r="AA279" s="73">
        <v>279</v>
      </c>
      <c r="AB279" s="73"/>
      <c r="AC279" s="74"/>
      <c r="AD279" s="80" t="s">
        <v>1387</v>
      </c>
      <c r="AE279" s="80" t="s">
        <v>2052</v>
      </c>
      <c r="AF279" s="80" t="s">
        <v>2645</v>
      </c>
      <c r="AG279" s="80" t="s">
        <v>3181</v>
      </c>
      <c r="AH279" s="80" t="s">
        <v>3799</v>
      </c>
      <c r="AI279" s="80">
        <v>1352051</v>
      </c>
      <c r="AJ279" s="80">
        <v>3734</v>
      </c>
      <c r="AK279" s="80">
        <v>106705</v>
      </c>
      <c r="AL279" s="80">
        <v>1231</v>
      </c>
      <c r="AM279" s="80" t="s">
        <v>4098</v>
      </c>
      <c r="AN279" s="96" t="str">
        <f>HYPERLINK("https://www.youtube.com/watch?v=hq1L6H1Ybsg")</f>
        <v>https://www.youtube.com/watch?v=hq1L6H1Ybsg</v>
      </c>
      <c r="AO279" s="80" t="e">
        <f>REPLACE(INDEX(GroupVertices[Group],MATCH(Vertices[[#This Row],[Vertex]],GroupVertices[Vertex],0)),1,1,"")</f>
        <v>#N/A</v>
      </c>
      <c r="AP279" s="48"/>
      <c r="AQ279" s="49"/>
      <c r="AR279" s="48"/>
      <c r="AS279" s="49"/>
      <c r="AT279" s="48"/>
      <c r="AU279" s="49"/>
      <c r="AV279" s="48"/>
      <c r="AW279" s="49"/>
      <c r="AX279" s="48"/>
      <c r="AY279" s="48"/>
      <c r="AZ279" s="48"/>
      <c r="BA279" s="48"/>
      <c r="BB279" s="48"/>
      <c r="BC279" s="2"/>
      <c r="BD279" s="3"/>
      <c r="BE279" s="3"/>
      <c r="BF279" s="3"/>
      <c r="BG279" s="3"/>
    </row>
    <row r="280" spans="1:59" ht="15">
      <c r="A280" s="66" t="s">
        <v>462</v>
      </c>
      <c r="B280" s="67" t="s">
        <v>4461</v>
      </c>
      <c r="C280" s="67"/>
      <c r="D280" s="68">
        <v>1000</v>
      </c>
      <c r="E280" s="70"/>
      <c r="F280" s="97" t="str">
        <f>HYPERLINK("https://i.ytimg.com/vi/Y0sdjDqvgzI/default.jpg")</f>
        <v>https://i.ytimg.com/vi/Y0sdjDqvgzI/default.jpg</v>
      </c>
      <c r="G280" s="120" t="s">
        <v>52</v>
      </c>
      <c r="H280" s="71" t="s">
        <v>1173</v>
      </c>
      <c r="I280" s="72"/>
      <c r="J280" s="72" t="s">
        <v>159</v>
      </c>
      <c r="K280" s="71" t="s">
        <v>1173</v>
      </c>
      <c r="L280" s="75">
        <v>213.72340425531914</v>
      </c>
      <c r="M280" s="76">
        <v>3576.774658203125</v>
      </c>
      <c r="N280" s="76">
        <v>2565.6728515625</v>
      </c>
      <c r="O280" s="77"/>
      <c r="P280" s="78"/>
      <c r="Q280" s="78"/>
      <c r="R280" s="82"/>
      <c r="S280" s="48"/>
      <c r="T280" s="48"/>
      <c r="U280" s="49"/>
      <c r="V280" s="49"/>
      <c r="W280" s="49"/>
      <c r="X280" s="49"/>
      <c r="Y280" s="49"/>
      <c r="Z280" s="49"/>
      <c r="AA280" s="73">
        <v>280</v>
      </c>
      <c r="AB280" s="73"/>
      <c r="AC280" s="74"/>
      <c r="AD280" s="80" t="s">
        <v>1173</v>
      </c>
      <c r="AE280" s="80" t="s">
        <v>1862</v>
      </c>
      <c r="AF280" s="80" t="s">
        <v>2480</v>
      </c>
      <c r="AG280" s="80" t="s">
        <v>3040</v>
      </c>
      <c r="AH280" s="80" t="s">
        <v>3586</v>
      </c>
      <c r="AI280" s="80">
        <v>1023791</v>
      </c>
      <c r="AJ280" s="80">
        <v>5462</v>
      </c>
      <c r="AK280" s="80">
        <v>62190</v>
      </c>
      <c r="AL280" s="80">
        <v>1175</v>
      </c>
      <c r="AM280" s="80" t="s">
        <v>4098</v>
      </c>
      <c r="AN280" s="96" t="str">
        <f>HYPERLINK("https://www.youtube.com/watch?v=Y0sdjDqvgzI")</f>
        <v>https://www.youtube.com/watch?v=Y0sdjDqvgzI</v>
      </c>
      <c r="AO280" s="80" t="e">
        <f>REPLACE(INDEX(GroupVertices[Group],MATCH(Vertices[[#This Row],[Vertex]],GroupVertices[Vertex],0)),1,1,"")</f>
        <v>#N/A</v>
      </c>
      <c r="AP280" s="48"/>
      <c r="AQ280" s="49"/>
      <c r="AR280" s="48"/>
      <c r="AS280" s="49"/>
      <c r="AT280" s="48"/>
      <c r="AU280" s="49"/>
      <c r="AV280" s="48"/>
      <c r="AW280" s="49"/>
      <c r="AX280" s="48"/>
      <c r="AY280" s="48"/>
      <c r="AZ280" s="48"/>
      <c r="BA280" s="48"/>
      <c r="BB280" s="48"/>
      <c r="BC280" s="2"/>
      <c r="BD280" s="3"/>
      <c r="BE280" s="3"/>
      <c r="BF280" s="3"/>
      <c r="BG280" s="3"/>
    </row>
    <row r="281" spans="1:59" ht="15">
      <c r="A281" s="66" t="s">
        <v>572</v>
      </c>
      <c r="B281" s="67" t="s">
        <v>4461</v>
      </c>
      <c r="C281" s="67"/>
      <c r="D281" s="68">
        <v>1000</v>
      </c>
      <c r="E281" s="70"/>
      <c r="F281" s="97" t="str">
        <f>HYPERLINK("https://i.ytimg.com/vi/vXfxj_wDbbE/default.jpg")</f>
        <v>https://i.ytimg.com/vi/vXfxj_wDbbE/default.jpg</v>
      </c>
      <c r="G281" s="120" t="s">
        <v>52</v>
      </c>
      <c r="H281" s="71" t="s">
        <v>1307</v>
      </c>
      <c r="I281" s="72"/>
      <c r="J281" s="72" t="s">
        <v>159</v>
      </c>
      <c r="K281" s="71" t="s">
        <v>1307</v>
      </c>
      <c r="L281" s="75">
        <v>213.72340425531914</v>
      </c>
      <c r="M281" s="76">
        <v>8654.6982421875</v>
      </c>
      <c r="N281" s="76">
        <v>6646.86572265625</v>
      </c>
      <c r="O281" s="77"/>
      <c r="P281" s="78"/>
      <c r="Q281" s="78"/>
      <c r="R281" s="82"/>
      <c r="S281" s="48"/>
      <c r="T281" s="48"/>
      <c r="U281" s="49"/>
      <c r="V281" s="49"/>
      <c r="W281" s="49"/>
      <c r="X281" s="49"/>
      <c r="Y281" s="49"/>
      <c r="Z281" s="49"/>
      <c r="AA281" s="73">
        <v>281</v>
      </c>
      <c r="AB281" s="73"/>
      <c r="AC281" s="74"/>
      <c r="AD281" s="80" t="s">
        <v>1307</v>
      </c>
      <c r="AE281" s="80" t="s">
        <v>1975</v>
      </c>
      <c r="AF281" s="80" t="s">
        <v>2579</v>
      </c>
      <c r="AG281" s="80" t="s">
        <v>3121</v>
      </c>
      <c r="AH281" s="80" t="s">
        <v>3718</v>
      </c>
      <c r="AI281" s="80">
        <v>1854776</v>
      </c>
      <c r="AJ281" s="80">
        <v>19841</v>
      </c>
      <c r="AK281" s="80">
        <v>177731</v>
      </c>
      <c r="AL281" s="80">
        <v>1140</v>
      </c>
      <c r="AM281" s="80" t="s">
        <v>4098</v>
      </c>
      <c r="AN281" s="96" t="str">
        <f>HYPERLINK("https://www.youtube.com/watch?v=vXfxj_wDbbE")</f>
        <v>https://www.youtube.com/watch?v=vXfxj_wDbbE</v>
      </c>
      <c r="AO281" s="80" t="e">
        <f>REPLACE(INDEX(GroupVertices[Group],MATCH(Vertices[[#This Row],[Vertex]],GroupVertices[Vertex],0)),1,1,"")</f>
        <v>#N/A</v>
      </c>
      <c r="AP281" s="48"/>
      <c r="AQ281" s="49"/>
      <c r="AR281" s="48"/>
      <c r="AS281" s="49"/>
      <c r="AT281" s="48"/>
      <c r="AU281" s="49"/>
      <c r="AV281" s="48"/>
      <c r="AW281" s="49"/>
      <c r="AX281" s="48"/>
      <c r="AY281" s="48"/>
      <c r="AZ281" s="48"/>
      <c r="BA281" s="48"/>
      <c r="BB281" s="48"/>
      <c r="BC281" s="2"/>
      <c r="BD281" s="3"/>
      <c r="BE281" s="3"/>
      <c r="BF281" s="3"/>
      <c r="BG281" s="3"/>
    </row>
    <row r="282" spans="1:59" ht="15">
      <c r="A282" s="66" t="s">
        <v>322</v>
      </c>
      <c r="B282" s="67" t="s">
        <v>4461</v>
      </c>
      <c r="C282" s="67"/>
      <c r="D282" s="68">
        <v>884.9761553919841</v>
      </c>
      <c r="E282" s="70"/>
      <c r="F282" s="97" t="str">
        <f>HYPERLINK("https://i.ytimg.com/vi/2u-U_Bmqpvc/default.jpg")</f>
        <v>https://i.ytimg.com/vi/2u-U_Bmqpvc/default.jpg</v>
      </c>
      <c r="G282" s="120" t="s">
        <v>52</v>
      </c>
      <c r="H282" s="71" t="s">
        <v>1023</v>
      </c>
      <c r="I282" s="72"/>
      <c r="J282" s="72" t="s">
        <v>159</v>
      </c>
      <c r="K282" s="71" t="s">
        <v>1023</v>
      </c>
      <c r="L282" s="75">
        <v>213.72340425531914</v>
      </c>
      <c r="M282" s="76">
        <v>5153.38037109375</v>
      </c>
      <c r="N282" s="76">
        <v>2861.401123046875</v>
      </c>
      <c r="O282" s="77"/>
      <c r="P282" s="78"/>
      <c r="Q282" s="78"/>
      <c r="R282" s="82"/>
      <c r="S282" s="48"/>
      <c r="T282" s="48"/>
      <c r="U282" s="49"/>
      <c r="V282" s="49"/>
      <c r="W282" s="49"/>
      <c r="X282" s="49"/>
      <c r="Y282" s="49"/>
      <c r="Z282" s="49"/>
      <c r="AA282" s="73">
        <v>282</v>
      </c>
      <c r="AB282" s="73"/>
      <c r="AC282" s="74"/>
      <c r="AD282" s="80" t="s">
        <v>1023</v>
      </c>
      <c r="AE282" s="80" t="s">
        <v>1740</v>
      </c>
      <c r="AF282" s="80"/>
      <c r="AG282" s="80" t="s">
        <v>2952</v>
      </c>
      <c r="AH282" s="80" t="s">
        <v>3438</v>
      </c>
      <c r="AI282" s="80">
        <v>255372</v>
      </c>
      <c r="AJ282" s="80">
        <v>2436</v>
      </c>
      <c r="AK282" s="80">
        <v>27716</v>
      </c>
      <c r="AL282" s="80">
        <v>1114</v>
      </c>
      <c r="AM282" s="80" t="s">
        <v>4098</v>
      </c>
      <c r="AN282" s="96" t="str">
        <f>HYPERLINK("https://www.youtube.com/watch?v=2u-U_Bmqpvc")</f>
        <v>https://www.youtube.com/watch?v=2u-U_Bmqpvc</v>
      </c>
      <c r="AO282" s="80" t="e">
        <f>REPLACE(INDEX(GroupVertices[Group],MATCH(Vertices[[#This Row],[Vertex]],GroupVertices[Vertex],0)),1,1,"")</f>
        <v>#N/A</v>
      </c>
      <c r="AP282" s="48"/>
      <c r="AQ282" s="49"/>
      <c r="AR282" s="48"/>
      <c r="AS282" s="49"/>
      <c r="AT282" s="48"/>
      <c r="AU282" s="49"/>
      <c r="AV282" s="48"/>
      <c r="AW282" s="49"/>
      <c r="AX282" s="48"/>
      <c r="AY282" s="48"/>
      <c r="AZ282" s="48"/>
      <c r="BA282" s="48"/>
      <c r="BB282" s="48"/>
      <c r="BC282" s="2"/>
      <c r="BD282" s="3"/>
      <c r="BE282" s="3"/>
      <c r="BF282" s="3"/>
      <c r="BG282" s="3"/>
    </row>
    <row r="283" spans="1:59" ht="15">
      <c r="A283" s="66" t="s">
        <v>685</v>
      </c>
      <c r="B283" s="67" t="s">
        <v>4461</v>
      </c>
      <c r="C283" s="67"/>
      <c r="D283" s="68">
        <v>970.7539760869984</v>
      </c>
      <c r="E283" s="70"/>
      <c r="F283" s="97" t="str">
        <f>HYPERLINK("https://i.ytimg.com/vi/Ec1kWb84GFw/default.jpg")</f>
        <v>https://i.ytimg.com/vi/Ec1kWb84GFw/default.jpg</v>
      </c>
      <c r="G283" s="120" t="s">
        <v>52</v>
      </c>
      <c r="H283" s="71" t="s">
        <v>1426</v>
      </c>
      <c r="I283" s="72"/>
      <c r="J283" s="72" t="s">
        <v>159</v>
      </c>
      <c r="K283" s="71" t="s">
        <v>1426</v>
      </c>
      <c r="L283" s="75">
        <v>213.72340425531914</v>
      </c>
      <c r="M283" s="76">
        <v>9566.8857421875</v>
      </c>
      <c r="N283" s="76">
        <v>2094.9677734375</v>
      </c>
      <c r="O283" s="77"/>
      <c r="P283" s="78"/>
      <c r="Q283" s="78"/>
      <c r="R283" s="82"/>
      <c r="S283" s="48"/>
      <c r="T283" s="48"/>
      <c r="U283" s="49"/>
      <c r="V283" s="49"/>
      <c r="W283" s="49"/>
      <c r="X283" s="49"/>
      <c r="Y283" s="49"/>
      <c r="Z283" s="49"/>
      <c r="AA283" s="73">
        <v>283</v>
      </c>
      <c r="AB283" s="73"/>
      <c r="AC283" s="74"/>
      <c r="AD283" s="80" t="s">
        <v>1426</v>
      </c>
      <c r="AE283" s="80" t="s">
        <v>2084</v>
      </c>
      <c r="AF283" s="80" t="s">
        <v>2675</v>
      </c>
      <c r="AG283" s="80" t="s">
        <v>3212</v>
      </c>
      <c r="AH283" s="80" t="s">
        <v>3838</v>
      </c>
      <c r="AI283" s="80">
        <v>671157</v>
      </c>
      <c r="AJ283" s="80">
        <v>454</v>
      </c>
      <c r="AK283" s="80">
        <v>5692</v>
      </c>
      <c r="AL283" s="80">
        <v>1062</v>
      </c>
      <c r="AM283" s="80" t="s">
        <v>4098</v>
      </c>
      <c r="AN283" s="96" t="str">
        <f>HYPERLINK("https://www.youtube.com/watch?v=Ec1kWb84GFw")</f>
        <v>https://www.youtube.com/watch?v=Ec1kWb84GFw</v>
      </c>
      <c r="AO283" s="80" t="e">
        <f>REPLACE(INDEX(GroupVertices[Group],MATCH(Vertices[[#This Row],[Vertex]],GroupVertices[Vertex],0)),1,1,"")</f>
        <v>#N/A</v>
      </c>
      <c r="AP283" s="48"/>
      <c r="AQ283" s="49"/>
      <c r="AR283" s="48"/>
      <c r="AS283" s="49"/>
      <c r="AT283" s="48"/>
      <c r="AU283" s="49"/>
      <c r="AV283" s="48"/>
      <c r="AW283" s="49"/>
      <c r="AX283" s="48"/>
      <c r="AY283" s="48"/>
      <c r="AZ283" s="48"/>
      <c r="BA283" s="48"/>
      <c r="BB283" s="48"/>
      <c r="BC283" s="2"/>
      <c r="BD283" s="3"/>
      <c r="BE283" s="3"/>
      <c r="BF283" s="3"/>
      <c r="BG283" s="3"/>
    </row>
    <row r="284" spans="1:59" ht="15">
      <c r="A284" s="66" t="s">
        <v>646</v>
      </c>
      <c r="B284" s="67" t="s">
        <v>4461</v>
      </c>
      <c r="C284" s="67"/>
      <c r="D284" s="68">
        <v>933.1251337925638</v>
      </c>
      <c r="E284" s="70"/>
      <c r="F284" s="97" t="str">
        <f>HYPERLINK("https://i.ytimg.com/vi/D8nFJ7D7h6o/default.jpg")</f>
        <v>https://i.ytimg.com/vi/D8nFJ7D7h6o/default.jpg</v>
      </c>
      <c r="G284" s="120" t="s">
        <v>52</v>
      </c>
      <c r="H284" s="71" t="s">
        <v>1386</v>
      </c>
      <c r="I284" s="72"/>
      <c r="J284" s="72" t="s">
        <v>159</v>
      </c>
      <c r="K284" s="71" t="s">
        <v>1386</v>
      </c>
      <c r="L284" s="75">
        <v>213.72340425531914</v>
      </c>
      <c r="M284" s="76">
        <v>2873.27490234375</v>
      </c>
      <c r="N284" s="76">
        <v>2959.518310546875</v>
      </c>
      <c r="O284" s="77"/>
      <c r="P284" s="78"/>
      <c r="Q284" s="78"/>
      <c r="R284" s="82"/>
      <c r="S284" s="48"/>
      <c r="T284" s="48"/>
      <c r="U284" s="49"/>
      <c r="V284" s="49"/>
      <c r="W284" s="49"/>
      <c r="X284" s="49"/>
      <c r="Y284" s="49"/>
      <c r="Z284" s="49"/>
      <c r="AA284" s="73">
        <v>284</v>
      </c>
      <c r="AB284" s="73"/>
      <c r="AC284" s="74"/>
      <c r="AD284" s="80" t="s">
        <v>1386</v>
      </c>
      <c r="AE284" s="80" t="s">
        <v>2051</v>
      </c>
      <c r="AF284" s="80" t="s">
        <v>2644</v>
      </c>
      <c r="AG284" s="80" t="s">
        <v>3180</v>
      </c>
      <c r="AH284" s="80" t="s">
        <v>3798</v>
      </c>
      <c r="AI284" s="80">
        <v>439271</v>
      </c>
      <c r="AJ284" s="80">
        <v>7087</v>
      </c>
      <c r="AK284" s="80">
        <v>47847</v>
      </c>
      <c r="AL284" s="80">
        <v>1001</v>
      </c>
      <c r="AM284" s="80" t="s">
        <v>4098</v>
      </c>
      <c r="AN284" s="96" t="str">
        <f>HYPERLINK("https://www.youtube.com/watch?v=D8nFJ7D7h6o")</f>
        <v>https://www.youtube.com/watch?v=D8nFJ7D7h6o</v>
      </c>
      <c r="AO284" s="80" t="e">
        <f>REPLACE(INDEX(GroupVertices[Group],MATCH(Vertices[[#This Row],[Vertex]],GroupVertices[Vertex],0)),1,1,"")</f>
        <v>#N/A</v>
      </c>
      <c r="AP284" s="48"/>
      <c r="AQ284" s="49"/>
      <c r="AR284" s="48"/>
      <c r="AS284" s="49"/>
      <c r="AT284" s="48"/>
      <c r="AU284" s="49"/>
      <c r="AV284" s="48"/>
      <c r="AW284" s="49"/>
      <c r="AX284" s="48"/>
      <c r="AY284" s="48"/>
      <c r="AZ284" s="48"/>
      <c r="BA284" s="48"/>
      <c r="BB284" s="48"/>
      <c r="BC284" s="2"/>
      <c r="BD284" s="3"/>
      <c r="BE284" s="3"/>
      <c r="BF284" s="3"/>
      <c r="BG284" s="3"/>
    </row>
    <row r="285" spans="1:59" ht="15">
      <c r="A285" s="66" t="s">
        <v>490</v>
      </c>
      <c r="B285" s="67" t="s">
        <v>4461</v>
      </c>
      <c r="C285" s="67"/>
      <c r="D285" s="68">
        <v>1000</v>
      </c>
      <c r="E285" s="70"/>
      <c r="F285" s="97" t="str">
        <f>HYPERLINK("https://i.ytimg.com/vi/HXV3zeQKqGY/default.jpg")</f>
        <v>https://i.ytimg.com/vi/HXV3zeQKqGY/default.jpg</v>
      </c>
      <c r="G285" s="120" t="s">
        <v>52</v>
      </c>
      <c r="H285" s="71" t="s">
        <v>1206</v>
      </c>
      <c r="I285" s="72"/>
      <c r="J285" s="72" t="s">
        <v>159</v>
      </c>
      <c r="K285" s="71" t="s">
        <v>1206</v>
      </c>
      <c r="L285" s="75">
        <v>213.72340425531914</v>
      </c>
      <c r="M285" s="76">
        <v>6414.08642578125</v>
      </c>
      <c r="N285" s="76">
        <v>578.1356201171875</v>
      </c>
      <c r="O285" s="77"/>
      <c r="P285" s="78"/>
      <c r="Q285" s="78"/>
      <c r="R285" s="82"/>
      <c r="S285" s="48"/>
      <c r="T285" s="48"/>
      <c r="U285" s="49"/>
      <c r="V285" s="49"/>
      <c r="W285" s="49"/>
      <c r="X285" s="49"/>
      <c r="Y285" s="49"/>
      <c r="Z285" s="49"/>
      <c r="AA285" s="73">
        <v>285</v>
      </c>
      <c r="AB285" s="73"/>
      <c r="AC285" s="74"/>
      <c r="AD285" s="80" t="s">
        <v>1206</v>
      </c>
      <c r="AE285" s="80" t="s">
        <v>1890</v>
      </c>
      <c r="AF285" s="80" t="s">
        <v>2504</v>
      </c>
      <c r="AG285" s="80" t="s">
        <v>2981</v>
      </c>
      <c r="AH285" s="80" t="s">
        <v>3618</v>
      </c>
      <c r="AI285" s="80">
        <v>4074876</v>
      </c>
      <c r="AJ285" s="80">
        <v>3721</v>
      </c>
      <c r="AK285" s="80">
        <v>70711</v>
      </c>
      <c r="AL285" s="80">
        <v>960</v>
      </c>
      <c r="AM285" s="80" t="s">
        <v>4098</v>
      </c>
      <c r="AN285" s="96" t="str">
        <f>HYPERLINK("https://www.youtube.com/watch?v=HXV3zeQKqGY")</f>
        <v>https://www.youtube.com/watch?v=HXV3zeQKqGY</v>
      </c>
      <c r="AO285" s="80" t="e">
        <f>REPLACE(INDEX(GroupVertices[Group],MATCH(Vertices[[#This Row],[Vertex]],GroupVertices[Vertex],0)),1,1,"")</f>
        <v>#N/A</v>
      </c>
      <c r="AP285" s="48"/>
      <c r="AQ285" s="49"/>
      <c r="AR285" s="48"/>
      <c r="AS285" s="49"/>
      <c r="AT285" s="48"/>
      <c r="AU285" s="49"/>
      <c r="AV285" s="48"/>
      <c r="AW285" s="49"/>
      <c r="AX285" s="48"/>
      <c r="AY285" s="48"/>
      <c r="AZ285" s="48"/>
      <c r="BA285" s="48"/>
      <c r="BB285" s="48"/>
      <c r="BC285" s="2"/>
      <c r="BD285" s="3"/>
      <c r="BE285" s="3"/>
      <c r="BF285" s="3"/>
      <c r="BG285" s="3"/>
    </row>
    <row r="286" spans="1:59" ht="15">
      <c r="A286" s="66" t="s">
        <v>576</v>
      </c>
      <c r="B286" s="67" t="s">
        <v>4461</v>
      </c>
      <c r="C286" s="67"/>
      <c r="D286" s="68">
        <v>1000</v>
      </c>
      <c r="E286" s="70"/>
      <c r="F286" s="97" t="str">
        <f>HYPERLINK("https://i.ytimg.com/vi/bPbJKhimNrE/default.jpg")</f>
        <v>https://i.ytimg.com/vi/bPbJKhimNrE/default.jpg</v>
      </c>
      <c r="G286" s="120" t="s">
        <v>52</v>
      </c>
      <c r="H286" s="71" t="s">
        <v>1311</v>
      </c>
      <c r="I286" s="72"/>
      <c r="J286" s="72" t="s">
        <v>159</v>
      </c>
      <c r="K286" s="71" t="s">
        <v>1311</v>
      </c>
      <c r="L286" s="75">
        <v>213.72340425531914</v>
      </c>
      <c r="M286" s="76">
        <v>8309.5322265625</v>
      </c>
      <c r="N286" s="76">
        <v>6453.72998046875</v>
      </c>
      <c r="O286" s="77"/>
      <c r="P286" s="78"/>
      <c r="Q286" s="78"/>
      <c r="R286" s="82"/>
      <c r="S286" s="48"/>
      <c r="T286" s="48"/>
      <c r="U286" s="49"/>
      <c r="V286" s="49"/>
      <c r="W286" s="49"/>
      <c r="X286" s="49"/>
      <c r="Y286" s="49"/>
      <c r="Z286" s="49"/>
      <c r="AA286" s="73">
        <v>286</v>
      </c>
      <c r="AB286" s="73"/>
      <c r="AC286" s="74"/>
      <c r="AD286" s="80" t="s">
        <v>1311</v>
      </c>
      <c r="AE286" s="80" t="s">
        <v>1979</v>
      </c>
      <c r="AF286" s="80" t="s">
        <v>2582</v>
      </c>
      <c r="AG286" s="80" t="s">
        <v>3125</v>
      </c>
      <c r="AH286" s="80" t="s">
        <v>3722</v>
      </c>
      <c r="AI286" s="80">
        <v>1156091</v>
      </c>
      <c r="AJ286" s="80">
        <v>2536</v>
      </c>
      <c r="AK286" s="80">
        <v>58771</v>
      </c>
      <c r="AL286" s="80">
        <v>943</v>
      </c>
      <c r="AM286" s="80" t="s">
        <v>4098</v>
      </c>
      <c r="AN286" s="96" t="str">
        <f>HYPERLINK("https://www.youtube.com/watch?v=bPbJKhimNrE")</f>
        <v>https://www.youtube.com/watch?v=bPbJKhimNrE</v>
      </c>
      <c r="AO286" s="80" t="e">
        <f>REPLACE(INDEX(GroupVertices[Group],MATCH(Vertices[[#This Row],[Vertex]],GroupVertices[Vertex],0)),1,1,"")</f>
        <v>#N/A</v>
      </c>
      <c r="AP286" s="48"/>
      <c r="AQ286" s="49"/>
      <c r="AR286" s="48"/>
      <c r="AS286" s="49"/>
      <c r="AT286" s="48"/>
      <c r="AU286" s="49"/>
      <c r="AV286" s="48"/>
      <c r="AW286" s="49"/>
      <c r="AX286" s="48"/>
      <c r="AY286" s="48"/>
      <c r="AZ286" s="48"/>
      <c r="BA286" s="48"/>
      <c r="BB286" s="48"/>
      <c r="BC286" s="2"/>
      <c r="BD286" s="3"/>
      <c r="BE286" s="3"/>
      <c r="BF286" s="3"/>
      <c r="BG286" s="3"/>
    </row>
    <row r="287" spans="1:59" ht="15">
      <c r="A287" s="66" t="s">
        <v>899</v>
      </c>
      <c r="B287" s="67" t="s">
        <v>4461</v>
      </c>
      <c r="C287" s="67"/>
      <c r="D287" s="68">
        <v>1000</v>
      </c>
      <c r="E287" s="70"/>
      <c r="F287" s="97" t="str">
        <f>HYPERLINK("https://i.ytimg.com/vi/zoVCW-Tck0U/default.jpg")</f>
        <v>https://i.ytimg.com/vi/zoVCW-Tck0U/default.jpg</v>
      </c>
      <c r="G287" s="120" t="s">
        <v>52</v>
      </c>
      <c r="H287" s="71" t="s">
        <v>1637</v>
      </c>
      <c r="I287" s="72"/>
      <c r="J287" s="72" t="s">
        <v>159</v>
      </c>
      <c r="K287" s="71" t="s">
        <v>1637</v>
      </c>
      <c r="L287" s="75">
        <v>213.72340425531914</v>
      </c>
      <c r="M287" s="76">
        <v>8082.1357421875</v>
      </c>
      <c r="N287" s="76">
        <v>1629.710205078125</v>
      </c>
      <c r="O287" s="77"/>
      <c r="P287" s="78"/>
      <c r="Q287" s="78"/>
      <c r="R287" s="82"/>
      <c r="S287" s="48"/>
      <c r="T287" s="48"/>
      <c r="U287" s="49"/>
      <c r="V287" s="49"/>
      <c r="W287" s="49"/>
      <c r="X287" s="49"/>
      <c r="Y287" s="49"/>
      <c r="Z287" s="49"/>
      <c r="AA287" s="73">
        <v>287</v>
      </c>
      <c r="AB287" s="73"/>
      <c r="AC287" s="74"/>
      <c r="AD287" s="80" t="s">
        <v>1637</v>
      </c>
      <c r="AE287" s="80" t="s">
        <v>2274</v>
      </c>
      <c r="AF287" s="80" t="s">
        <v>2856</v>
      </c>
      <c r="AG287" s="80" t="s">
        <v>3345</v>
      </c>
      <c r="AH287" s="80" t="s">
        <v>4053</v>
      </c>
      <c r="AI287" s="80">
        <v>1002623</v>
      </c>
      <c r="AJ287" s="80">
        <v>3125</v>
      </c>
      <c r="AK287" s="80">
        <v>44951</v>
      </c>
      <c r="AL287" s="80">
        <v>907</v>
      </c>
      <c r="AM287" s="80" t="s">
        <v>4098</v>
      </c>
      <c r="AN287" s="96" t="str">
        <f>HYPERLINK("https://www.youtube.com/watch?v=zoVCW-Tck0U")</f>
        <v>https://www.youtube.com/watch?v=zoVCW-Tck0U</v>
      </c>
      <c r="AO287" s="80" t="e">
        <f>REPLACE(INDEX(GroupVertices[Group],MATCH(Vertices[[#This Row],[Vertex]],GroupVertices[Vertex],0)),1,1,"")</f>
        <v>#N/A</v>
      </c>
      <c r="AP287" s="48"/>
      <c r="AQ287" s="49"/>
      <c r="AR287" s="48"/>
      <c r="AS287" s="49"/>
      <c r="AT287" s="48"/>
      <c r="AU287" s="49"/>
      <c r="AV287" s="48"/>
      <c r="AW287" s="49"/>
      <c r="AX287" s="48"/>
      <c r="AY287" s="48"/>
      <c r="AZ287" s="48"/>
      <c r="BA287" s="48"/>
      <c r="BB287" s="48"/>
      <c r="BC287" s="2"/>
      <c r="BD287" s="3"/>
      <c r="BE287" s="3"/>
      <c r="BF287" s="3"/>
      <c r="BG287" s="3"/>
    </row>
    <row r="288" spans="1:59" ht="15">
      <c r="A288" s="66" t="s">
        <v>293</v>
      </c>
      <c r="B288" s="67" t="s">
        <v>4461</v>
      </c>
      <c r="C288" s="67"/>
      <c r="D288" s="68">
        <v>1000</v>
      </c>
      <c r="E288" s="70"/>
      <c r="F288" s="97" t="str">
        <f>HYPERLINK("https://i.ytimg.com/vi/gsxCopOjGZo/default.jpg")</f>
        <v>https://i.ytimg.com/vi/gsxCopOjGZo/default.jpg</v>
      </c>
      <c r="G288" s="120" t="s">
        <v>52</v>
      </c>
      <c r="H288" s="71" t="s">
        <v>990</v>
      </c>
      <c r="I288" s="72"/>
      <c r="J288" s="72" t="s">
        <v>159</v>
      </c>
      <c r="K288" s="71" t="s">
        <v>990</v>
      </c>
      <c r="L288" s="75">
        <v>213.72340425531914</v>
      </c>
      <c r="M288" s="76">
        <v>6275.71923828125</v>
      </c>
      <c r="N288" s="76">
        <v>7282.0498046875</v>
      </c>
      <c r="O288" s="77"/>
      <c r="P288" s="78"/>
      <c r="Q288" s="78"/>
      <c r="R288" s="82"/>
      <c r="S288" s="48"/>
      <c r="T288" s="48"/>
      <c r="U288" s="49"/>
      <c r="V288" s="49"/>
      <c r="W288" s="49"/>
      <c r="X288" s="49"/>
      <c r="Y288" s="49"/>
      <c r="Z288" s="49"/>
      <c r="AA288" s="73">
        <v>288</v>
      </c>
      <c r="AB288" s="73"/>
      <c r="AC288" s="74"/>
      <c r="AD288" s="80" t="s">
        <v>990</v>
      </c>
      <c r="AE288" s="80" t="s">
        <v>1713</v>
      </c>
      <c r="AF288" s="80" t="s">
        <v>2345</v>
      </c>
      <c r="AG288" s="80" t="s">
        <v>2921</v>
      </c>
      <c r="AH288" s="80" t="s">
        <v>3405</v>
      </c>
      <c r="AI288" s="80">
        <v>2853740</v>
      </c>
      <c r="AJ288" s="80">
        <v>583</v>
      </c>
      <c r="AK288" s="80">
        <v>33320</v>
      </c>
      <c r="AL288" s="80">
        <v>893</v>
      </c>
      <c r="AM288" s="80" t="s">
        <v>4098</v>
      </c>
      <c r="AN288" s="96" t="str">
        <f>HYPERLINK("https://www.youtube.com/watch?v=gsxCopOjGZo")</f>
        <v>https://www.youtube.com/watch?v=gsxCopOjGZo</v>
      </c>
      <c r="AO288" s="80" t="e">
        <f>REPLACE(INDEX(GroupVertices[Group],MATCH(Vertices[[#This Row],[Vertex]],GroupVertices[Vertex],0)),1,1,"")</f>
        <v>#N/A</v>
      </c>
      <c r="AP288" s="48"/>
      <c r="AQ288" s="49"/>
      <c r="AR288" s="48"/>
      <c r="AS288" s="49"/>
      <c r="AT288" s="48"/>
      <c r="AU288" s="49"/>
      <c r="AV288" s="48"/>
      <c r="AW288" s="49"/>
      <c r="AX288" s="48"/>
      <c r="AY288" s="48"/>
      <c r="AZ288" s="48"/>
      <c r="BA288" s="48"/>
      <c r="BB288" s="48"/>
      <c r="BC288" s="2"/>
      <c r="BD288" s="3"/>
      <c r="BE288" s="3"/>
      <c r="BF288" s="3"/>
      <c r="BG288" s="3"/>
    </row>
    <row r="289" spans="1:59" ht="15">
      <c r="A289" s="66" t="s">
        <v>515</v>
      </c>
      <c r="B289" s="67" t="s">
        <v>4461</v>
      </c>
      <c r="C289" s="67"/>
      <c r="D289" s="68">
        <v>989.7902343222123</v>
      </c>
      <c r="E289" s="70"/>
      <c r="F289" s="97" t="str">
        <f>HYPERLINK("https://i.ytimg.com/vi/CqMTu-VsOss/default.jpg")</f>
        <v>https://i.ytimg.com/vi/CqMTu-VsOss/default.jpg</v>
      </c>
      <c r="G289" s="120" t="s">
        <v>52</v>
      </c>
      <c r="H289" s="71" t="s">
        <v>1246</v>
      </c>
      <c r="I289" s="72"/>
      <c r="J289" s="72" t="s">
        <v>159</v>
      </c>
      <c r="K289" s="71" t="s">
        <v>1246</v>
      </c>
      <c r="L289" s="75">
        <v>213.72340425531914</v>
      </c>
      <c r="M289" s="76">
        <v>9723.375</v>
      </c>
      <c r="N289" s="76">
        <v>9190.259765625</v>
      </c>
      <c r="O289" s="77"/>
      <c r="P289" s="78"/>
      <c r="Q289" s="78"/>
      <c r="R289" s="82"/>
      <c r="S289" s="48"/>
      <c r="T289" s="48"/>
      <c r="U289" s="49"/>
      <c r="V289" s="49"/>
      <c r="W289" s="49"/>
      <c r="X289" s="49"/>
      <c r="Y289" s="49"/>
      <c r="Z289" s="49"/>
      <c r="AA289" s="73">
        <v>289</v>
      </c>
      <c r="AB289" s="73"/>
      <c r="AC289" s="74"/>
      <c r="AD289" s="80" t="s">
        <v>1246</v>
      </c>
      <c r="AE289" s="80" t="s">
        <v>1927</v>
      </c>
      <c r="AF289" s="80" t="s">
        <v>2534</v>
      </c>
      <c r="AG289" s="80" t="s">
        <v>3083</v>
      </c>
      <c r="AH289" s="80" t="s">
        <v>3658</v>
      </c>
      <c r="AI289" s="80">
        <v>831678</v>
      </c>
      <c r="AJ289" s="80">
        <v>4056</v>
      </c>
      <c r="AK289" s="80">
        <v>32375</v>
      </c>
      <c r="AL289" s="80">
        <v>855</v>
      </c>
      <c r="AM289" s="80" t="s">
        <v>4098</v>
      </c>
      <c r="AN289" s="96" t="str">
        <f>HYPERLINK("https://www.youtube.com/watch?v=CqMTu-VsOss")</f>
        <v>https://www.youtube.com/watch?v=CqMTu-VsOss</v>
      </c>
      <c r="AO289" s="80" t="e">
        <f>REPLACE(INDEX(GroupVertices[Group],MATCH(Vertices[[#This Row],[Vertex]],GroupVertices[Vertex],0)),1,1,"")</f>
        <v>#N/A</v>
      </c>
      <c r="AP289" s="48"/>
      <c r="AQ289" s="49"/>
      <c r="AR289" s="48"/>
      <c r="AS289" s="49"/>
      <c r="AT289" s="48"/>
      <c r="AU289" s="49"/>
      <c r="AV289" s="48"/>
      <c r="AW289" s="49"/>
      <c r="AX289" s="48"/>
      <c r="AY289" s="48"/>
      <c r="AZ289" s="48"/>
      <c r="BA289" s="48"/>
      <c r="BB289" s="48"/>
      <c r="BC289" s="2"/>
      <c r="BD289" s="3"/>
      <c r="BE289" s="3"/>
      <c r="BF289" s="3"/>
      <c r="BG289" s="3"/>
    </row>
    <row r="290" spans="1:59" ht="15">
      <c r="A290" s="66" t="s">
        <v>820</v>
      </c>
      <c r="B290" s="67" t="s">
        <v>4461</v>
      </c>
      <c r="C290" s="67"/>
      <c r="D290" s="68">
        <v>1000</v>
      </c>
      <c r="E290" s="70"/>
      <c r="F290" s="97" t="str">
        <f>HYPERLINK("https://i.ytimg.com/vi/sqxzQkAdJm0/default.jpg")</f>
        <v>https://i.ytimg.com/vi/sqxzQkAdJm0/default.jpg</v>
      </c>
      <c r="G290" s="120" t="s">
        <v>52</v>
      </c>
      <c r="H290" s="71" t="s">
        <v>1559</v>
      </c>
      <c r="I290" s="72"/>
      <c r="J290" s="72" t="s">
        <v>159</v>
      </c>
      <c r="K290" s="71" t="s">
        <v>1559</v>
      </c>
      <c r="L290" s="75">
        <v>213.72340425531914</v>
      </c>
      <c r="M290" s="76">
        <v>1800.3623046875</v>
      </c>
      <c r="N290" s="76">
        <v>630.0261840820312</v>
      </c>
      <c r="O290" s="77"/>
      <c r="P290" s="78"/>
      <c r="Q290" s="78"/>
      <c r="R290" s="82"/>
      <c r="S290" s="48"/>
      <c r="T290" s="48"/>
      <c r="U290" s="49"/>
      <c r="V290" s="49"/>
      <c r="W290" s="49"/>
      <c r="X290" s="49"/>
      <c r="Y290" s="49"/>
      <c r="Z290" s="49"/>
      <c r="AA290" s="73">
        <v>290</v>
      </c>
      <c r="AB290" s="73"/>
      <c r="AC290" s="74"/>
      <c r="AD290" s="80" t="s">
        <v>1559</v>
      </c>
      <c r="AE290" s="80" t="s">
        <v>2206</v>
      </c>
      <c r="AF290" s="80" t="s">
        <v>2791</v>
      </c>
      <c r="AG290" s="80" t="s">
        <v>3304</v>
      </c>
      <c r="AH290" s="80" t="s">
        <v>3974</v>
      </c>
      <c r="AI290" s="80">
        <v>2159867</v>
      </c>
      <c r="AJ290" s="80">
        <v>743</v>
      </c>
      <c r="AK290" s="80">
        <v>15627</v>
      </c>
      <c r="AL290" s="80">
        <v>850</v>
      </c>
      <c r="AM290" s="80" t="s">
        <v>4098</v>
      </c>
      <c r="AN290" s="96" t="str">
        <f>HYPERLINK("https://www.youtube.com/watch?v=sqxzQkAdJm0")</f>
        <v>https://www.youtube.com/watch?v=sqxzQkAdJm0</v>
      </c>
      <c r="AO290" s="80" t="e">
        <f>REPLACE(INDEX(GroupVertices[Group],MATCH(Vertices[[#This Row],[Vertex]],GroupVertices[Vertex],0)),1,1,"")</f>
        <v>#N/A</v>
      </c>
      <c r="AP290" s="48"/>
      <c r="AQ290" s="49"/>
      <c r="AR290" s="48"/>
      <c r="AS290" s="49"/>
      <c r="AT290" s="48"/>
      <c r="AU290" s="49"/>
      <c r="AV290" s="48"/>
      <c r="AW290" s="49"/>
      <c r="AX290" s="48"/>
      <c r="AY290" s="48"/>
      <c r="AZ290" s="48"/>
      <c r="BA290" s="48"/>
      <c r="BB290" s="48"/>
      <c r="BC290" s="2"/>
      <c r="BD290" s="3"/>
      <c r="BE290" s="3"/>
      <c r="BF290" s="3"/>
      <c r="BG290" s="3"/>
    </row>
    <row r="291" spans="1:59" ht="15">
      <c r="A291" s="66" t="s">
        <v>649</v>
      </c>
      <c r="B291" s="67" t="s">
        <v>4461</v>
      </c>
      <c r="C291" s="67"/>
      <c r="D291" s="68">
        <v>1000</v>
      </c>
      <c r="E291" s="70"/>
      <c r="F291" s="97" t="str">
        <f>HYPERLINK("https://i.ytimg.com/vi/oJaulZPBfzA/default.jpg")</f>
        <v>https://i.ytimg.com/vi/oJaulZPBfzA/default.jpg</v>
      </c>
      <c r="G291" s="120" t="s">
        <v>52</v>
      </c>
      <c r="H291" s="71" t="s">
        <v>1389</v>
      </c>
      <c r="I291" s="72"/>
      <c r="J291" s="72" t="s">
        <v>159</v>
      </c>
      <c r="K291" s="71" t="s">
        <v>1389</v>
      </c>
      <c r="L291" s="75">
        <v>213.72340425531914</v>
      </c>
      <c r="M291" s="76">
        <v>2740.909912109375</v>
      </c>
      <c r="N291" s="76">
        <v>1691.374267578125</v>
      </c>
      <c r="O291" s="77"/>
      <c r="P291" s="78"/>
      <c r="Q291" s="78"/>
      <c r="R291" s="82"/>
      <c r="S291" s="48"/>
      <c r="T291" s="48"/>
      <c r="U291" s="49"/>
      <c r="V291" s="49"/>
      <c r="W291" s="49"/>
      <c r="X291" s="49"/>
      <c r="Y291" s="49"/>
      <c r="Z291" s="49"/>
      <c r="AA291" s="73">
        <v>291</v>
      </c>
      <c r="AB291" s="73"/>
      <c r="AC291" s="74"/>
      <c r="AD291" s="80" t="s">
        <v>1389</v>
      </c>
      <c r="AE291" s="80" t="s">
        <v>2054</v>
      </c>
      <c r="AF291" s="80" t="s">
        <v>2647</v>
      </c>
      <c r="AG291" s="80" t="s">
        <v>3183</v>
      </c>
      <c r="AH291" s="80" t="s">
        <v>3801</v>
      </c>
      <c r="AI291" s="80">
        <v>1069780</v>
      </c>
      <c r="AJ291" s="80">
        <v>2769</v>
      </c>
      <c r="AK291" s="80">
        <v>146678</v>
      </c>
      <c r="AL291" s="80">
        <v>846</v>
      </c>
      <c r="AM291" s="80" t="s">
        <v>4098</v>
      </c>
      <c r="AN291" s="96" t="str">
        <f>HYPERLINK("https://www.youtube.com/watch?v=oJaulZPBfzA")</f>
        <v>https://www.youtube.com/watch?v=oJaulZPBfzA</v>
      </c>
      <c r="AO291" s="80" t="e">
        <f>REPLACE(INDEX(GroupVertices[Group],MATCH(Vertices[[#This Row],[Vertex]],GroupVertices[Vertex],0)),1,1,"")</f>
        <v>#N/A</v>
      </c>
      <c r="AP291" s="48"/>
      <c r="AQ291" s="49"/>
      <c r="AR291" s="48"/>
      <c r="AS291" s="49"/>
      <c r="AT291" s="48"/>
      <c r="AU291" s="49"/>
      <c r="AV291" s="48"/>
      <c r="AW291" s="49"/>
      <c r="AX291" s="48"/>
      <c r="AY291" s="48"/>
      <c r="AZ291" s="48"/>
      <c r="BA291" s="48"/>
      <c r="BB291" s="48"/>
      <c r="BC291" s="2"/>
      <c r="BD291" s="3"/>
      <c r="BE291" s="3"/>
      <c r="BF291" s="3"/>
      <c r="BG291" s="3"/>
    </row>
    <row r="292" spans="1:59" ht="15">
      <c r="A292" s="66" t="s">
        <v>574</v>
      </c>
      <c r="B292" s="67" t="s">
        <v>4461</v>
      </c>
      <c r="C292" s="67"/>
      <c r="D292" s="68">
        <v>934.0948880104294</v>
      </c>
      <c r="E292" s="70"/>
      <c r="F292" s="97" t="str">
        <f>HYPERLINK("https://i.ytimg.com/vi/UCpDige7TzA/default.jpg")</f>
        <v>https://i.ytimg.com/vi/UCpDige7TzA/default.jpg</v>
      </c>
      <c r="G292" s="120" t="s">
        <v>52</v>
      </c>
      <c r="H292" s="71" t="s">
        <v>1309</v>
      </c>
      <c r="I292" s="72"/>
      <c r="J292" s="72" t="s">
        <v>159</v>
      </c>
      <c r="K292" s="71" t="s">
        <v>1309</v>
      </c>
      <c r="L292" s="75">
        <v>213.72340425531914</v>
      </c>
      <c r="M292" s="76">
        <v>9163.46875</v>
      </c>
      <c r="N292" s="76">
        <v>6735.9443359375</v>
      </c>
      <c r="O292" s="77"/>
      <c r="P292" s="78"/>
      <c r="Q292" s="78"/>
      <c r="R292" s="82"/>
      <c r="S292" s="48"/>
      <c r="T292" s="48"/>
      <c r="U292" s="49"/>
      <c r="V292" s="49"/>
      <c r="W292" s="49"/>
      <c r="X292" s="49"/>
      <c r="Y292" s="49"/>
      <c r="Z292" s="49"/>
      <c r="AA292" s="73">
        <v>292</v>
      </c>
      <c r="AB292" s="73"/>
      <c r="AC292" s="74"/>
      <c r="AD292" s="80" t="s">
        <v>1309</v>
      </c>
      <c r="AE292" s="80" t="s">
        <v>1977</v>
      </c>
      <c r="AF292" s="80" t="s">
        <v>2581</v>
      </c>
      <c r="AG292" s="80" t="s">
        <v>3123</v>
      </c>
      <c r="AH292" s="80" t="s">
        <v>3720</v>
      </c>
      <c r="AI292" s="80">
        <v>444096</v>
      </c>
      <c r="AJ292" s="80">
        <v>1613</v>
      </c>
      <c r="AK292" s="80">
        <v>13947</v>
      </c>
      <c r="AL292" s="80">
        <v>779</v>
      </c>
      <c r="AM292" s="80" t="s">
        <v>4098</v>
      </c>
      <c r="AN292" s="96" t="str">
        <f>HYPERLINK("https://www.youtube.com/watch?v=UCpDige7TzA")</f>
        <v>https://www.youtube.com/watch?v=UCpDige7TzA</v>
      </c>
      <c r="AO292" s="80" t="e">
        <f>REPLACE(INDEX(GroupVertices[Group],MATCH(Vertices[[#This Row],[Vertex]],GroupVertices[Vertex],0)),1,1,"")</f>
        <v>#N/A</v>
      </c>
      <c r="AP292" s="48"/>
      <c r="AQ292" s="49"/>
      <c r="AR292" s="48"/>
      <c r="AS292" s="49"/>
      <c r="AT292" s="48"/>
      <c r="AU292" s="49"/>
      <c r="AV292" s="48"/>
      <c r="AW292" s="49"/>
      <c r="AX292" s="48"/>
      <c r="AY292" s="48"/>
      <c r="AZ292" s="48"/>
      <c r="BA292" s="48"/>
      <c r="BB292" s="48"/>
      <c r="BC292" s="2"/>
      <c r="BD292" s="3"/>
      <c r="BE292" s="3"/>
      <c r="BF292" s="3"/>
      <c r="BG292" s="3"/>
    </row>
    <row r="293" spans="1:59" ht="15">
      <c r="A293" s="66" t="s">
        <v>503</v>
      </c>
      <c r="B293" s="67" t="s">
        <v>4461</v>
      </c>
      <c r="C293" s="67"/>
      <c r="D293" s="68">
        <v>1000</v>
      </c>
      <c r="E293" s="70"/>
      <c r="F293" s="97" t="str">
        <f>HYPERLINK("https://i.ytimg.com/vi/xC-c7E5PK0Y/default.jpg")</f>
        <v>https://i.ytimg.com/vi/xC-c7E5PK0Y/default.jpg</v>
      </c>
      <c r="G293" s="120" t="s">
        <v>52</v>
      </c>
      <c r="H293" s="71" t="s">
        <v>1219</v>
      </c>
      <c r="I293" s="72"/>
      <c r="J293" s="72" t="s">
        <v>159</v>
      </c>
      <c r="K293" s="71" t="s">
        <v>1219</v>
      </c>
      <c r="L293" s="75">
        <v>213.72340425531914</v>
      </c>
      <c r="M293" s="76">
        <v>6587.97021484375</v>
      </c>
      <c r="N293" s="76">
        <v>3162.538330078125</v>
      </c>
      <c r="O293" s="77"/>
      <c r="P293" s="78"/>
      <c r="Q293" s="78"/>
      <c r="R293" s="82"/>
      <c r="S293" s="48"/>
      <c r="T293" s="48"/>
      <c r="U293" s="49"/>
      <c r="V293" s="49"/>
      <c r="W293" s="49"/>
      <c r="X293" s="49"/>
      <c r="Y293" s="49"/>
      <c r="Z293" s="49"/>
      <c r="AA293" s="73">
        <v>293</v>
      </c>
      <c r="AB293" s="73"/>
      <c r="AC293" s="74"/>
      <c r="AD293" s="80" t="s">
        <v>1219</v>
      </c>
      <c r="AE293" s="80" t="s">
        <v>1902</v>
      </c>
      <c r="AF293" s="80" t="s">
        <v>2516</v>
      </c>
      <c r="AG293" s="80" t="s">
        <v>3072</v>
      </c>
      <c r="AH293" s="80" t="s">
        <v>3631</v>
      </c>
      <c r="AI293" s="80">
        <v>1428068</v>
      </c>
      <c r="AJ293" s="80">
        <v>2266</v>
      </c>
      <c r="AK293" s="80">
        <v>53224</v>
      </c>
      <c r="AL293" s="80">
        <v>734</v>
      </c>
      <c r="AM293" s="80" t="s">
        <v>4098</v>
      </c>
      <c r="AN293" s="96" t="str">
        <f>HYPERLINK("https://www.youtube.com/watch?v=xC-c7E5PK0Y")</f>
        <v>https://www.youtube.com/watch?v=xC-c7E5PK0Y</v>
      </c>
      <c r="AO293" s="80" t="e">
        <f>REPLACE(INDEX(GroupVertices[Group],MATCH(Vertices[[#This Row],[Vertex]],GroupVertices[Vertex],0)),1,1,"")</f>
        <v>#N/A</v>
      </c>
      <c r="AP293" s="48"/>
      <c r="AQ293" s="49"/>
      <c r="AR293" s="48"/>
      <c r="AS293" s="49"/>
      <c r="AT293" s="48"/>
      <c r="AU293" s="49"/>
      <c r="AV293" s="48"/>
      <c r="AW293" s="49"/>
      <c r="AX293" s="48"/>
      <c r="AY293" s="48"/>
      <c r="AZ293" s="48"/>
      <c r="BA293" s="48"/>
      <c r="BB293" s="48"/>
      <c r="BC293" s="2"/>
      <c r="BD293" s="3"/>
      <c r="BE293" s="3"/>
      <c r="BF293" s="3"/>
      <c r="BG293" s="3"/>
    </row>
    <row r="294" spans="1:59" ht="15">
      <c r="A294" s="66" t="s">
        <v>943</v>
      </c>
      <c r="B294" s="67" t="s">
        <v>4461</v>
      </c>
      <c r="C294" s="67"/>
      <c r="D294" s="68">
        <v>994.4521738596042</v>
      </c>
      <c r="E294" s="70"/>
      <c r="F294" s="97" t="str">
        <f>HYPERLINK("https://i.ytimg.com/vi/8kUZT--ayNQ/default.jpg")</f>
        <v>https://i.ytimg.com/vi/8kUZT--ayNQ/default.jpg</v>
      </c>
      <c r="G294" s="120" t="s">
        <v>52</v>
      </c>
      <c r="H294" s="71" t="s">
        <v>956</v>
      </c>
      <c r="I294" s="72"/>
      <c r="J294" s="72" t="s">
        <v>159</v>
      </c>
      <c r="K294" s="71" t="s">
        <v>956</v>
      </c>
      <c r="L294" s="75">
        <v>213.72340425531914</v>
      </c>
      <c r="M294" s="76">
        <v>6626.9931640625</v>
      </c>
      <c r="N294" s="76">
        <v>8684.0654296875</v>
      </c>
      <c r="O294" s="77"/>
      <c r="P294" s="78"/>
      <c r="Q294" s="78"/>
      <c r="R294" s="82"/>
      <c r="S294" s="48"/>
      <c r="T294" s="48"/>
      <c r="U294" s="49"/>
      <c r="V294" s="49"/>
      <c r="W294" s="49"/>
      <c r="X294" s="49"/>
      <c r="Y294" s="49"/>
      <c r="Z294" s="49"/>
      <c r="AA294" s="73">
        <v>294</v>
      </c>
      <c r="AB294" s="73"/>
      <c r="AC294" s="74"/>
      <c r="AD294" s="80" t="s">
        <v>956</v>
      </c>
      <c r="AE294" s="80" t="s">
        <v>1681</v>
      </c>
      <c r="AF294" s="80" t="s">
        <v>2315</v>
      </c>
      <c r="AG294" s="80" t="s">
        <v>2894</v>
      </c>
      <c r="AH294" s="80" t="s">
        <v>3371</v>
      </c>
      <c r="AI294" s="80">
        <v>876522</v>
      </c>
      <c r="AJ294" s="80">
        <v>2330</v>
      </c>
      <c r="AK294" s="80">
        <v>61571</v>
      </c>
      <c r="AL294" s="80">
        <v>686</v>
      </c>
      <c r="AM294" s="80" t="s">
        <v>4098</v>
      </c>
      <c r="AN294" s="96" t="str">
        <f>HYPERLINK("https://www.youtube.com/watch?v=8kUZT--ayNQ")</f>
        <v>https://www.youtube.com/watch?v=8kUZT--ayNQ</v>
      </c>
      <c r="AO294" s="80" t="e">
        <f>REPLACE(INDEX(GroupVertices[Group],MATCH(Vertices[[#This Row],[Vertex]],GroupVertices[Vertex],0)),1,1,"")</f>
        <v>#N/A</v>
      </c>
      <c r="AP294" s="48"/>
      <c r="AQ294" s="49"/>
      <c r="AR294" s="48"/>
      <c r="AS294" s="49"/>
      <c r="AT294" s="48"/>
      <c r="AU294" s="49"/>
      <c r="AV294" s="48"/>
      <c r="AW294" s="49"/>
      <c r="AX294" s="48"/>
      <c r="AY294" s="48"/>
      <c r="AZ294" s="48"/>
      <c r="BA294" s="48"/>
      <c r="BB294" s="48"/>
      <c r="BC294" s="2"/>
      <c r="BD294" s="3"/>
      <c r="BE294" s="3"/>
      <c r="BF294" s="3"/>
      <c r="BG294" s="3"/>
    </row>
    <row r="295" spans="1:59" ht="15">
      <c r="A295" s="66" t="s">
        <v>821</v>
      </c>
      <c r="B295" s="67" t="s">
        <v>4461</v>
      </c>
      <c r="C295" s="67"/>
      <c r="D295" s="68">
        <v>946.3730836884971</v>
      </c>
      <c r="E295" s="70"/>
      <c r="F295" s="97" t="str">
        <f>HYPERLINK("https://i.ytimg.com/vi/V8GyxjVRPZw/default.jpg")</f>
        <v>https://i.ytimg.com/vi/V8GyxjVRPZw/default.jpg</v>
      </c>
      <c r="G295" s="120" t="s">
        <v>52</v>
      </c>
      <c r="H295" s="71" t="s">
        <v>1560</v>
      </c>
      <c r="I295" s="72"/>
      <c r="J295" s="72" t="s">
        <v>159</v>
      </c>
      <c r="K295" s="71" t="s">
        <v>1560</v>
      </c>
      <c r="L295" s="75">
        <v>213.72340425531914</v>
      </c>
      <c r="M295" s="76">
        <v>1093.8685302734375</v>
      </c>
      <c r="N295" s="76">
        <v>248.49053955078125</v>
      </c>
      <c r="O295" s="77"/>
      <c r="P295" s="78"/>
      <c r="Q295" s="78"/>
      <c r="R295" s="82"/>
      <c r="S295" s="48"/>
      <c r="T295" s="48"/>
      <c r="U295" s="49"/>
      <c r="V295" s="49"/>
      <c r="W295" s="49"/>
      <c r="X295" s="49"/>
      <c r="Y295" s="49"/>
      <c r="Z295" s="49"/>
      <c r="AA295" s="73">
        <v>295</v>
      </c>
      <c r="AB295" s="73"/>
      <c r="AC295" s="74"/>
      <c r="AD295" s="80" t="s">
        <v>1560</v>
      </c>
      <c r="AE295" s="80" t="s">
        <v>2207</v>
      </c>
      <c r="AF295" s="80" t="s">
        <v>2792</v>
      </c>
      <c r="AG295" s="80" t="s">
        <v>3305</v>
      </c>
      <c r="AH295" s="80" t="s">
        <v>3975</v>
      </c>
      <c r="AI295" s="80">
        <v>509971</v>
      </c>
      <c r="AJ295" s="80">
        <v>954</v>
      </c>
      <c r="AK295" s="80">
        <v>5045</v>
      </c>
      <c r="AL295" s="80">
        <v>685</v>
      </c>
      <c r="AM295" s="80" t="s">
        <v>4098</v>
      </c>
      <c r="AN295" s="96" t="str">
        <f>HYPERLINK("https://www.youtube.com/watch?v=V8GyxjVRPZw")</f>
        <v>https://www.youtube.com/watch?v=V8GyxjVRPZw</v>
      </c>
      <c r="AO295" s="80" t="e">
        <f>REPLACE(INDEX(GroupVertices[Group],MATCH(Vertices[[#This Row],[Vertex]],GroupVertices[Vertex],0)),1,1,"")</f>
        <v>#N/A</v>
      </c>
      <c r="AP295" s="48"/>
      <c r="AQ295" s="49"/>
      <c r="AR295" s="48"/>
      <c r="AS295" s="49"/>
      <c r="AT295" s="48"/>
      <c r="AU295" s="49"/>
      <c r="AV295" s="48"/>
      <c r="AW295" s="49"/>
      <c r="AX295" s="48"/>
      <c r="AY295" s="48"/>
      <c r="AZ295" s="48"/>
      <c r="BA295" s="48"/>
      <c r="BB295" s="48"/>
      <c r="BC295" s="2"/>
      <c r="BD295" s="3"/>
      <c r="BE295" s="3"/>
      <c r="BF295" s="3"/>
      <c r="BG295" s="3"/>
    </row>
    <row r="296" spans="1:59" ht="15">
      <c r="A296" s="66" t="s">
        <v>421</v>
      </c>
      <c r="B296" s="67" t="s">
        <v>4461</v>
      </c>
      <c r="C296" s="67"/>
      <c r="D296" s="68">
        <v>1000</v>
      </c>
      <c r="E296" s="70"/>
      <c r="F296" s="97" t="str">
        <f>HYPERLINK("https://i.ytimg.com/vi/AimCNTzDlVo/default.jpg")</f>
        <v>https://i.ytimg.com/vi/AimCNTzDlVo/default.jpg</v>
      </c>
      <c r="G296" s="120" t="s">
        <v>52</v>
      </c>
      <c r="H296" s="71" t="s">
        <v>1129</v>
      </c>
      <c r="I296" s="72"/>
      <c r="J296" s="72" t="s">
        <v>159</v>
      </c>
      <c r="K296" s="71" t="s">
        <v>1129</v>
      </c>
      <c r="L296" s="75">
        <v>213.72340425531914</v>
      </c>
      <c r="M296" s="76">
        <v>8667.7119140625</v>
      </c>
      <c r="N296" s="76">
        <v>6150.68212890625</v>
      </c>
      <c r="O296" s="77"/>
      <c r="P296" s="78"/>
      <c r="Q296" s="78"/>
      <c r="R296" s="82"/>
      <c r="S296" s="48"/>
      <c r="T296" s="48"/>
      <c r="U296" s="49"/>
      <c r="V296" s="49"/>
      <c r="W296" s="49"/>
      <c r="X296" s="49"/>
      <c r="Y296" s="49"/>
      <c r="Z296" s="49"/>
      <c r="AA296" s="73">
        <v>296</v>
      </c>
      <c r="AB296" s="73"/>
      <c r="AC296" s="74"/>
      <c r="AD296" s="80" t="s">
        <v>1129</v>
      </c>
      <c r="AE296" s="80" t="s">
        <v>1826</v>
      </c>
      <c r="AF296" s="80" t="s">
        <v>2446</v>
      </c>
      <c r="AG296" s="80" t="s">
        <v>3012</v>
      </c>
      <c r="AH296" s="80" t="s">
        <v>3542</v>
      </c>
      <c r="AI296" s="80">
        <v>2976706</v>
      </c>
      <c r="AJ296" s="80">
        <v>762</v>
      </c>
      <c r="AK296" s="80">
        <v>27396</v>
      </c>
      <c r="AL296" s="80">
        <v>651</v>
      </c>
      <c r="AM296" s="80" t="s">
        <v>4098</v>
      </c>
      <c r="AN296" s="96" t="str">
        <f>HYPERLINK("https://www.youtube.com/watch?v=AimCNTzDlVo")</f>
        <v>https://www.youtube.com/watch?v=AimCNTzDlVo</v>
      </c>
      <c r="AO296" s="80" t="e">
        <f>REPLACE(INDEX(GroupVertices[Group],MATCH(Vertices[[#This Row],[Vertex]],GroupVertices[Vertex],0)),1,1,"")</f>
        <v>#N/A</v>
      </c>
      <c r="AP296" s="48"/>
      <c r="AQ296" s="49"/>
      <c r="AR296" s="48"/>
      <c r="AS296" s="49"/>
      <c r="AT296" s="48"/>
      <c r="AU296" s="49"/>
      <c r="AV296" s="48"/>
      <c r="AW296" s="49"/>
      <c r="AX296" s="48"/>
      <c r="AY296" s="48"/>
      <c r="AZ296" s="48"/>
      <c r="BA296" s="48"/>
      <c r="BB296" s="48"/>
      <c r="BC296" s="2"/>
      <c r="BD296" s="3"/>
      <c r="BE296" s="3"/>
      <c r="BF296" s="3"/>
      <c r="BG296" s="3"/>
    </row>
    <row r="297" spans="1:59" ht="15">
      <c r="A297" s="66" t="s">
        <v>704</v>
      </c>
      <c r="B297" s="67" t="s">
        <v>4461</v>
      </c>
      <c r="C297" s="67"/>
      <c r="D297" s="68">
        <v>944.2731700633459</v>
      </c>
      <c r="E297" s="70"/>
      <c r="F297" s="97" t="str">
        <f>HYPERLINK("https://i.ytimg.com/vi/nOVoEvsFVN8/default.jpg")</f>
        <v>https://i.ytimg.com/vi/nOVoEvsFVN8/default.jpg</v>
      </c>
      <c r="G297" s="120" t="s">
        <v>52</v>
      </c>
      <c r="H297" s="71" t="s">
        <v>1445</v>
      </c>
      <c r="I297" s="72"/>
      <c r="J297" s="72" t="s">
        <v>159</v>
      </c>
      <c r="K297" s="71" t="s">
        <v>1445</v>
      </c>
      <c r="L297" s="75">
        <v>213.72340425531914</v>
      </c>
      <c r="M297" s="76">
        <v>7245.39208984375</v>
      </c>
      <c r="N297" s="76">
        <v>6764.5478515625</v>
      </c>
      <c r="O297" s="77"/>
      <c r="P297" s="78"/>
      <c r="Q297" s="78"/>
      <c r="R297" s="82"/>
      <c r="S297" s="48"/>
      <c r="T297" s="48"/>
      <c r="U297" s="49"/>
      <c r="V297" s="49"/>
      <c r="W297" s="49"/>
      <c r="X297" s="49"/>
      <c r="Y297" s="49"/>
      <c r="Z297" s="49"/>
      <c r="AA297" s="73">
        <v>297</v>
      </c>
      <c r="AB297" s="73"/>
      <c r="AC297" s="74"/>
      <c r="AD297" s="80" t="s">
        <v>1445</v>
      </c>
      <c r="AE297" s="80" t="s">
        <v>2103</v>
      </c>
      <c r="AF297" s="80" t="s">
        <v>2694</v>
      </c>
      <c r="AG297" s="80" t="s">
        <v>3225</v>
      </c>
      <c r="AH297" s="80" t="s">
        <v>3858</v>
      </c>
      <c r="AI297" s="80">
        <v>498049</v>
      </c>
      <c r="AJ297" s="80">
        <v>2742</v>
      </c>
      <c r="AK297" s="80">
        <v>37544</v>
      </c>
      <c r="AL297" s="80">
        <v>645</v>
      </c>
      <c r="AM297" s="80" t="s">
        <v>4098</v>
      </c>
      <c r="AN297" s="96" t="str">
        <f>HYPERLINK("https://www.youtube.com/watch?v=nOVoEvsFVN8")</f>
        <v>https://www.youtube.com/watch?v=nOVoEvsFVN8</v>
      </c>
      <c r="AO297" s="80" t="e">
        <f>REPLACE(INDEX(GroupVertices[Group],MATCH(Vertices[[#This Row],[Vertex]],GroupVertices[Vertex],0)),1,1,"")</f>
        <v>#N/A</v>
      </c>
      <c r="AP297" s="48"/>
      <c r="AQ297" s="49"/>
      <c r="AR297" s="48"/>
      <c r="AS297" s="49"/>
      <c r="AT297" s="48"/>
      <c r="AU297" s="49"/>
      <c r="AV297" s="48"/>
      <c r="AW297" s="49"/>
      <c r="AX297" s="48"/>
      <c r="AY297" s="48"/>
      <c r="AZ297" s="48"/>
      <c r="BA297" s="48"/>
      <c r="BB297" s="48"/>
      <c r="BC297" s="2"/>
      <c r="BD297" s="3"/>
      <c r="BE297" s="3"/>
      <c r="BF297" s="3"/>
      <c r="BG297" s="3"/>
    </row>
    <row r="298" spans="1:59" ht="15">
      <c r="A298" s="66" t="s">
        <v>894</v>
      </c>
      <c r="B298" s="67" t="s">
        <v>4461</v>
      </c>
      <c r="C298" s="67"/>
      <c r="D298" s="68">
        <v>966.4322468148691</v>
      </c>
      <c r="E298" s="70"/>
      <c r="F298" s="97" t="str">
        <f>HYPERLINK("https://i.ytimg.com/vi/J4J3_8JFKYU/default.jpg")</f>
        <v>https://i.ytimg.com/vi/J4J3_8JFKYU/default.jpg</v>
      </c>
      <c r="G298" s="120" t="s">
        <v>52</v>
      </c>
      <c r="H298" s="71" t="s">
        <v>1632</v>
      </c>
      <c r="I298" s="72"/>
      <c r="J298" s="72" t="s">
        <v>159</v>
      </c>
      <c r="K298" s="71" t="s">
        <v>1632</v>
      </c>
      <c r="L298" s="75">
        <v>213.72340425531914</v>
      </c>
      <c r="M298" s="76">
        <v>7649.138671875</v>
      </c>
      <c r="N298" s="76">
        <v>854.8168334960938</v>
      </c>
      <c r="O298" s="77"/>
      <c r="P298" s="78"/>
      <c r="Q298" s="78"/>
      <c r="R298" s="82"/>
      <c r="S298" s="48"/>
      <c r="T298" s="48"/>
      <c r="U298" s="49"/>
      <c r="V298" s="49"/>
      <c r="W298" s="49"/>
      <c r="X298" s="49"/>
      <c r="Y298" s="49"/>
      <c r="Z298" s="49"/>
      <c r="AA298" s="73">
        <v>298</v>
      </c>
      <c r="AB298" s="73"/>
      <c r="AC298" s="74"/>
      <c r="AD298" s="80" t="s">
        <v>1632</v>
      </c>
      <c r="AE298" s="80" t="s">
        <v>2270</v>
      </c>
      <c r="AF298" s="80" t="s">
        <v>2852</v>
      </c>
      <c r="AG298" s="80" t="s">
        <v>3340</v>
      </c>
      <c r="AH298" s="80" t="s">
        <v>4048</v>
      </c>
      <c r="AI298" s="80">
        <v>639265</v>
      </c>
      <c r="AJ298" s="80">
        <v>2429</v>
      </c>
      <c r="AK298" s="80">
        <v>4549</v>
      </c>
      <c r="AL298" s="80">
        <v>640</v>
      </c>
      <c r="AM298" s="80" t="s">
        <v>4098</v>
      </c>
      <c r="AN298" s="96" t="str">
        <f>HYPERLINK("https://www.youtube.com/watch?v=J4J3_8JFKYU")</f>
        <v>https://www.youtube.com/watch?v=J4J3_8JFKYU</v>
      </c>
      <c r="AO298" s="80" t="e">
        <f>REPLACE(INDEX(GroupVertices[Group],MATCH(Vertices[[#This Row],[Vertex]],GroupVertices[Vertex],0)),1,1,"")</f>
        <v>#N/A</v>
      </c>
      <c r="AP298" s="48"/>
      <c r="AQ298" s="49"/>
      <c r="AR298" s="48"/>
      <c r="AS298" s="49"/>
      <c r="AT298" s="48"/>
      <c r="AU298" s="49"/>
      <c r="AV298" s="48"/>
      <c r="AW298" s="49"/>
      <c r="AX298" s="48"/>
      <c r="AY298" s="48"/>
      <c r="AZ298" s="48"/>
      <c r="BA298" s="48"/>
      <c r="BB298" s="48"/>
      <c r="BC298" s="2"/>
      <c r="BD298" s="3"/>
      <c r="BE298" s="3"/>
      <c r="BF298" s="3"/>
      <c r="BG298" s="3"/>
    </row>
    <row r="299" spans="1:59" ht="15">
      <c r="A299" s="66" t="s">
        <v>409</v>
      </c>
      <c r="B299" s="67" t="s">
        <v>4461</v>
      </c>
      <c r="C299" s="67"/>
      <c r="D299" s="68">
        <v>989.6067770276686</v>
      </c>
      <c r="E299" s="70"/>
      <c r="F299" s="97" t="str">
        <f>HYPERLINK("https://i.ytimg.com/vi/08e-YZx0tlQ/default.jpg")</f>
        <v>https://i.ytimg.com/vi/08e-YZx0tlQ/default.jpg</v>
      </c>
      <c r="G299" s="120" t="s">
        <v>52</v>
      </c>
      <c r="H299" s="71" t="s">
        <v>1117</v>
      </c>
      <c r="I299" s="72"/>
      <c r="J299" s="72" t="s">
        <v>159</v>
      </c>
      <c r="K299" s="71" t="s">
        <v>1117</v>
      </c>
      <c r="L299" s="75">
        <v>213.72340425531914</v>
      </c>
      <c r="M299" s="76">
        <v>9376.4990234375</v>
      </c>
      <c r="N299" s="76">
        <v>3668.838134765625</v>
      </c>
      <c r="O299" s="77"/>
      <c r="P299" s="78"/>
      <c r="Q299" s="78"/>
      <c r="R299" s="82"/>
      <c r="S299" s="48"/>
      <c r="T299" s="48"/>
      <c r="U299" s="49"/>
      <c r="V299" s="49"/>
      <c r="W299" s="49"/>
      <c r="X299" s="49"/>
      <c r="Y299" s="49"/>
      <c r="Z299" s="49"/>
      <c r="AA299" s="73">
        <v>299</v>
      </c>
      <c r="AB299" s="73"/>
      <c r="AC299" s="74"/>
      <c r="AD299" s="80" t="s">
        <v>1117</v>
      </c>
      <c r="AE299" s="80" t="s">
        <v>1814</v>
      </c>
      <c r="AF299" s="80" t="s">
        <v>2435</v>
      </c>
      <c r="AG299" s="80" t="s">
        <v>3001</v>
      </c>
      <c r="AH299" s="80" t="s">
        <v>3530</v>
      </c>
      <c r="AI299" s="80">
        <v>829961</v>
      </c>
      <c r="AJ299" s="80">
        <v>138</v>
      </c>
      <c r="AK299" s="80">
        <v>6107</v>
      </c>
      <c r="AL299" s="80">
        <v>623</v>
      </c>
      <c r="AM299" s="80" t="s">
        <v>4098</v>
      </c>
      <c r="AN299" s="96" t="str">
        <f>HYPERLINK("https://www.youtube.com/watch?v=08e-YZx0tlQ")</f>
        <v>https://www.youtube.com/watch?v=08e-YZx0tlQ</v>
      </c>
      <c r="AO299" s="80" t="e">
        <f>REPLACE(INDEX(GroupVertices[Group],MATCH(Vertices[[#This Row],[Vertex]],GroupVertices[Vertex],0)),1,1,"")</f>
        <v>#N/A</v>
      </c>
      <c r="AP299" s="48"/>
      <c r="AQ299" s="49"/>
      <c r="AR299" s="48"/>
      <c r="AS299" s="49"/>
      <c r="AT299" s="48"/>
      <c r="AU299" s="49"/>
      <c r="AV299" s="48"/>
      <c r="AW299" s="49"/>
      <c r="AX299" s="48"/>
      <c r="AY299" s="48"/>
      <c r="AZ299" s="48"/>
      <c r="BA299" s="48"/>
      <c r="BB299" s="48"/>
      <c r="BC299" s="2"/>
      <c r="BD299" s="3"/>
      <c r="BE299" s="3"/>
      <c r="BF299" s="3"/>
      <c r="BG299" s="3"/>
    </row>
    <row r="300" spans="1:59" ht="15">
      <c r="A300" s="66" t="s">
        <v>904</v>
      </c>
      <c r="B300" s="67" t="s">
        <v>4461</v>
      </c>
      <c r="C300" s="67"/>
      <c r="D300" s="68">
        <v>1000</v>
      </c>
      <c r="E300" s="70"/>
      <c r="F300" s="97" t="str">
        <f>HYPERLINK("https://i.ytimg.com/vi/HEEnLZV2wGI/default.jpg")</f>
        <v>https://i.ytimg.com/vi/HEEnLZV2wGI/default.jpg</v>
      </c>
      <c r="G300" s="120" t="s">
        <v>52</v>
      </c>
      <c r="H300" s="71" t="s">
        <v>1642</v>
      </c>
      <c r="I300" s="72"/>
      <c r="J300" s="72" t="s">
        <v>159</v>
      </c>
      <c r="K300" s="71" t="s">
        <v>1642</v>
      </c>
      <c r="L300" s="75">
        <v>213.72340425531914</v>
      </c>
      <c r="M300" s="76">
        <v>8625.375</v>
      </c>
      <c r="N300" s="76">
        <v>1670.9656982421875</v>
      </c>
      <c r="O300" s="77"/>
      <c r="P300" s="78"/>
      <c r="Q300" s="78"/>
      <c r="R300" s="82"/>
      <c r="S300" s="48"/>
      <c r="T300" s="48"/>
      <c r="U300" s="49"/>
      <c r="V300" s="49"/>
      <c r="W300" s="49"/>
      <c r="X300" s="49"/>
      <c r="Y300" s="49"/>
      <c r="Z300" s="49"/>
      <c r="AA300" s="73">
        <v>300</v>
      </c>
      <c r="AB300" s="73"/>
      <c r="AC300" s="74"/>
      <c r="AD300" s="80" t="s">
        <v>1642</v>
      </c>
      <c r="AE300" s="80" t="s">
        <v>2279</v>
      </c>
      <c r="AF300" s="80" t="s">
        <v>2861</v>
      </c>
      <c r="AG300" s="80" t="s">
        <v>3349</v>
      </c>
      <c r="AH300" s="80" t="s">
        <v>4058</v>
      </c>
      <c r="AI300" s="80">
        <v>1469229</v>
      </c>
      <c r="AJ300" s="80">
        <v>1713</v>
      </c>
      <c r="AK300" s="80">
        <v>21319</v>
      </c>
      <c r="AL300" s="80">
        <v>536</v>
      </c>
      <c r="AM300" s="80" t="s">
        <v>4098</v>
      </c>
      <c r="AN300" s="96" t="str">
        <f>HYPERLINK("https://www.youtube.com/watch?v=HEEnLZV2wGI")</f>
        <v>https://www.youtube.com/watch?v=HEEnLZV2wGI</v>
      </c>
      <c r="AO300" s="80" t="e">
        <f>REPLACE(INDEX(GroupVertices[Group],MATCH(Vertices[[#This Row],[Vertex]],GroupVertices[Vertex],0)),1,1,"")</f>
        <v>#N/A</v>
      </c>
      <c r="AP300" s="48"/>
      <c r="AQ300" s="49"/>
      <c r="AR300" s="48"/>
      <c r="AS300" s="49"/>
      <c r="AT300" s="48"/>
      <c r="AU300" s="49"/>
      <c r="AV300" s="48"/>
      <c r="AW300" s="49"/>
      <c r="AX300" s="48"/>
      <c r="AY300" s="48"/>
      <c r="AZ300" s="48"/>
      <c r="BA300" s="48"/>
      <c r="BB300" s="48"/>
      <c r="BC300" s="2"/>
      <c r="BD300" s="3"/>
      <c r="BE300" s="3"/>
      <c r="BF300" s="3"/>
      <c r="BG300" s="3"/>
    </row>
    <row r="301" spans="1:59" ht="15">
      <c r="A301" s="66" t="s">
        <v>495</v>
      </c>
      <c r="B301" s="67" t="s">
        <v>4461</v>
      </c>
      <c r="C301" s="67"/>
      <c r="D301" s="68">
        <v>985.9647420341804</v>
      </c>
      <c r="E301" s="70"/>
      <c r="F301" s="97" t="str">
        <f>HYPERLINK("https://i.ytimg.com/vi/_V8eKsto3Ug/default.jpg")</f>
        <v>https://i.ytimg.com/vi/_V8eKsto3Ug/default.jpg</v>
      </c>
      <c r="G301" s="120" t="s">
        <v>52</v>
      </c>
      <c r="H301" s="71" t="s">
        <v>1211</v>
      </c>
      <c r="I301" s="72"/>
      <c r="J301" s="72" t="s">
        <v>159</v>
      </c>
      <c r="K301" s="71" t="s">
        <v>1211</v>
      </c>
      <c r="L301" s="75">
        <v>213.72340425531914</v>
      </c>
      <c r="M301" s="76">
        <v>6676.611328125</v>
      </c>
      <c r="N301" s="76">
        <v>144.4942169189453</v>
      </c>
      <c r="O301" s="77"/>
      <c r="P301" s="78"/>
      <c r="Q301" s="78"/>
      <c r="R301" s="82"/>
      <c r="S301" s="48"/>
      <c r="T301" s="48"/>
      <c r="U301" s="49"/>
      <c r="V301" s="49"/>
      <c r="W301" s="49"/>
      <c r="X301" s="49"/>
      <c r="Y301" s="49"/>
      <c r="Z301" s="49"/>
      <c r="AA301" s="73">
        <v>301</v>
      </c>
      <c r="AB301" s="73"/>
      <c r="AC301" s="74"/>
      <c r="AD301" s="80" t="s">
        <v>1211</v>
      </c>
      <c r="AE301" s="80" t="s">
        <v>1895</v>
      </c>
      <c r="AF301" s="80" t="s">
        <v>2509</v>
      </c>
      <c r="AG301" s="80" t="s">
        <v>2981</v>
      </c>
      <c r="AH301" s="80" t="s">
        <v>3623</v>
      </c>
      <c r="AI301" s="80">
        <v>796599</v>
      </c>
      <c r="AJ301" s="80">
        <v>505</v>
      </c>
      <c r="AK301" s="80">
        <v>13105</v>
      </c>
      <c r="AL301" s="80">
        <v>535</v>
      </c>
      <c r="AM301" s="80" t="s">
        <v>4098</v>
      </c>
      <c r="AN301" s="96" t="str">
        <f>HYPERLINK("https://www.youtube.com/watch?v=_V8eKsto3Ug")</f>
        <v>https://www.youtube.com/watch?v=_V8eKsto3Ug</v>
      </c>
      <c r="AO301" s="80" t="e">
        <f>REPLACE(INDEX(GroupVertices[Group],MATCH(Vertices[[#This Row],[Vertex]],GroupVertices[Vertex],0)),1,1,"")</f>
        <v>#N/A</v>
      </c>
      <c r="AP301" s="48"/>
      <c r="AQ301" s="49"/>
      <c r="AR301" s="48"/>
      <c r="AS301" s="49"/>
      <c r="AT301" s="48"/>
      <c r="AU301" s="49"/>
      <c r="AV301" s="48"/>
      <c r="AW301" s="49"/>
      <c r="AX301" s="48"/>
      <c r="AY301" s="48"/>
      <c r="AZ301" s="48"/>
      <c r="BA301" s="48"/>
      <c r="BB301" s="48"/>
      <c r="BC301" s="2"/>
      <c r="BD301" s="3"/>
      <c r="BE301" s="3"/>
      <c r="BF301" s="3"/>
      <c r="BG301" s="3"/>
    </row>
    <row r="302" spans="1:59" ht="15">
      <c r="A302" s="66" t="s">
        <v>340</v>
      </c>
      <c r="B302" s="67" t="s">
        <v>4461</v>
      </c>
      <c r="C302" s="67"/>
      <c r="D302" s="68">
        <v>1000</v>
      </c>
      <c r="E302" s="70"/>
      <c r="F302" s="97" t="str">
        <f>HYPERLINK("https://i.ytimg.com/vi/M0lEQF1r45E/default.jpg")</f>
        <v>https://i.ytimg.com/vi/M0lEQF1r45E/default.jpg</v>
      </c>
      <c r="G302" s="120" t="s">
        <v>52</v>
      </c>
      <c r="H302" s="71" t="s">
        <v>1043</v>
      </c>
      <c r="I302" s="72"/>
      <c r="J302" s="72" t="s">
        <v>159</v>
      </c>
      <c r="K302" s="71" t="s">
        <v>1043</v>
      </c>
      <c r="L302" s="75">
        <v>213.72340425531914</v>
      </c>
      <c r="M302" s="76">
        <v>7525.78662109375</v>
      </c>
      <c r="N302" s="76">
        <v>1375.6424560546875</v>
      </c>
      <c r="O302" s="77"/>
      <c r="P302" s="78"/>
      <c r="Q302" s="78"/>
      <c r="R302" s="82"/>
      <c r="S302" s="48"/>
      <c r="T302" s="48"/>
      <c r="U302" s="49"/>
      <c r="V302" s="49"/>
      <c r="W302" s="49"/>
      <c r="X302" s="49"/>
      <c r="Y302" s="49"/>
      <c r="Z302" s="49"/>
      <c r="AA302" s="73">
        <v>302</v>
      </c>
      <c r="AB302" s="73"/>
      <c r="AC302" s="74"/>
      <c r="AD302" s="80" t="s">
        <v>1043</v>
      </c>
      <c r="AE302" s="80" t="s">
        <v>1755</v>
      </c>
      <c r="AF302" s="80" t="s">
        <v>2384</v>
      </c>
      <c r="AG302" s="80" t="s">
        <v>2970</v>
      </c>
      <c r="AH302" s="80" t="s">
        <v>3458</v>
      </c>
      <c r="AI302" s="80">
        <v>1363017</v>
      </c>
      <c r="AJ302" s="80">
        <v>311</v>
      </c>
      <c r="AK302" s="80">
        <v>6319</v>
      </c>
      <c r="AL302" s="80">
        <v>506</v>
      </c>
      <c r="AM302" s="80" t="s">
        <v>4098</v>
      </c>
      <c r="AN302" s="96" t="str">
        <f>HYPERLINK("https://www.youtube.com/watch?v=M0lEQF1r45E")</f>
        <v>https://www.youtube.com/watch?v=M0lEQF1r45E</v>
      </c>
      <c r="AO302" s="80" t="e">
        <f>REPLACE(INDEX(GroupVertices[Group],MATCH(Vertices[[#This Row],[Vertex]],GroupVertices[Vertex],0)),1,1,"")</f>
        <v>#N/A</v>
      </c>
      <c r="AP302" s="48"/>
      <c r="AQ302" s="49"/>
      <c r="AR302" s="48"/>
      <c r="AS302" s="49"/>
      <c r="AT302" s="48"/>
      <c r="AU302" s="49"/>
      <c r="AV302" s="48"/>
      <c r="AW302" s="49"/>
      <c r="AX302" s="48"/>
      <c r="AY302" s="48"/>
      <c r="AZ302" s="48"/>
      <c r="BA302" s="48"/>
      <c r="BB302" s="48"/>
      <c r="BC302" s="2"/>
      <c r="BD302" s="3"/>
      <c r="BE302" s="3"/>
      <c r="BF302" s="3"/>
      <c r="BG302" s="3"/>
    </row>
    <row r="303" spans="1:59" ht="15">
      <c r="A303" s="66" t="s">
        <v>331</v>
      </c>
      <c r="B303" s="67" t="s">
        <v>4461</v>
      </c>
      <c r="C303" s="67"/>
      <c r="D303" s="68">
        <v>1000</v>
      </c>
      <c r="E303" s="70"/>
      <c r="F303" s="97" t="str">
        <f>HYPERLINK("https://i.ytimg.com/vi/Q3I5hLCGH8M/default.jpg")</f>
        <v>https://i.ytimg.com/vi/Q3I5hLCGH8M/default.jpg</v>
      </c>
      <c r="G303" s="120" t="s">
        <v>52</v>
      </c>
      <c r="H303" s="71" t="s">
        <v>1033</v>
      </c>
      <c r="I303" s="72"/>
      <c r="J303" s="72" t="s">
        <v>159</v>
      </c>
      <c r="K303" s="71" t="s">
        <v>1033</v>
      </c>
      <c r="L303" s="75">
        <v>213.72340425531914</v>
      </c>
      <c r="M303" s="76">
        <v>7987.298828125</v>
      </c>
      <c r="N303" s="76">
        <v>5326.28125</v>
      </c>
      <c r="O303" s="77"/>
      <c r="P303" s="78"/>
      <c r="Q303" s="78"/>
      <c r="R303" s="82"/>
      <c r="S303" s="48"/>
      <c r="T303" s="48"/>
      <c r="U303" s="49"/>
      <c r="V303" s="49"/>
      <c r="W303" s="49"/>
      <c r="X303" s="49"/>
      <c r="Y303" s="49"/>
      <c r="Z303" s="49"/>
      <c r="AA303" s="73">
        <v>303</v>
      </c>
      <c r="AB303" s="73"/>
      <c r="AC303" s="74"/>
      <c r="AD303" s="80" t="s">
        <v>1033</v>
      </c>
      <c r="AE303" s="80" t="s">
        <v>1746</v>
      </c>
      <c r="AF303" s="80" t="s">
        <v>2376</v>
      </c>
      <c r="AG303" s="80" t="s">
        <v>2961</v>
      </c>
      <c r="AH303" s="80" t="s">
        <v>3448</v>
      </c>
      <c r="AI303" s="80">
        <v>6225117</v>
      </c>
      <c r="AJ303" s="80">
        <v>1038</v>
      </c>
      <c r="AK303" s="80">
        <v>36729</v>
      </c>
      <c r="AL303" s="80">
        <v>478</v>
      </c>
      <c r="AM303" s="80" t="s">
        <v>4098</v>
      </c>
      <c r="AN303" s="96" t="str">
        <f>HYPERLINK("https://www.youtube.com/watch?v=Q3I5hLCGH8M")</f>
        <v>https://www.youtube.com/watch?v=Q3I5hLCGH8M</v>
      </c>
      <c r="AO303" s="80" t="e">
        <f>REPLACE(INDEX(GroupVertices[Group],MATCH(Vertices[[#This Row],[Vertex]],GroupVertices[Vertex],0)),1,1,"")</f>
        <v>#N/A</v>
      </c>
      <c r="AP303" s="48"/>
      <c r="AQ303" s="49"/>
      <c r="AR303" s="48"/>
      <c r="AS303" s="49"/>
      <c r="AT303" s="48"/>
      <c r="AU303" s="49"/>
      <c r="AV303" s="48"/>
      <c r="AW303" s="49"/>
      <c r="AX303" s="48"/>
      <c r="AY303" s="48"/>
      <c r="AZ303" s="48"/>
      <c r="BA303" s="48"/>
      <c r="BB303" s="48"/>
      <c r="BC303" s="2"/>
      <c r="BD303" s="3"/>
      <c r="BE303" s="3"/>
      <c r="BF303" s="3"/>
      <c r="BG303" s="3"/>
    </row>
    <row r="304" spans="1:59" ht="15">
      <c r="A304" s="66" t="s">
        <v>517</v>
      </c>
      <c r="B304" s="67" t="s">
        <v>4461</v>
      </c>
      <c r="C304" s="67"/>
      <c r="D304" s="68">
        <v>978.3422564867398</v>
      </c>
      <c r="E304" s="70"/>
      <c r="F304" s="97" t="str">
        <f>HYPERLINK("https://i.ytimg.com/vi/S_lDDP4BUis/default.jpg")</f>
        <v>https://i.ytimg.com/vi/S_lDDP4BUis/default.jpg</v>
      </c>
      <c r="G304" s="120" t="s">
        <v>52</v>
      </c>
      <c r="H304" s="71" t="s">
        <v>1248</v>
      </c>
      <c r="I304" s="72"/>
      <c r="J304" s="72" t="s">
        <v>159</v>
      </c>
      <c r="K304" s="71" t="s">
        <v>1248</v>
      </c>
      <c r="L304" s="75">
        <v>213.72340425531914</v>
      </c>
      <c r="M304" s="76">
        <v>9892.1142578125</v>
      </c>
      <c r="N304" s="76">
        <v>8598.5166015625</v>
      </c>
      <c r="O304" s="77"/>
      <c r="P304" s="78"/>
      <c r="Q304" s="78"/>
      <c r="R304" s="82"/>
      <c r="S304" s="48"/>
      <c r="T304" s="48"/>
      <c r="U304" s="49"/>
      <c r="V304" s="49"/>
      <c r="W304" s="49"/>
      <c r="X304" s="49"/>
      <c r="Y304" s="49"/>
      <c r="Z304" s="49"/>
      <c r="AA304" s="73">
        <v>304</v>
      </c>
      <c r="AB304" s="73"/>
      <c r="AC304" s="74"/>
      <c r="AD304" s="80" t="s">
        <v>1248</v>
      </c>
      <c r="AE304" s="80" t="s">
        <v>1929</v>
      </c>
      <c r="AF304" s="80" t="s">
        <v>2536</v>
      </c>
      <c r="AG304" s="80" t="s">
        <v>3085</v>
      </c>
      <c r="AH304" s="80" t="s">
        <v>3660</v>
      </c>
      <c r="AI304" s="80">
        <v>731052</v>
      </c>
      <c r="AJ304" s="80">
        <v>2744</v>
      </c>
      <c r="AK304" s="80">
        <v>61651</v>
      </c>
      <c r="AL304" s="80">
        <v>477</v>
      </c>
      <c r="AM304" s="80" t="s">
        <v>4098</v>
      </c>
      <c r="AN304" s="96" t="str">
        <f>HYPERLINK("https://www.youtube.com/watch?v=S_lDDP4BUis")</f>
        <v>https://www.youtube.com/watch?v=S_lDDP4BUis</v>
      </c>
      <c r="AO304" s="80" t="e">
        <f>REPLACE(INDEX(GroupVertices[Group],MATCH(Vertices[[#This Row],[Vertex]],GroupVertices[Vertex],0)),1,1,"")</f>
        <v>#N/A</v>
      </c>
      <c r="AP304" s="48"/>
      <c r="AQ304" s="49"/>
      <c r="AR304" s="48"/>
      <c r="AS304" s="49"/>
      <c r="AT304" s="48"/>
      <c r="AU304" s="49"/>
      <c r="AV304" s="48"/>
      <c r="AW304" s="49"/>
      <c r="AX304" s="48"/>
      <c r="AY304" s="48"/>
      <c r="AZ304" s="48"/>
      <c r="BA304" s="48"/>
      <c r="BB304" s="48"/>
      <c r="BC304" s="2"/>
      <c r="BD304" s="3"/>
      <c r="BE304" s="3"/>
      <c r="BF304" s="3"/>
      <c r="BG304" s="3"/>
    </row>
    <row r="305" spans="1:59" ht="15">
      <c r="A305" s="66" t="s">
        <v>717</v>
      </c>
      <c r="B305" s="67" t="s">
        <v>4461</v>
      </c>
      <c r="C305" s="67"/>
      <c r="D305" s="68">
        <v>893.1558097648965</v>
      </c>
      <c r="E305" s="70"/>
      <c r="F305" s="97" t="str">
        <f>HYPERLINK("https://i.ytimg.com/vi/dpqSqtkYZzk/default.jpg")</f>
        <v>https://i.ytimg.com/vi/dpqSqtkYZzk/default.jpg</v>
      </c>
      <c r="G305" s="120" t="s">
        <v>52</v>
      </c>
      <c r="H305" s="71" t="s">
        <v>1458</v>
      </c>
      <c r="I305" s="72"/>
      <c r="J305" s="72" t="s">
        <v>159</v>
      </c>
      <c r="K305" s="71" t="s">
        <v>1458</v>
      </c>
      <c r="L305" s="75">
        <v>213.72340425531914</v>
      </c>
      <c r="M305" s="76">
        <v>7024.67236328125</v>
      </c>
      <c r="N305" s="76">
        <v>7077.47021484375</v>
      </c>
      <c r="O305" s="77"/>
      <c r="P305" s="78"/>
      <c r="Q305" s="78"/>
      <c r="R305" s="82"/>
      <c r="S305" s="48"/>
      <c r="T305" s="48"/>
      <c r="U305" s="49"/>
      <c r="V305" s="49"/>
      <c r="W305" s="49"/>
      <c r="X305" s="49"/>
      <c r="Y305" s="49"/>
      <c r="Z305" s="49"/>
      <c r="AA305" s="73">
        <v>305</v>
      </c>
      <c r="AB305" s="73"/>
      <c r="AC305" s="74"/>
      <c r="AD305" s="80" t="s">
        <v>1458</v>
      </c>
      <c r="AE305" s="80" t="s">
        <v>2116</v>
      </c>
      <c r="AF305" s="80" t="s">
        <v>2705</v>
      </c>
      <c r="AG305" s="80" t="s">
        <v>3236</v>
      </c>
      <c r="AH305" s="80" t="s">
        <v>3871</v>
      </c>
      <c r="AI305" s="80">
        <v>280021</v>
      </c>
      <c r="AJ305" s="80">
        <v>2361</v>
      </c>
      <c r="AK305" s="80">
        <v>28472</v>
      </c>
      <c r="AL305" s="80">
        <v>443</v>
      </c>
      <c r="AM305" s="80" t="s">
        <v>4098</v>
      </c>
      <c r="AN305" s="96" t="str">
        <f>HYPERLINK("https://www.youtube.com/watch?v=dpqSqtkYZzk")</f>
        <v>https://www.youtube.com/watch?v=dpqSqtkYZzk</v>
      </c>
      <c r="AO305" s="80" t="e">
        <f>REPLACE(INDEX(GroupVertices[Group],MATCH(Vertices[[#This Row],[Vertex]],GroupVertices[Vertex],0)),1,1,"")</f>
        <v>#N/A</v>
      </c>
      <c r="AP305" s="48"/>
      <c r="AQ305" s="49"/>
      <c r="AR305" s="48"/>
      <c r="AS305" s="49"/>
      <c r="AT305" s="48"/>
      <c r="AU305" s="49"/>
      <c r="AV305" s="48"/>
      <c r="AW305" s="49"/>
      <c r="AX305" s="48"/>
      <c r="AY305" s="48"/>
      <c r="AZ305" s="48"/>
      <c r="BA305" s="48"/>
      <c r="BB305" s="48"/>
      <c r="BC305" s="2"/>
      <c r="BD305" s="3"/>
      <c r="BE305" s="3"/>
      <c r="BF305" s="3"/>
      <c r="BG305" s="3"/>
    </row>
    <row r="306" spans="1:59" ht="15">
      <c r="A306" s="66" t="s">
        <v>346</v>
      </c>
      <c r="B306" s="67" t="s">
        <v>4461</v>
      </c>
      <c r="C306" s="67"/>
      <c r="D306" s="68">
        <v>1000</v>
      </c>
      <c r="E306" s="70"/>
      <c r="F306" s="97" t="str">
        <f>HYPERLINK("https://i.ytimg.com/vi/PU8ACyYxJBk/default.jpg")</f>
        <v>https://i.ytimg.com/vi/PU8ACyYxJBk/default.jpg</v>
      </c>
      <c r="G306" s="120" t="s">
        <v>52</v>
      </c>
      <c r="H306" s="71" t="s">
        <v>1049</v>
      </c>
      <c r="I306" s="72"/>
      <c r="J306" s="72" t="s">
        <v>159</v>
      </c>
      <c r="K306" s="71" t="s">
        <v>1049</v>
      </c>
      <c r="L306" s="75">
        <v>213.72340425531914</v>
      </c>
      <c r="M306" s="76">
        <v>7359.64208984375</v>
      </c>
      <c r="N306" s="76">
        <v>661.9588623046875</v>
      </c>
      <c r="O306" s="77"/>
      <c r="P306" s="78"/>
      <c r="Q306" s="78"/>
      <c r="R306" s="82"/>
      <c r="S306" s="48"/>
      <c r="T306" s="48"/>
      <c r="U306" s="49"/>
      <c r="V306" s="49"/>
      <c r="W306" s="49"/>
      <c r="X306" s="49"/>
      <c r="Y306" s="49"/>
      <c r="Z306" s="49"/>
      <c r="AA306" s="73">
        <v>306</v>
      </c>
      <c r="AB306" s="73"/>
      <c r="AC306" s="74"/>
      <c r="AD306" s="80" t="s">
        <v>1049</v>
      </c>
      <c r="AE306" s="80" t="s">
        <v>1761</v>
      </c>
      <c r="AF306" s="80" t="s">
        <v>2390</v>
      </c>
      <c r="AG306" s="80" t="s">
        <v>2974</v>
      </c>
      <c r="AH306" s="80" t="s">
        <v>3464</v>
      </c>
      <c r="AI306" s="80">
        <v>2131122</v>
      </c>
      <c r="AJ306" s="80">
        <v>879</v>
      </c>
      <c r="AK306" s="80">
        <v>27201</v>
      </c>
      <c r="AL306" s="80">
        <v>437</v>
      </c>
      <c r="AM306" s="80" t="s">
        <v>4098</v>
      </c>
      <c r="AN306" s="96" t="str">
        <f>HYPERLINK("https://www.youtube.com/watch?v=PU8ACyYxJBk")</f>
        <v>https://www.youtube.com/watch?v=PU8ACyYxJBk</v>
      </c>
      <c r="AO306" s="80" t="e">
        <f>REPLACE(INDEX(GroupVertices[Group],MATCH(Vertices[[#This Row],[Vertex]],GroupVertices[Vertex],0)),1,1,"")</f>
        <v>#N/A</v>
      </c>
      <c r="AP306" s="48"/>
      <c r="AQ306" s="49"/>
      <c r="AR306" s="48"/>
      <c r="AS306" s="49"/>
      <c r="AT306" s="48"/>
      <c r="AU306" s="49"/>
      <c r="AV306" s="48"/>
      <c r="AW306" s="49"/>
      <c r="AX306" s="48"/>
      <c r="AY306" s="48"/>
      <c r="AZ306" s="48"/>
      <c r="BA306" s="48"/>
      <c r="BB306" s="48"/>
      <c r="BC306" s="2"/>
      <c r="BD306" s="3"/>
      <c r="BE306" s="3"/>
      <c r="BF306" s="3"/>
      <c r="BG306" s="3"/>
    </row>
    <row r="307" spans="1:59" ht="15">
      <c r="A307" s="66" t="s">
        <v>817</v>
      </c>
      <c r="B307" s="67" t="s">
        <v>4461</v>
      </c>
      <c r="C307" s="67"/>
      <c r="D307" s="68">
        <v>1000</v>
      </c>
      <c r="E307" s="70"/>
      <c r="F307" s="97" t="str">
        <f>HYPERLINK("https://i.ytimg.com/vi/F264FpBDX28/default.jpg")</f>
        <v>https://i.ytimg.com/vi/F264FpBDX28/default.jpg</v>
      </c>
      <c r="G307" s="120" t="s">
        <v>52</v>
      </c>
      <c r="H307" s="71" t="s">
        <v>1556</v>
      </c>
      <c r="I307" s="72"/>
      <c r="J307" s="72" t="s">
        <v>159</v>
      </c>
      <c r="K307" s="71" t="s">
        <v>1556</v>
      </c>
      <c r="L307" s="75">
        <v>213.72340425531914</v>
      </c>
      <c r="M307" s="76">
        <v>1122.8463134765625</v>
      </c>
      <c r="N307" s="76">
        <v>568.2863159179688</v>
      </c>
      <c r="O307" s="77"/>
      <c r="P307" s="78"/>
      <c r="Q307" s="78"/>
      <c r="R307" s="82"/>
      <c r="S307" s="48"/>
      <c r="T307" s="48"/>
      <c r="U307" s="49"/>
      <c r="V307" s="49"/>
      <c r="W307" s="49"/>
      <c r="X307" s="49"/>
      <c r="Y307" s="49"/>
      <c r="Z307" s="49"/>
      <c r="AA307" s="73">
        <v>307</v>
      </c>
      <c r="AB307" s="73"/>
      <c r="AC307" s="74"/>
      <c r="AD307" s="80" t="s">
        <v>1556</v>
      </c>
      <c r="AE307" s="80" t="s">
        <v>2204</v>
      </c>
      <c r="AF307" s="80" t="s">
        <v>2789</v>
      </c>
      <c r="AG307" s="80" t="s">
        <v>3301</v>
      </c>
      <c r="AH307" s="80" t="s">
        <v>3971</v>
      </c>
      <c r="AI307" s="80">
        <v>1459882</v>
      </c>
      <c r="AJ307" s="80">
        <v>1278</v>
      </c>
      <c r="AK307" s="80">
        <v>15572</v>
      </c>
      <c r="AL307" s="80">
        <v>437</v>
      </c>
      <c r="AM307" s="80" t="s">
        <v>4098</v>
      </c>
      <c r="AN307" s="96" t="str">
        <f>HYPERLINK("https://www.youtube.com/watch?v=F264FpBDX28")</f>
        <v>https://www.youtube.com/watch?v=F264FpBDX28</v>
      </c>
      <c r="AO307" s="80" t="e">
        <f>REPLACE(INDEX(GroupVertices[Group],MATCH(Vertices[[#This Row],[Vertex]],GroupVertices[Vertex],0)),1,1,"")</f>
        <v>#N/A</v>
      </c>
      <c r="AP307" s="48"/>
      <c r="AQ307" s="49"/>
      <c r="AR307" s="48"/>
      <c r="AS307" s="49"/>
      <c r="AT307" s="48"/>
      <c r="AU307" s="49"/>
      <c r="AV307" s="48"/>
      <c r="AW307" s="49"/>
      <c r="AX307" s="48"/>
      <c r="AY307" s="48"/>
      <c r="AZ307" s="48"/>
      <c r="BA307" s="48"/>
      <c r="BB307" s="48"/>
      <c r="BC307" s="2"/>
      <c r="BD307" s="3"/>
      <c r="BE307" s="3"/>
      <c r="BF307" s="3"/>
      <c r="BG307" s="3"/>
    </row>
    <row r="308" spans="1:59" ht="15">
      <c r="A308" s="66" t="s">
        <v>335</v>
      </c>
      <c r="B308" s="67" t="s">
        <v>4461</v>
      </c>
      <c r="C308" s="67"/>
      <c r="D308" s="68">
        <v>911.1659709938857</v>
      </c>
      <c r="E308" s="70"/>
      <c r="F308" s="97" t="str">
        <f>HYPERLINK("https://i.ytimg.com/vi/-vaBQM3l9Q0/default.jpg")</f>
        <v>https://i.ytimg.com/vi/-vaBQM3l9Q0/default.jpg</v>
      </c>
      <c r="G308" s="120" t="s">
        <v>52</v>
      </c>
      <c r="H308" s="71" t="s">
        <v>1037</v>
      </c>
      <c r="I308" s="72"/>
      <c r="J308" s="72" t="s">
        <v>159</v>
      </c>
      <c r="K308" s="71" t="s">
        <v>1037</v>
      </c>
      <c r="L308" s="75">
        <v>213.72340425531914</v>
      </c>
      <c r="M308" s="76">
        <v>7868.654296875</v>
      </c>
      <c r="N308" s="76">
        <v>3979.74560546875</v>
      </c>
      <c r="O308" s="77"/>
      <c r="P308" s="78"/>
      <c r="Q308" s="78"/>
      <c r="R308" s="82"/>
      <c r="S308" s="48"/>
      <c r="T308" s="48"/>
      <c r="U308" s="49"/>
      <c r="V308" s="49"/>
      <c r="W308" s="49"/>
      <c r="X308" s="49"/>
      <c r="Y308" s="49"/>
      <c r="Z308" s="49"/>
      <c r="AA308" s="73">
        <v>308</v>
      </c>
      <c r="AB308" s="73"/>
      <c r="AC308" s="74"/>
      <c r="AD308" s="80" t="s">
        <v>1037</v>
      </c>
      <c r="AE308" s="80" t="s">
        <v>1749</v>
      </c>
      <c r="AF308" s="80"/>
      <c r="AG308" s="80" t="s">
        <v>2965</v>
      </c>
      <c r="AH308" s="80" t="s">
        <v>3452</v>
      </c>
      <c r="AI308" s="80">
        <v>343006</v>
      </c>
      <c r="AJ308" s="80">
        <v>2026</v>
      </c>
      <c r="AK308" s="80">
        <v>10165</v>
      </c>
      <c r="AL308" s="80">
        <v>406</v>
      </c>
      <c r="AM308" s="80" t="s">
        <v>4098</v>
      </c>
      <c r="AN308" s="96" t="str">
        <f>HYPERLINK("https://www.youtube.com/watch?v=-vaBQM3l9Q0")</f>
        <v>https://www.youtube.com/watch?v=-vaBQM3l9Q0</v>
      </c>
      <c r="AO308" s="80" t="e">
        <f>REPLACE(INDEX(GroupVertices[Group],MATCH(Vertices[[#This Row],[Vertex]],GroupVertices[Vertex],0)),1,1,"")</f>
        <v>#N/A</v>
      </c>
      <c r="AP308" s="48"/>
      <c r="AQ308" s="49"/>
      <c r="AR308" s="48"/>
      <c r="AS308" s="49"/>
      <c r="AT308" s="48"/>
      <c r="AU308" s="49"/>
      <c r="AV308" s="48"/>
      <c r="AW308" s="49"/>
      <c r="AX308" s="48"/>
      <c r="AY308" s="48"/>
      <c r="AZ308" s="48"/>
      <c r="BA308" s="48"/>
      <c r="BB308" s="48"/>
      <c r="BC308" s="2"/>
      <c r="BD308" s="3"/>
      <c r="BE308" s="3"/>
      <c r="BF308" s="3"/>
      <c r="BG308" s="3"/>
    </row>
    <row r="309" spans="1:59" ht="15">
      <c r="A309" s="66" t="s">
        <v>708</v>
      </c>
      <c r="B309" s="67" t="s">
        <v>4461</v>
      </c>
      <c r="C309" s="67"/>
      <c r="D309" s="68">
        <v>1000</v>
      </c>
      <c r="E309" s="70"/>
      <c r="F309" s="97" t="str">
        <f>HYPERLINK("https://i.ytimg.com/vi/eB5VXJXxnNU/default.jpg")</f>
        <v>https://i.ytimg.com/vi/eB5VXJXxnNU/default.jpg</v>
      </c>
      <c r="G309" s="120" t="s">
        <v>52</v>
      </c>
      <c r="H309" s="71" t="s">
        <v>1449</v>
      </c>
      <c r="I309" s="72"/>
      <c r="J309" s="72" t="s">
        <v>159</v>
      </c>
      <c r="K309" s="71" t="s">
        <v>1449</v>
      </c>
      <c r="L309" s="75">
        <v>213.72340425531914</v>
      </c>
      <c r="M309" s="76">
        <v>7128.08447265625</v>
      </c>
      <c r="N309" s="76">
        <v>7917.8564453125</v>
      </c>
      <c r="O309" s="77"/>
      <c r="P309" s="78"/>
      <c r="Q309" s="78"/>
      <c r="R309" s="82"/>
      <c r="S309" s="48"/>
      <c r="T309" s="48"/>
      <c r="U309" s="49"/>
      <c r="V309" s="49"/>
      <c r="W309" s="49"/>
      <c r="X309" s="49"/>
      <c r="Y309" s="49"/>
      <c r="Z309" s="49"/>
      <c r="AA309" s="73">
        <v>309</v>
      </c>
      <c r="AB309" s="73"/>
      <c r="AC309" s="74"/>
      <c r="AD309" s="80" t="s">
        <v>1449</v>
      </c>
      <c r="AE309" s="80" t="s">
        <v>2107</v>
      </c>
      <c r="AF309" s="80" t="s">
        <v>2697</v>
      </c>
      <c r="AG309" s="80" t="s">
        <v>3228</v>
      </c>
      <c r="AH309" s="80" t="s">
        <v>3862</v>
      </c>
      <c r="AI309" s="80">
        <v>2323563</v>
      </c>
      <c r="AJ309" s="80">
        <v>2566</v>
      </c>
      <c r="AK309" s="80">
        <v>10733</v>
      </c>
      <c r="AL309" s="80">
        <v>366</v>
      </c>
      <c r="AM309" s="80" t="s">
        <v>4098</v>
      </c>
      <c r="AN309" s="96" t="str">
        <f>HYPERLINK("https://www.youtube.com/watch?v=eB5VXJXxnNU")</f>
        <v>https://www.youtube.com/watch?v=eB5VXJXxnNU</v>
      </c>
      <c r="AO309" s="80" t="e">
        <f>REPLACE(INDEX(GroupVertices[Group],MATCH(Vertices[[#This Row],[Vertex]],GroupVertices[Vertex],0)),1,1,"")</f>
        <v>#N/A</v>
      </c>
      <c r="AP309" s="48"/>
      <c r="AQ309" s="49"/>
      <c r="AR309" s="48"/>
      <c r="AS309" s="49"/>
      <c r="AT309" s="48"/>
      <c r="AU309" s="49"/>
      <c r="AV309" s="48"/>
      <c r="AW309" s="49"/>
      <c r="AX309" s="48"/>
      <c r="AY309" s="48"/>
      <c r="AZ309" s="48"/>
      <c r="BA309" s="48"/>
      <c r="BB309" s="48"/>
      <c r="BC309" s="2"/>
      <c r="BD309" s="3"/>
      <c r="BE309" s="3"/>
      <c r="BF309" s="3"/>
      <c r="BG309" s="3"/>
    </row>
    <row r="310" spans="1:59" ht="15">
      <c r="A310" s="66" t="s">
        <v>532</v>
      </c>
      <c r="B310" s="67" t="s">
        <v>4461</v>
      </c>
      <c r="C310" s="67"/>
      <c r="D310" s="68">
        <v>940.3208626598711</v>
      </c>
      <c r="E310" s="70"/>
      <c r="F310" s="97" t="str">
        <f>HYPERLINK("https://i.ytimg.com/vi/iJuCDwlHA0w/default.jpg")</f>
        <v>https://i.ytimg.com/vi/iJuCDwlHA0w/default.jpg</v>
      </c>
      <c r="G310" s="120" t="s">
        <v>52</v>
      </c>
      <c r="H310" s="71" t="s">
        <v>1264</v>
      </c>
      <c r="I310" s="72"/>
      <c r="J310" s="72" t="s">
        <v>159</v>
      </c>
      <c r="K310" s="71" t="s">
        <v>1264</v>
      </c>
      <c r="L310" s="75">
        <v>213.72340425531914</v>
      </c>
      <c r="M310" s="76">
        <v>4281.89599609375</v>
      </c>
      <c r="N310" s="76">
        <v>6586.76513671875</v>
      </c>
      <c r="O310" s="77"/>
      <c r="P310" s="78"/>
      <c r="Q310" s="78"/>
      <c r="R310" s="82"/>
      <c r="S310" s="48"/>
      <c r="T310" s="48"/>
      <c r="U310" s="49"/>
      <c r="V310" s="49"/>
      <c r="W310" s="49"/>
      <c r="X310" s="49"/>
      <c r="Y310" s="49"/>
      <c r="Z310" s="49"/>
      <c r="AA310" s="73">
        <v>310</v>
      </c>
      <c r="AB310" s="73"/>
      <c r="AC310" s="74"/>
      <c r="AD310" s="80" t="s">
        <v>1264</v>
      </c>
      <c r="AE310" s="80" t="s">
        <v>1940</v>
      </c>
      <c r="AF310" s="80" t="s">
        <v>2549</v>
      </c>
      <c r="AG310" s="80" t="s">
        <v>3099</v>
      </c>
      <c r="AH310" s="80" t="s">
        <v>3676</v>
      </c>
      <c r="AI310" s="80">
        <v>476361</v>
      </c>
      <c r="AJ310" s="80">
        <v>1306</v>
      </c>
      <c r="AK310" s="80">
        <v>21130</v>
      </c>
      <c r="AL310" s="80">
        <v>312</v>
      </c>
      <c r="AM310" s="80" t="s">
        <v>4098</v>
      </c>
      <c r="AN310" s="96" t="str">
        <f>HYPERLINK("https://www.youtube.com/watch?v=iJuCDwlHA0w")</f>
        <v>https://www.youtube.com/watch?v=iJuCDwlHA0w</v>
      </c>
      <c r="AO310" s="80" t="e">
        <f>REPLACE(INDEX(GroupVertices[Group],MATCH(Vertices[[#This Row],[Vertex]],GroupVertices[Vertex],0)),1,1,"")</f>
        <v>#N/A</v>
      </c>
      <c r="AP310" s="48"/>
      <c r="AQ310" s="49"/>
      <c r="AR310" s="48"/>
      <c r="AS310" s="49"/>
      <c r="AT310" s="48"/>
      <c r="AU310" s="49"/>
      <c r="AV310" s="48"/>
      <c r="AW310" s="49"/>
      <c r="AX310" s="48"/>
      <c r="AY310" s="48"/>
      <c r="AZ310" s="48"/>
      <c r="BA310" s="48"/>
      <c r="BB310" s="48"/>
      <c r="BC310" s="2"/>
      <c r="BD310" s="3"/>
      <c r="BE310" s="3"/>
      <c r="BF310" s="3"/>
      <c r="BG310" s="3"/>
    </row>
    <row r="311" spans="1:59" ht="15">
      <c r="A311" s="66" t="s">
        <v>491</v>
      </c>
      <c r="B311" s="67" t="s">
        <v>4461</v>
      </c>
      <c r="C311" s="67"/>
      <c r="D311" s="68">
        <v>979.6675491075583</v>
      </c>
      <c r="E311" s="70"/>
      <c r="F311" s="97" t="str">
        <f>HYPERLINK("https://i.ytimg.com/vi/fDRa82lxzaU/default.jpg")</f>
        <v>https://i.ytimg.com/vi/fDRa82lxzaU/default.jpg</v>
      </c>
      <c r="G311" s="120" t="s">
        <v>52</v>
      </c>
      <c r="H311" s="71" t="s">
        <v>1207</v>
      </c>
      <c r="I311" s="72"/>
      <c r="J311" s="72" t="s">
        <v>159</v>
      </c>
      <c r="K311" s="71" t="s">
        <v>1207</v>
      </c>
      <c r="L311" s="75">
        <v>213.72340425531914</v>
      </c>
      <c r="M311" s="76">
        <v>6757.046875</v>
      </c>
      <c r="N311" s="76">
        <v>2796.250244140625</v>
      </c>
      <c r="O311" s="77"/>
      <c r="P311" s="78"/>
      <c r="Q311" s="78"/>
      <c r="R311" s="82"/>
      <c r="S311" s="48"/>
      <c r="T311" s="48"/>
      <c r="U311" s="49"/>
      <c r="V311" s="49"/>
      <c r="W311" s="49"/>
      <c r="X311" s="49"/>
      <c r="Y311" s="49"/>
      <c r="Z311" s="49"/>
      <c r="AA311" s="73">
        <v>311</v>
      </c>
      <c r="AB311" s="73"/>
      <c r="AC311" s="74"/>
      <c r="AD311" s="80" t="s">
        <v>1207</v>
      </c>
      <c r="AE311" s="80" t="s">
        <v>1891</v>
      </c>
      <c r="AF311" s="80" t="s">
        <v>2505</v>
      </c>
      <c r="AG311" s="80" t="s">
        <v>3061</v>
      </c>
      <c r="AH311" s="80" t="s">
        <v>3619</v>
      </c>
      <c r="AI311" s="80">
        <v>742048</v>
      </c>
      <c r="AJ311" s="80">
        <v>214</v>
      </c>
      <c r="AK311" s="80">
        <v>7369</v>
      </c>
      <c r="AL311" s="80">
        <v>290</v>
      </c>
      <c r="AM311" s="80" t="s">
        <v>4098</v>
      </c>
      <c r="AN311" s="96" t="str">
        <f>HYPERLINK("https://www.youtube.com/watch?v=fDRa82lxzaU")</f>
        <v>https://www.youtube.com/watch?v=fDRa82lxzaU</v>
      </c>
      <c r="AO311" s="80" t="e">
        <f>REPLACE(INDEX(GroupVertices[Group],MATCH(Vertices[[#This Row],[Vertex]],GroupVertices[Vertex],0)),1,1,"")</f>
        <v>#N/A</v>
      </c>
      <c r="AP311" s="48"/>
      <c r="AQ311" s="49"/>
      <c r="AR311" s="48"/>
      <c r="AS311" s="49"/>
      <c r="AT311" s="48"/>
      <c r="AU311" s="49"/>
      <c r="AV311" s="48"/>
      <c r="AW311" s="49"/>
      <c r="AX311" s="48"/>
      <c r="AY311" s="48"/>
      <c r="AZ311" s="48"/>
      <c r="BA311" s="48"/>
      <c r="BB311" s="48"/>
      <c r="BC311" s="2"/>
      <c r="BD311" s="3"/>
      <c r="BE311" s="3"/>
      <c r="BF311" s="3"/>
      <c r="BG311" s="3"/>
    </row>
    <row r="312" spans="1:59" ht="15">
      <c r="A312" s="66" t="s">
        <v>793</v>
      </c>
      <c r="B312" s="67" t="s">
        <v>4461</v>
      </c>
      <c r="C312" s="67"/>
      <c r="D312" s="68">
        <v>1000</v>
      </c>
      <c r="E312" s="70"/>
      <c r="F312" s="97" t="str">
        <f>HYPERLINK("https://i.ytimg.com/vi/7sWk8tq8dZs/default.jpg")</f>
        <v>https://i.ytimg.com/vi/7sWk8tq8dZs/default.jpg</v>
      </c>
      <c r="G312" s="120" t="s">
        <v>52</v>
      </c>
      <c r="H312" s="71" t="s">
        <v>1533</v>
      </c>
      <c r="I312" s="72"/>
      <c r="J312" s="72" t="s">
        <v>159</v>
      </c>
      <c r="K312" s="71" t="s">
        <v>1533</v>
      </c>
      <c r="L312" s="75">
        <v>213.72340425531914</v>
      </c>
      <c r="M312" s="76">
        <v>5989.705078125</v>
      </c>
      <c r="N312" s="76">
        <v>7762.783203125</v>
      </c>
      <c r="O312" s="77"/>
      <c r="P312" s="78"/>
      <c r="Q312" s="78"/>
      <c r="R312" s="82"/>
      <c r="S312" s="48"/>
      <c r="T312" s="48"/>
      <c r="U312" s="49"/>
      <c r="V312" s="49"/>
      <c r="W312" s="49"/>
      <c r="X312" s="49"/>
      <c r="Y312" s="49"/>
      <c r="Z312" s="49"/>
      <c r="AA312" s="73">
        <v>312</v>
      </c>
      <c r="AB312" s="73"/>
      <c r="AC312" s="74"/>
      <c r="AD312" s="80" t="s">
        <v>1533</v>
      </c>
      <c r="AE312" s="80" t="s">
        <v>2182</v>
      </c>
      <c r="AF312" s="80" t="s">
        <v>2768</v>
      </c>
      <c r="AG312" s="80" t="s">
        <v>3285</v>
      </c>
      <c r="AH312" s="80" t="s">
        <v>3947</v>
      </c>
      <c r="AI312" s="80">
        <v>1793219</v>
      </c>
      <c r="AJ312" s="80">
        <v>413</v>
      </c>
      <c r="AK312" s="80">
        <v>4616</v>
      </c>
      <c r="AL312" s="80">
        <v>272</v>
      </c>
      <c r="AM312" s="80" t="s">
        <v>4098</v>
      </c>
      <c r="AN312" s="96" t="str">
        <f>HYPERLINK("https://www.youtube.com/watch?v=7sWk8tq8dZs")</f>
        <v>https://www.youtube.com/watch?v=7sWk8tq8dZs</v>
      </c>
      <c r="AO312" s="80" t="e">
        <f>REPLACE(INDEX(GroupVertices[Group],MATCH(Vertices[[#This Row],[Vertex]],GroupVertices[Vertex],0)),1,1,"")</f>
        <v>#N/A</v>
      </c>
      <c r="AP312" s="48"/>
      <c r="AQ312" s="49"/>
      <c r="AR312" s="48"/>
      <c r="AS312" s="49"/>
      <c r="AT312" s="48"/>
      <c r="AU312" s="49"/>
      <c r="AV312" s="48"/>
      <c r="AW312" s="49"/>
      <c r="AX312" s="48"/>
      <c r="AY312" s="48"/>
      <c r="AZ312" s="48"/>
      <c r="BA312" s="48"/>
      <c r="BB312" s="48"/>
      <c r="BC312" s="2"/>
      <c r="BD312" s="3"/>
      <c r="BE312" s="3"/>
      <c r="BF312" s="3"/>
      <c r="BG312" s="3"/>
    </row>
    <row r="313" spans="1:59" ht="15">
      <c r="A313" s="66" t="s">
        <v>262</v>
      </c>
      <c r="B313" s="67" t="s">
        <v>4461</v>
      </c>
      <c r="C313" s="67"/>
      <c r="D313" s="68">
        <v>887.9796052327323</v>
      </c>
      <c r="E313" s="70"/>
      <c r="F313" s="97" t="str">
        <f>HYPERLINK("https://i.ytimg.com/vi/lCQPLQW3DB8/default.jpg")</f>
        <v>https://i.ytimg.com/vi/lCQPLQW3DB8/default.jpg</v>
      </c>
      <c r="G313" s="120" t="s">
        <v>52</v>
      </c>
      <c r="H313" s="71" t="s">
        <v>957</v>
      </c>
      <c r="I313" s="72"/>
      <c r="J313" s="72" t="s">
        <v>159</v>
      </c>
      <c r="K313" s="71" t="s">
        <v>957</v>
      </c>
      <c r="L313" s="75">
        <v>213.72340425531914</v>
      </c>
      <c r="M313" s="76">
        <v>6125.45361328125</v>
      </c>
      <c r="N313" s="76">
        <v>9301.185546875</v>
      </c>
      <c r="O313" s="77"/>
      <c r="P313" s="78"/>
      <c r="Q313" s="78"/>
      <c r="R313" s="82"/>
      <c r="S313" s="48"/>
      <c r="T313" s="48"/>
      <c r="U313" s="49"/>
      <c r="V313" s="49"/>
      <c r="W313" s="49"/>
      <c r="X313" s="49"/>
      <c r="Y313" s="49"/>
      <c r="Z313" s="49"/>
      <c r="AA313" s="73">
        <v>313</v>
      </c>
      <c r="AB313" s="73"/>
      <c r="AC313" s="74"/>
      <c r="AD313" s="80" t="s">
        <v>957</v>
      </c>
      <c r="AE313" s="80" t="s">
        <v>1682</v>
      </c>
      <c r="AF313" s="80" t="s">
        <v>2316</v>
      </c>
      <c r="AG313" s="80" t="s">
        <v>2895</v>
      </c>
      <c r="AH313" s="80" t="s">
        <v>3372</v>
      </c>
      <c r="AI313" s="80">
        <v>264160</v>
      </c>
      <c r="AJ313" s="80">
        <v>64</v>
      </c>
      <c r="AK313" s="80">
        <v>1820</v>
      </c>
      <c r="AL313" s="80">
        <v>258</v>
      </c>
      <c r="AM313" s="80" t="s">
        <v>4098</v>
      </c>
      <c r="AN313" s="96" t="str">
        <f>HYPERLINK("https://www.youtube.com/watch?v=lCQPLQW3DB8")</f>
        <v>https://www.youtube.com/watch?v=lCQPLQW3DB8</v>
      </c>
      <c r="AO313" s="80" t="e">
        <f>REPLACE(INDEX(GroupVertices[Group],MATCH(Vertices[[#This Row],[Vertex]],GroupVertices[Vertex],0)),1,1,"")</f>
        <v>#N/A</v>
      </c>
      <c r="AP313" s="48"/>
      <c r="AQ313" s="49"/>
      <c r="AR313" s="48"/>
      <c r="AS313" s="49"/>
      <c r="AT313" s="48"/>
      <c r="AU313" s="49"/>
      <c r="AV313" s="48"/>
      <c r="AW313" s="49"/>
      <c r="AX313" s="48"/>
      <c r="AY313" s="48"/>
      <c r="AZ313" s="48"/>
      <c r="BA313" s="48"/>
      <c r="BB313" s="48"/>
      <c r="BC313" s="2"/>
      <c r="BD313" s="3"/>
      <c r="BE313" s="3"/>
      <c r="BF313" s="3"/>
      <c r="BG313" s="3"/>
    </row>
    <row r="314" spans="1:59" ht="15">
      <c r="A314" s="66" t="s">
        <v>488</v>
      </c>
      <c r="B314" s="67" t="s">
        <v>4461</v>
      </c>
      <c r="C314" s="67"/>
      <c r="D314" s="68">
        <v>766.2350730478539</v>
      </c>
      <c r="E314" s="70"/>
      <c r="F314" s="97" t="str">
        <f>HYPERLINK("https://i.ytimg.com/vi/ZH0YyCp3AhI/default.jpg")</f>
        <v>https://i.ytimg.com/vi/ZH0YyCp3AhI/default.jpg</v>
      </c>
      <c r="G314" s="120" t="s">
        <v>52</v>
      </c>
      <c r="H314" s="71" t="s">
        <v>1204</v>
      </c>
      <c r="I314" s="72"/>
      <c r="J314" s="72" t="s">
        <v>159</v>
      </c>
      <c r="K314" s="71" t="s">
        <v>1204</v>
      </c>
      <c r="L314" s="75">
        <v>213.72340425531914</v>
      </c>
      <c r="M314" s="76">
        <v>6603.4169921875</v>
      </c>
      <c r="N314" s="76">
        <v>667.9532470703125</v>
      </c>
      <c r="O314" s="77"/>
      <c r="P314" s="78"/>
      <c r="Q314" s="78"/>
      <c r="R314" s="82"/>
      <c r="S314" s="48"/>
      <c r="T314" s="48"/>
      <c r="U314" s="49"/>
      <c r="V314" s="49"/>
      <c r="W314" s="49"/>
      <c r="X314" s="49"/>
      <c r="Y314" s="49"/>
      <c r="Z314" s="49"/>
      <c r="AA314" s="73">
        <v>314</v>
      </c>
      <c r="AB314" s="73"/>
      <c r="AC314" s="74"/>
      <c r="AD314" s="80" t="s">
        <v>1204</v>
      </c>
      <c r="AE314" s="80" t="s">
        <v>1888</v>
      </c>
      <c r="AF314" s="80" t="s">
        <v>2502</v>
      </c>
      <c r="AG314" s="80" t="s">
        <v>3059</v>
      </c>
      <c r="AH314" s="80" t="s">
        <v>3616</v>
      </c>
      <c r="AI314" s="80">
        <v>67028</v>
      </c>
      <c r="AJ314" s="80">
        <v>60</v>
      </c>
      <c r="AK314" s="80">
        <v>538</v>
      </c>
      <c r="AL314" s="80">
        <v>258</v>
      </c>
      <c r="AM314" s="80" t="s">
        <v>4098</v>
      </c>
      <c r="AN314" s="96" t="str">
        <f>HYPERLINK("https://www.youtube.com/watch?v=ZH0YyCp3AhI")</f>
        <v>https://www.youtube.com/watch?v=ZH0YyCp3AhI</v>
      </c>
      <c r="AO314" s="80" t="e">
        <f>REPLACE(INDEX(GroupVertices[Group],MATCH(Vertices[[#This Row],[Vertex]],GroupVertices[Vertex],0)),1,1,"")</f>
        <v>#N/A</v>
      </c>
      <c r="AP314" s="48"/>
      <c r="AQ314" s="49"/>
      <c r="AR314" s="48"/>
      <c r="AS314" s="49"/>
      <c r="AT314" s="48"/>
      <c r="AU314" s="49"/>
      <c r="AV314" s="48"/>
      <c r="AW314" s="49"/>
      <c r="AX314" s="48"/>
      <c r="AY314" s="48"/>
      <c r="AZ314" s="48"/>
      <c r="BA314" s="48"/>
      <c r="BB314" s="48"/>
      <c r="BC314" s="2"/>
      <c r="BD314" s="3"/>
      <c r="BE314" s="3"/>
      <c r="BF314" s="3"/>
      <c r="BG314" s="3"/>
    </row>
    <row r="315" spans="1:59" ht="15">
      <c r="A315" s="66" t="s">
        <v>648</v>
      </c>
      <c r="B315" s="67" t="s">
        <v>4461</v>
      </c>
      <c r="C315" s="67"/>
      <c r="D315" s="68">
        <v>921.9684420497523</v>
      </c>
      <c r="E315" s="70"/>
      <c r="F315" s="97" t="str">
        <f>HYPERLINK("https://i.ytimg.com/vi/kA5toTCUaaQ/default.jpg")</f>
        <v>https://i.ytimg.com/vi/kA5toTCUaaQ/default.jpg</v>
      </c>
      <c r="G315" s="120" t="s">
        <v>52</v>
      </c>
      <c r="H315" s="71" t="s">
        <v>1388</v>
      </c>
      <c r="I315" s="72"/>
      <c r="J315" s="72" t="s">
        <v>159</v>
      </c>
      <c r="K315" s="71" t="s">
        <v>1388</v>
      </c>
      <c r="L315" s="75">
        <v>213.72340425531914</v>
      </c>
      <c r="M315" s="76">
        <v>2861.175537109375</v>
      </c>
      <c r="N315" s="76">
        <v>1735.951904296875</v>
      </c>
      <c r="O315" s="77"/>
      <c r="P315" s="78"/>
      <c r="Q315" s="78"/>
      <c r="R315" s="82"/>
      <c r="S315" s="48"/>
      <c r="T315" s="48"/>
      <c r="U315" s="49"/>
      <c r="V315" s="49"/>
      <c r="W315" s="49"/>
      <c r="X315" s="49"/>
      <c r="Y315" s="49"/>
      <c r="Z315" s="49"/>
      <c r="AA315" s="73">
        <v>315</v>
      </c>
      <c r="AB315" s="73"/>
      <c r="AC315" s="74"/>
      <c r="AD315" s="80" t="s">
        <v>1388</v>
      </c>
      <c r="AE315" s="80" t="s">
        <v>2053</v>
      </c>
      <c r="AF315" s="80" t="s">
        <v>2646</v>
      </c>
      <c r="AG315" s="80" t="s">
        <v>3182</v>
      </c>
      <c r="AH315" s="80" t="s">
        <v>3800</v>
      </c>
      <c r="AI315" s="80">
        <v>387392</v>
      </c>
      <c r="AJ315" s="80">
        <v>1374</v>
      </c>
      <c r="AK315" s="80">
        <v>20780</v>
      </c>
      <c r="AL315" s="80">
        <v>256</v>
      </c>
      <c r="AM315" s="80" t="s">
        <v>4098</v>
      </c>
      <c r="AN315" s="96" t="str">
        <f>HYPERLINK("https://www.youtube.com/watch?v=kA5toTCUaaQ")</f>
        <v>https://www.youtube.com/watch?v=kA5toTCUaaQ</v>
      </c>
      <c r="AO315" s="80" t="e">
        <f>REPLACE(INDEX(GroupVertices[Group],MATCH(Vertices[[#This Row],[Vertex]],GroupVertices[Vertex],0)),1,1,"")</f>
        <v>#N/A</v>
      </c>
      <c r="AP315" s="48"/>
      <c r="AQ315" s="49"/>
      <c r="AR315" s="48"/>
      <c r="AS315" s="49"/>
      <c r="AT315" s="48"/>
      <c r="AU315" s="49"/>
      <c r="AV315" s="48"/>
      <c r="AW315" s="49"/>
      <c r="AX315" s="48"/>
      <c r="AY315" s="48"/>
      <c r="AZ315" s="48"/>
      <c r="BA315" s="48"/>
      <c r="BB315" s="48"/>
      <c r="BC315" s="2"/>
      <c r="BD315" s="3"/>
      <c r="BE315" s="3"/>
      <c r="BF315" s="3"/>
      <c r="BG315" s="3"/>
    </row>
    <row r="316" spans="1:59" ht="15">
      <c r="A316" s="66" t="s">
        <v>824</v>
      </c>
      <c r="B316" s="67" t="s">
        <v>4461</v>
      </c>
      <c r="C316" s="67"/>
      <c r="D316" s="68">
        <v>870.7598745074306</v>
      </c>
      <c r="E316" s="70"/>
      <c r="F316" s="97" t="str">
        <f>HYPERLINK("https://i.ytimg.com/vi/XyPrGU9f7s8/default.jpg")</f>
        <v>https://i.ytimg.com/vi/XyPrGU9f7s8/default.jpg</v>
      </c>
      <c r="G316" s="120" t="s">
        <v>52</v>
      </c>
      <c r="H316" s="71" t="s">
        <v>1563</v>
      </c>
      <c r="I316" s="72"/>
      <c r="J316" s="72" t="s">
        <v>159</v>
      </c>
      <c r="K316" s="71" t="s">
        <v>1563</v>
      </c>
      <c r="L316" s="75">
        <v>213.72340425531914</v>
      </c>
      <c r="M316" s="76">
        <v>354.33624267578125</v>
      </c>
      <c r="N316" s="76">
        <v>3498.72509765625</v>
      </c>
      <c r="O316" s="77"/>
      <c r="P316" s="78"/>
      <c r="Q316" s="78"/>
      <c r="R316" s="82"/>
      <c r="S316" s="48"/>
      <c r="T316" s="48"/>
      <c r="U316" s="49"/>
      <c r="V316" s="49"/>
      <c r="W316" s="49"/>
      <c r="X316" s="49"/>
      <c r="Y316" s="49"/>
      <c r="Z316" s="49"/>
      <c r="AA316" s="73">
        <v>316</v>
      </c>
      <c r="AB316" s="73"/>
      <c r="AC316" s="74"/>
      <c r="AD316" s="80" t="s">
        <v>1563</v>
      </c>
      <c r="AE316" s="80" t="s">
        <v>2210</v>
      </c>
      <c r="AF316" s="80" t="s">
        <v>2795</v>
      </c>
      <c r="AG316" s="80" t="s">
        <v>3308</v>
      </c>
      <c r="AH316" s="80" t="s">
        <v>3978</v>
      </c>
      <c r="AI316" s="80">
        <v>217582</v>
      </c>
      <c r="AJ316" s="80">
        <v>1330</v>
      </c>
      <c r="AK316" s="80">
        <v>10134</v>
      </c>
      <c r="AL316" s="80">
        <v>252</v>
      </c>
      <c r="AM316" s="80" t="s">
        <v>4098</v>
      </c>
      <c r="AN316" s="96" t="str">
        <f>HYPERLINK("https://www.youtube.com/watch?v=XyPrGU9f7s8")</f>
        <v>https://www.youtube.com/watch?v=XyPrGU9f7s8</v>
      </c>
      <c r="AO316" s="80" t="e">
        <f>REPLACE(INDEX(GroupVertices[Group],MATCH(Vertices[[#This Row],[Vertex]],GroupVertices[Vertex],0)),1,1,"")</f>
        <v>#N/A</v>
      </c>
      <c r="AP316" s="48"/>
      <c r="AQ316" s="49"/>
      <c r="AR316" s="48"/>
      <c r="AS316" s="49"/>
      <c r="AT316" s="48"/>
      <c r="AU316" s="49"/>
      <c r="AV316" s="48"/>
      <c r="AW316" s="49"/>
      <c r="AX316" s="48"/>
      <c r="AY316" s="48"/>
      <c r="AZ316" s="48"/>
      <c r="BA316" s="48"/>
      <c r="BB316" s="48"/>
      <c r="BC316" s="2"/>
      <c r="BD316" s="3"/>
      <c r="BE316" s="3"/>
      <c r="BF316" s="3"/>
      <c r="BG316" s="3"/>
    </row>
    <row r="317" spans="1:59" ht="15">
      <c r="A317" s="66" t="s">
        <v>822</v>
      </c>
      <c r="B317" s="67" t="s">
        <v>4461</v>
      </c>
      <c r="C317" s="67"/>
      <c r="D317" s="68">
        <v>972.1169061601712</v>
      </c>
      <c r="E317" s="70"/>
      <c r="F317" s="97" t="str">
        <f>HYPERLINK("https://i.ytimg.com/vi/iotrTlRT3q0/default.jpg")</f>
        <v>https://i.ytimg.com/vi/iotrTlRT3q0/default.jpg</v>
      </c>
      <c r="G317" s="120" t="s">
        <v>52</v>
      </c>
      <c r="H317" s="71" t="s">
        <v>1561</v>
      </c>
      <c r="I317" s="72"/>
      <c r="J317" s="72" t="s">
        <v>159</v>
      </c>
      <c r="K317" s="71" t="s">
        <v>1561</v>
      </c>
      <c r="L317" s="75">
        <v>213.72340425531914</v>
      </c>
      <c r="M317" s="76">
        <v>1339.5025634765625</v>
      </c>
      <c r="N317" s="76">
        <v>589.0485229492188</v>
      </c>
      <c r="O317" s="77"/>
      <c r="P317" s="78"/>
      <c r="Q317" s="78"/>
      <c r="R317" s="82"/>
      <c r="S317" s="48"/>
      <c r="T317" s="48"/>
      <c r="U317" s="49"/>
      <c r="V317" s="49"/>
      <c r="W317" s="49"/>
      <c r="X317" s="49"/>
      <c r="Y317" s="49"/>
      <c r="Z317" s="49"/>
      <c r="AA317" s="73">
        <v>317</v>
      </c>
      <c r="AB317" s="73"/>
      <c r="AC317" s="74"/>
      <c r="AD317" s="80" t="s">
        <v>1561</v>
      </c>
      <c r="AE317" s="80" t="s">
        <v>2208</v>
      </c>
      <c r="AF317" s="80" t="s">
        <v>2793</v>
      </c>
      <c r="AG317" s="80" t="s">
        <v>3306</v>
      </c>
      <c r="AH317" s="80" t="s">
        <v>3976</v>
      </c>
      <c r="AI317" s="80">
        <v>681541</v>
      </c>
      <c r="AJ317" s="80">
        <v>183</v>
      </c>
      <c r="AK317" s="80">
        <v>16488</v>
      </c>
      <c r="AL317" s="80">
        <v>211</v>
      </c>
      <c r="AM317" s="80" t="s">
        <v>4098</v>
      </c>
      <c r="AN317" s="96" t="str">
        <f>HYPERLINK("https://www.youtube.com/watch?v=iotrTlRT3q0")</f>
        <v>https://www.youtube.com/watch?v=iotrTlRT3q0</v>
      </c>
      <c r="AO317" s="80" t="e">
        <f>REPLACE(INDEX(GroupVertices[Group],MATCH(Vertices[[#This Row],[Vertex]],GroupVertices[Vertex],0)),1,1,"")</f>
        <v>#N/A</v>
      </c>
      <c r="AP317" s="48"/>
      <c r="AQ317" s="49"/>
      <c r="AR317" s="48"/>
      <c r="AS317" s="49"/>
      <c r="AT317" s="48"/>
      <c r="AU317" s="49"/>
      <c r="AV317" s="48"/>
      <c r="AW317" s="49"/>
      <c r="AX317" s="48"/>
      <c r="AY317" s="48"/>
      <c r="AZ317" s="48"/>
      <c r="BA317" s="48"/>
      <c r="BB317" s="48"/>
      <c r="BC317" s="2"/>
      <c r="BD317" s="3"/>
      <c r="BE317" s="3"/>
      <c r="BF317" s="3"/>
      <c r="BG317" s="3"/>
    </row>
    <row r="318" spans="1:59" ht="15">
      <c r="A318" s="66" t="s">
        <v>907</v>
      </c>
      <c r="B318" s="67" t="s">
        <v>4461</v>
      </c>
      <c r="C318" s="67"/>
      <c r="D318" s="68">
        <v>980.6815790388231</v>
      </c>
      <c r="E318" s="70"/>
      <c r="F318" s="97" t="str">
        <f>HYPERLINK("https://i.ytimg.com/vi/I01XMRo2ESg/default.jpg")</f>
        <v>https://i.ytimg.com/vi/I01XMRo2ESg/default.jpg</v>
      </c>
      <c r="G318" s="120" t="s">
        <v>52</v>
      </c>
      <c r="H318" s="71" t="s">
        <v>1645</v>
      </c>
      <c r="I318" s="72"/>
      <c r="J318" s="72" t="s">
        <v>159</v>
      </c>
      <c r="K318" s="71" t="s">
        <v>1645</v>
      </c>
      <c r="L318" s="75">
        <v>213.72340425531914</v>
      </c>
      <c r="M318" s="76">
        <v>8881.677734375</v>
      </c>
      <c r="N318" s="76">
        <v>1625.00439453125</v>
      </c>
      <c r="O318" s="77"/>
      <c r="P318" s="78"/>
      <c r="Q318" s="78"/>
      <c r="R318" s="82"/>
      <c r="S318" s="48"/>
      <c r="T318" s="48"/>
      <c r="U318" s="49"/>
      <c r="V318" s="49"/>
      <c r="W318" s="49"/>
      <c r="X318" s="49"/>
      <c r="Y318" s="49"/>
      <c r="Z318" s="49"/>
      <c r="AA318" s="73">
        <v>318</v>
      </c>
      <c r="AB318" s="73"/>
      <c r="AC318" s="74"/>
      <c r="AD318" s="80" t="s">
        <v>1645</v>
      </c>
      <c r="AE318" s="80" t="s">
        <v>2282</v>
      </c>
      <c r="AF318" s="80" t="s">
        <v>2864</v>
      </c>
      <c r="AG318" s="80" t="s">
        <v>3351</v>
      </c>
      <c r="AH318" s="80" t="s">
        <v>4061</v>
      </c>
      <c r="AI318" s="80">
        <v>750573</v>
      </c>
      <c r="AJ318" s="80">
        <v>511</v>
      </c>
      <c r="AK318" s="80">
        <v>10458</v>
      </c>
      <c r="AL318" s="80">
        <v>186</v>
      </c>
      <c r="AM318" s="80" t="s">
        <v>4098</v>
      </c>
      <c r="AN318" s="96" t="str">
        <f>HYPERLINK("https://www.youtube.com/watch?v=I01XMRo2ESg")</f>
        <v>https://www.youtube.com/watch?v=I01XMRo2ESg</v>
      </c>
      <c r="AO318" s="80" t="e">
        <f>REPLACE(INDEX(GroupVertices[Group],MATCH(Vertices[[#This Row],[Vertex]],GroupVertices[Vertex],0)),1,1,"")</f>
        <v>#N/A</v>
      </c>
      <c r="AP318" s="48"/>
      <c r="AQ318" s="49"/>
      <c r="AR318" s="48"/>
      <c r="AS318" s="49"/>
      <c r="AT318" s="48"/>
      <c r="AU318" s="49"/>
      <c r="AV318" s="48"/>
      <c r="AW318" s="49"/>
      <c r="AX318" s="48"/>
      <c r="AY318" s="48"/>
      <c r="AZ318" s="48"/>
      <c r="BA318" s="48"/>
      <c r="BB318" s="48"/>
      <c r="BC318" s="2"/>
      <c r="BD318" s="3"/>
      <c r="BE318" s="3"/>
      <c r="BF318" s="3"/>
      <c r="BG318" s="3"/>
    </row>
    <row r="319" spans="1:59" ht="15">
      <c r="A319" s="66" t="s">
        <v>435</v>
      </c>
      <c r="B319" s="67" t="s">
        <v>4461</v>
      </c>
      <c r="C319" s="67"/>
      <c r="D319" s="68">
        <v>982.9996730220582</v>
      </c>
      <c r="E319" s="70"/>
      <c r="F319" s="97" t="str">
        <f>HYPERLINK("https://i.ytimg.com/vi/isE8bpls1wM/default.jpg")</f>
        <v>https://i.ytimg.com/vi/isE8bpls1wM/default.jpg</v>
      </c>
      <c r="G319" s="120" t="s">
        <v>52</v>
      </c>
      <c r="H319" s="71" t="s">
        <v>1143</v>
      </c>
      <c r="I319" s="72"/>
      <c r="J319" s="72" t="s">
        <v>159</v>
      </c>
      <c r="K319" s="71" t="s">
        <v>1143</v>
      </c>
      <c r="L319" s="75">
        <v>213.72340425531914</v>
      </c>
      <c r="M319" s="76">
        <v>8918.6669921875</v>
      </c>
      <c r="N319" s="76">
        <v>6271.04931640625</v>
      </c>
      <c r="O319" s="77"/>
      <c r="P319" s="78"/>
      <c r="Q319" s="78"/>
      <c r="R319" s="82"/>
      <c r="S319" s="48"/>
      <c r="T319" s="48"/>
      <c r="U319" s="49"/>
      <c r="V319" s="49"/>
      <c r="W319" s="49"/>
      <c r="X319" s="49"/>
      <c r="Y319" s="49"/>
      <c r="Z319" s="49"/>
      <c r="AA319" s="73">
        <v>319</v>
      </c>
      <c r="AB319" s="73"/>
      <c r="AC319" s="74"/>
      <c r="AD319" s="80" t="s">
        <v>1143</v>
      </c>
      <c r="AE319" s="80" t="s">
        <v>1835</v>
      </c>
      <c r="AF319" s="80" t="s">
        <v>2458</v>
      </c>
      <c r="AG319" s="80" t="s">
        <v>2970</v>
      </c>
      <c r="AH319" s="80" t="s">
        <v>3556</v>
      </c>
      <c r="AI319" s="80">
        <v>770431</v>
      </c>
      <c r="AJ319" s="80">
        <v>130</v>
      </c>
      <c r="AK319" s="80">
        <v>2205</v>
      </c>
      <c r="AL319" s="80">
        <v>167</v>
      </c>
      <c r="AM319" s="80" t="s">
        <v>4098</v>
      </c>
      <c r="AN319" s="96" t="str">
        <f>HYPERLINK("https://www.youtube.com/watch?v=isE8bpls1wM")</f>
        <v>https://www.youtube.com/watch?v=isE8bpls1wM</v>
      </c>
      <c r="AO319" s="80" t="e">
        <f>REPLACE(INDEX(GroupVertices[Group],MATCH(Vertices[[#This Row],[Vertex]],GroupVertices[Vertex],0)),1,1,"")</f>
        <v>#N/A</v>
      </c>
      <c r="AP319" s="48"/>
      <c r="AQ319" s="49"/>
      <c r="AR319" s="48"/>
      <c r="AS319" s="49"/>
      <c r="AT319" s="48"/>
      <c r="AU319" s="49"/>
      <c r="AV319" s="48"/>
      <c r="AW319" s="49"/>
      <c r="AX319" s="48"/>
      <c r="AY319" s="48"/>
      <c r="AZ319" s="48"/>
      <c r="BA319" s="48"/>
      <c r="BB319" s="48"/>
      <c r="BC319" s="2"/>
      <c r="BD319" s="3"/>
      <c r="BE319" s="3"/>
      <c r="BF319" s="3"/>
      <c r="BG319" s="3"/>
    </row>
    <row r="320" spans="1:59" ht="15">
      <c r="A320" s="66" t="s">
        <v>417</v>
      </c>
      <c r="B320" s="67" t="s">
        <v>4461</v>
      </c>
      <c r="C320" s="67"/>
      <c r="D320" s="68">
        <v>929.821944619322</v>
      </c>
      <c r="E320" s="70"/>
      <c r="F320" s="97" t="str">
        <f>HYPERLINK("https://i.ytimg.com/vi/-aTGL4M0db4/default.jpg")</f>
        <v>https://i.ytimg.com/vi/-aTGL4M0db4/default.jpg</v>
      </c>
      <c r="G320" s="120" t="s">
        <v>52</v>
      </c>
      <c r="H320" s="71" t="s">
        <v>1125</v>
      </c>
      <c r="I320" s="72"/>
      <c r="J320" s="72" t="s">
        <v>159</v>
      </c>
      <c r="K320" s="71" t="s">
        <v>1125</v>
      </c>
      <c r="L320" s="75">
        <v>213.72340425531914</v>
      </c>
      <c r="M320" s="76">
        <v>8595.4140625</v>
      </c>
      <c r="N320" s="76">
        <v>4178.517578125</v>
      </c>
      <c r="O320" s="77"/>
      <c r="P320" s="78"/>
      <c r="Q320" s="78"/>
      <c r="R320" s="82"/>
      <c r="S320" s="48"/>
      <c r="T320" s="48"/>
      <c r="U320" s="49"/>
      <c r="V320" s="49"/>
      <c r="W320" s="49"/>
      <c r="X320" s="49"/>
      <c r="Y320" s="49"/>
      <c r="Z320" s="49"/>
      <c r="AA320" s="73">
        <v>320</v>
      </c>
      <c r="AB320" s="73"/>
      <c r="AC320" s="74"/>
      <c r="AD320" s="80" t="s">
        <v>1125</v>
      </c>
      <c r="AE320" s="80" t="s">
        <v>1822</v>
      </c>
      <c r="AF320" s="80" t="s">
        <v>2442</v>
      </c>
      <c r="AG320" s="80" t="s">
        <v>3008</v>
      </c>
      <c r="AH320" s="80" t="s">
        <v>3538</v>
      </c>
      <c r="AI320" s="80">
        <v>423226</v>
      </c>
      <c r="AJ320" s="80">
        <v>131</v>
      </c>
      <c r="AK320" s="80">
        <v>1610</v>
      </c>
      <c r="AL320" s="80">
        <v>152</v>
      </c>
      <c r="AM320" s="80" t="s">
        <v>4098</v>
      </c>
      <c r="AN320" s="96" t="str">
        <f>HYPERLINK("https://www.youtube.com/watch?v=-aTGL4M0db4")</f>
        <v>https://www.youtube.com/watch?v=-aTGL4M0db4</v>
      </c>
      <c r="AO320" s="80" t="e">
        <f>REPLACE(INDEX(GroupVertices[Group],MATCH(Vertices[[#This Row],[Vertex]],GroupVertices[Vertex],0)),1,1,"")</f>
        <v>#N/A</v>
      </c>
      <c r="AP320" s="48"/>
      <c r="AQ320" s="49"/>
      <c r="AR320" s="48"/>
      <c r="AS320" s="49"/>
      <c r="AT320" s="48"/>
      <c r="AU320" s="49"/>
      <c r="AV320" s="48"/>
      <c r="AW320" s="49"/>
      <c r="AX320" s="48"/>
      <c r="AY320" s="48"/>
      <c r="AZ320" s="48"/>
      <c r="BA320" s="48"/>
      <c r="BB320" s="48"/>
      <c r="BC320" s="2"/>
      <c r="BD320" s="3"/>
      <c r="BE320" s="3"/>
      <c r="BF320" s="3"/>
      <c r="BG320" s="3"/>
    </row>
    <row r="321" spans="1:59" ht="15">
      <c r="A321" s="66" t="s">
        <v>498</v>
      </c>
      <c r="B321" s="67" t="s">
        <v>4461</v>
      </c>
      <c r="C321" s="67"/>
      <c r="D321" s="68">
        <v>956.5109822223122</v>
      </c>
      <c r="E321" s="70"/>
      <c r="F321" s="97" t="str">
        <f>HYPERLINK("https://i.ytimg.com/vi/oSWTXtMglKE/default.jpg")</f>
        <v>https://i.ytimg.com/vi/oSWTXtMglKE/default.jpg</v>
      </c>
      <c r="G321" s="120" t="s">
        <v>52</v>
      </c>
      <c r="H321" s="71" t="s">
        <v>1214</v>
      </c>
      <c r="I321" s="72"/>
      <c r="J321" s="72" t="s">
        <v>159</v>
      </c>
      <c r="K321" s="71" t="s">
        <v>1214</v>
      </c>
      <c r="L321" s="75">
        <v>213.72340425531914</v>
      </c>
      <c r="M321" s="76">
        <v>6302.60888671875</v>
      </c>
      <c r="N321" s="76">
        <v>2234.7568359375</v>
      </c>
      <c r="O321" s="77"/>
      <c r="P321" s="78"/>
      <c r="Q321" s="78"/>
      <c r="R321" s="82"/>
      <c r="S321" s="48"/>
      <c r="T321" s="48"/>
      <c r="U321" s="49"/>
      <c r="V321" s="49"/>
      <c r="W321" s="49"/>
      <c r="X321" s="49"/>
      <c r="Y321" s="49"/>
      <c r="Z321" s="49"/>
      <c r="AA321" s="73">
        <v>321</v>
      </c>
      <c r="AB321" s="73"/>
      <c r="AC321" s="74"/>
      <c r="AD321" s="80" t="s">
        <v>1214</v>
      </c>
      <c r="AE321" s="80" t="s">
        <v>1897</v>
      </c>
      <c r="AF321" s="80"/>
      <c r="AG321" s="80" t="s">
        <v>3067</v>
      </c>
      <c r="AH321" s="80" t="s">
        <v>3626</v>
      </c>
      <c r="AI321" s="80">
        <v>571667</v>
      </c>
      <c r="AJ321" s="80">
        <v>239</v>
      </c>
      <c r="AK321" s="80">
        <v>7492</v>
      </c>
      <c r="AL321" s="80">
        <v>132</v>
      </c>
      <c r="AM321" s="80" t="s">
        <v>4098</v>
      </c>
      <c r="AN321" s="96" t="str">
        <f>HYPERLINK("https://www.youtube.com/watch?v=oSWTXtMglKE")</f>
        <v>https://www.youtube.com/watch?v=oSWTXtMglKE</v>
      </c>
      <c r="AO321" s="80" t="e">
        <f>REPLACE(INDEX(GroupVertices[Group],MATCH(Vertices[[#This Row],[Vertex]],GroupVertices[Vertex],0)),1,1,"")</f>
        <v>#N/A</v>
      </c>
      <c r="AP321" s="48"/>
      <c r="AQ321" s="49"/>
      <c r="AR321" s="48"/>
      <c r="AS321" s="49"/>
      <c r="AT321" s="48"/>
      <c r="AU321" s="49"/>
      <c r="AV321" s="48"/>
      <c r="AW321" s="49"/>
      <c r="AX321" s="48"/>
      <c r="AY321" s="48"/>
      <c r="AZ321" s="48"/>
      <c r="BA321" s="48"/>
      <c r="BB321" s="48"/>
      <c r="BC321" s="2"/>
      <c r="BD321" s="3"/>
      <c r="BE321" s="3"/>
      <c r="BF321" s="3"/>
      <c r="BG321" s="3"/>
    </row>
    <row r="322" spans="1:59" ht="15">
      <c r="A322" s="66" t="s">
        <v>558</v>
      </c>
      <c r="B322" s="67" t="s">
        <v>4461</v>
      </c>
      <c r="C322" s="67"/>
      <c r="D322" s="68">
        <v>891.8464365361269</v>
      </c>
      <c r="E322" s="70"/>
      <c r="F322" s="97" t="str">
        <f>HYPERLINK("https://i.ytimg.com/vi/wadBvDPeE4E/default.jpg")</f>
        <v>https://i.ytimg.com/vi/wadBvDPeE4E/default.jpg</v>
      </c>
      <c r="G322" s="120" t="s">
        <v>52</v>
      </c>
      <c r="H322" s="71" t="s">
        <v>1292</v>
      </c>
      <c r="I322" s="72"/>
      <c r="J322" s="72" t="s">
        <v>159</v>
      </c>
      <c r="K322" s="71" t="s">
        <v>1292</v>
      </c>
      <c r="L322" s="75">
        <v>213.72340425531914</v>
      </c>
      <c r="M322" s="76">
        <v>4006.00830078125</v>
      </c>
      <c r="N322" s="76">
        <v>3456.48486328125</v>
      </c>
      <c r="O322" s="77"/>
      <c r="P322" s="78"/>
      <c r="Q322" s="78"/>
      <c r="R322" s="82"/>
      <c r="S322" s="48"/>
      <c r="T322" s="48"/>
      <c r="U322" s="49"/>
      <c r="V322" s="49"/>
      <c r="W322" s="49"/>
      <c r="X322" s="49"/>
      <c r="Y322" s="49"/>
      <c r="Z322" s="49"/>
      <c r="AA322" s="73">
        <v>322</v>
      </c>
      <c r="AB322" s="73"/>
      <c r="AC322" s="74"/>
      <c r="AD322" s="80" t="s">
        <v>1292</v>
      </c>
      <c r="AE322" s="80" t="s">
        <v>1966</v>
      </c>
      <c r="AF322" s="80" t="s">
        <v>2572</v>
      </c>
      <c r="AG322" s="80" t="s">
        <v>3117</v>
      </c>
      <c r="AH322" s="80" t="s">
        <v>3704</v>
      </c>
      <c r="AI322" s="80">
        <v>275921</v>
      </c>
      <c r="AJ322" s="80">
        <v>487</v>
      </c>
      <c r="AK322" s="80">
        <v>4359</v>
      </c>
      <c r="AL322" s="80">
        <v>123</v>
      </c>
      <c r="AM322" s="80" t="s">
        <v>4098</v>
      </c>
      <c r="AN322" s="96" t="str">
        <f>HYPERLINK("https://www.youtube.com/watch?v=wadBvDPeE4E")</f>
        <v>https://www.youtube.com/watch?v=wadBvDPeE4E</v>
      </c>
      <c r="AO322" s="80" t="e">
        <f>REPLACE(INDEX(GroupVertices[Group],MATCH(Vertices[[#This Row],[Vertex]],GroupVertices[Vertex],0)),1,1,"")</f>
        <v>#N/A</v>
      </c>
      <c r="AP322" s="48"/>
      <c r="AQ322" s="49"/>
      <c r="AR322" s="48"/>
      <c r="AS322" s="49"/>
      <c r="AT322" s="48"/>
      <c r="AU322" s="49"/>
      <c r="AV322" s="48"/>
      <c r="AW322" s="49"/>
      <c r="AX322" s="48"/>
      <c r="AY322" s="48"/>
      <c r="AZ322" s="48"/>
      <c r="BA322" s="48"/>
      <c r="BB322" s="48"/>
      <c r="BC322" s="2"/>
      <c r="BD322" s="3"/>
      <c r="BE322" s="3"/>
      <c r="BF322" s="3"/>
      <c r="BG322" s="3"/>
    </row>
    <row r="323" spans="1:59" ht="15">
      <c r="A323" s="66" t="s">
        <v>439</v>
      </c>
      <c r="B323" s="67" t="s">
        <v>4461</v>
      </c>
      <c r="C323" s="67"/>
      <c r="D323" s="68">
        <v>978.8654072690211</v>
      </c>
      <c r="E323" s="70"/>
      <c r="F323" s="97" t="str">
        <f>HYPERLINK("https://i.ytimg.com/vi/qPk0YEKhqB8/default.jpg")</f>
        <v>https://i.ytimg.com/vi/qPk0YEKhqB8/default.jpg</v>
      </c>
      <c r="G323" s="120" t="s">
        <v>52</v>
      </c>
      <c r="H323" s="71" t="s">
        <v>1147</v>
      </c>
      <c r="I323" s="72"/>
      <c r="J323" s="72" t="s">
        <v>159</v>
      </c>
      <c r="K323" s="71" t="s">
        <v>1147</v>
      </c>
      <c r="L323" s="75">
        <v>213.72340425531914</v>
      </c>
      <c r="M323" s="76">
        <v>8882.5234375</v>
      </c>
      <c r="N323" s="76">
        <v>3583.45654296875</v>
      </c>
      <c r="O323" s="77"/>
      <c r="P323" s="78"/>
      <c r="Q323" s="78"/>
      <c r="R323" s="82"/>
      <c r="S323" s="48"/>
      <c r="T323" s="48"/>
      <c r="U323" s="49"/>
      <c r="V323" s="49"/>
      <c r="W323" s="49"/>
      <c r="X323" s="49"/>
      <c r="Y323" s="49"/>
      <c r="Z323" s="49"/>
      <c r="AA323" s="73">
        <v>323</v>
      </c>
      <c r="AB323" s="73"/>
      <c r="AC323" s="74"/>
      <c r="AD323" s="80" t="s">
        <v>1147</v>
      </c>
      <c r="AE323" s="80" t="s">
        <v>1839</v>
      </c>
      <c r="AF323" s="80" t="s">
        <v>2461</v>
      </c>
      <c r="AG323" s="80" t="s">
        <v>3026</v>
      </c>
      <c r="AH323" s="80" t="s">
        <v>3560</v>
      </c>
      <c r="AI323" s="80">
        <v>735373</v>
      </c>
      <c r="AJ323" s="80">
        <v>497</v>
      </c>
      <c r="AK323" s="80">
        <v>3702</v>
      </c>
      <c r="AL323" s="80">
        <v>122</v>
      </c>
      <c r="AM323" s="80" t="s">
        <v>4098</v>
      </c>
      <c r="AN323" s="96" t="str">
        <f>HYPERLINK("https://www.youtube.com/watch?v=qPk0YEKhqB8")</f>
        <v>https://www.youtube.com/watch?v=qPk0YEKhqB8</v>
      </c>
      <c r="AO323" s="80" t="e">
        <f>REPLACE(INDEX(GroupVertices[Group],MATCH(Vertices[[#This Row],[Vertex]],GroupVertices[Vertex],0)),1,1,"")</f>
        <v>#N/A</v>
      </c>
      <c r="AP323" s="48"/>
      <c r="AQ323" s="49"/>
      <c r="AR323" s="48"/>
      <c r="AS323" s="49"/>
      <c r="AT323" s="48"/>
      <c r="AU323" s="49"/>
      <c r="AV323" s="48"/>
      <c r="AW323" s="49"/>
      <c r="AX323" s="48"/>
      <c r="AY323" s="48"/>
      <c r="AZ323" s="48"/>
      <c r="BA323" s="48"/>
      <c r="BB323" s="48"/>
      <c r="BC323" s="2"/>
      <c r="BD323" s="3"/>
      <c r="BE323" s="3"/>
      <c r="BF323" s="3"/>
      <c r="BG323" s="3"/>
    </row>
    <row r="324" spans="1:59" ht="15">
      <c r="A324" s="66" t="s">
        <v>760</v>
      </c>
      <c r="B324" s="67" t="s">
        <v>4461</v>
      </c>
      <c r="C324" s="67"/>
      <c r="D324" s="68">
        <v>844.10228899514</v>
      </c>
      <c r="E324" s="70"/>
      <c r="F324" s="97" t="str">
        <f>HYPERLINK("https://i.ytimg.com/vi/eM1KaaTez0A/default.jpg")</f>
        <v>https://i.ytimg.com/vi/eM1KaaTez0A/default.jpg</v>
      </c>
      <c r="G324" s="120" t="s">
        <v>52</v>
      </c>
      <c r="H324" s="71" t="s">
        <v>1500</v>
      </c>
      <c r="I324" s="72"/>
      <c r="J324" s="72" t="s">
        <v>159</v>
      </c>
      <c r="K324" s="71" t="s">
        <v>1500</v>
      </c>
      <c r="L324" s="75">
        <v>213.72340425531914</v>
      </c>
      <c r="M324" s="76">
        <v>3554.062744140625</v>
      </c>
      <c r="N324" s="76">
        <v>8582.29296875</v>
      </c>
      <c r="O324" s="77"/>
      <c r="P324" s="78"/>
      <c r="Q324" s="78"/>
      <c r="R324" s="82"/>
      <c r="S324" s="48"/>
      <c r="T324" s="48"/>
      <c r="U324" s="49"/>
      <c r="V324" s="49"/>
      <c r="W324" s="49"/>
      <c r="X324" s="49"/>
      <c r="Y324" s="49"/>
      <c r="Z324" s="49"/>
      <c r="AA324" s="73">
        <v>324</v>
      </c>
      <c r="AB324" s="73"/>
      <c r="AC324" s="74"/>
      <c r="AD324" s="80" t="s">
        <v>1500</v>
      </c>
      <c r="AE324" s="80" t="s">
        <v>2153</v>
      </c>
      <c r="AF324" s="80" t="s">
        <v>2739</v>
      </c>
      <c r="AG324" s="80" t="s">
        <v>3264</v>
      </c>
      <c r="AH324" s="80" t="s">
        <v>3914</v>
      </c>
      <c r="AI324" s="80">
        <v>161141</v>
      </c>
      <c r="AJ324" s="80">
        <v>83</v>
      </c>
      <c r="AK324" s="80">
        <v>1545</v>
      </c>
      <c r="AL324" s="80">
        <v>99</v>
      </c>
      <c r="AM324" s="80" t="s">
        <v>4098</v>
      </c>
      <c r="AN324" s="96" t="str">
        <f>HYPERLINK("https://www.youtube.com/watch?v=eM1KaaTez0A")</f>
        <v>https://www.youtube.com/watch?v=eM1KaaTez0A</v>
      </c>
      <c r="AO324" s="80" t="e">
        <f>REPLACE(INDEX(GroupVertices[Group],MATCH(Vertices[[#This Row],[Vertex]],GroupVertices[Vertex],0)),1,1,"")</f>
        <v>#N/A</v>
      </c>
      <c r="AP324" s="48"/>
      <c r="AQ324" s="49"/>
      <c r="AR324" s="48"/>
      <c r="AS324" s="49"/>
      <c r="AT324" s="48"/>
      <c r="AU324" s="49"/>
      <c r="AV324" s="48"/>
      <c r="AW324" s="49"/>
      <c r="AX324" s="48"/>
      <c r="AY324" s="48"/>
      <c r="AZ324" s="48"/>
      <c r="BA324" s="48"/>
      <c r="BB324" s="48"/>
      <c r="BC324" s="2"/>
      <c r="BD324" s="3"/>
      <c r="BE324" s="3"/>
      <c r="BF324" s="3"/>
      <c r="BG324" s="3"/>
    </row>
    <row r="325" spans="1:59" ht="15">
      <c r="A325" s="66" t="s">
        <v>597</v>
      </c>
      <c r="B325" s="67" t="s">
        <v>4461</v>
      </c>
      <c r="C325" s="67"/>
      <c r="D325" s="68">
        <v>831.6380572980031</v>
      </c>
      <c r="E325" s="70"/>
      <c r="F325" s="97" t="str">
        <f>HYPERLINK("https://i.ytimg.com/vi/2hK0XDVtTNU/default.jpg")</f>
        <v>https://i.ytimg.com/vi/2hK0XDVtTNU/default.jpg</v>
      </c>
      <c r="G325" s="120" t="s">
        <v>52</v>
      </c>
      <c r="H325" s="71" t="s">
        <v>1333</v>
      </c>
      <c r="I325" s="72"/>
      <c r="J325" s="72" t="s">
        <v>159</v>
      </c>
      <c r="K325" s="71" t="s">
        <v>1333</v>
      </c>
      <c r="L325" s="75">
        <v>213.72340425531914</v>
      </c>
      <c r="M325" s="76">
        <v>9853.2705078125</v>
      </c>
      <c r="N325" s="76">
        <v>726.3497924804688</v>
      </c>
      <c r="O325" s="77"/>
      <c r="P325" s="78"/>
      <c r="Q325" s="78"/>
      <c r="R325" s="82"/>
      <c r="S325" s="48"/>
      <c r="T325" s="48"/>
      <c r="U325" s="49"/>
      <c r="V325" s="49"/>
      <c r="W325" s="49"/>
      <c r="X325" s="49"/>
      <c r="Y325" s="49"/>
      <c r="Z325" s="49"/>
      <c r="AA325" s="73">
        <v>325</v>
      </c>
      <c r="AB325" s="73"/>
      <c r="AC325" s="74"/>
      <c r="AD325" s="80" t="s">
        <v>1333</v>
      </c>
      <c r="AE325" s="80" t="s">
        <v>2000</v>
      </c>
      <c r="AF325" s="80" t="s">
        <v>2601</v>
      </c>
      <c r="AG325" s="80" t="s">
        <v>3145</v>
      </c>
      <c r="AH325" s="80" t="s">
        <v>3744</v>
      </c>
      <c r="AI325" s="80">
        <v>140032</v>
      </c>
      <c r="AJ325" s="80">
        <v>126</v>
      </c>
      <c r="AK325" s="80">
        <v>1269</v>
      </c>
      <c r="AL325" s="80">
        <v>97</v>
      </c>
      <c r="AM325" s="80" t="s">
        <v>4098</v>
      </c>
      <c r="AN325" s="96" t="str">
        <f>HYPERLINK("https://www.youtube.com/watch?v=2hK0XDVtTNU")</f>
        <v>https://www.youtube.com/watch?v=2hK0XDVtTNU</v>
      </c>
      <c r="AO325" s="80" t="e">
        <f>REPLACE(INDEX(GroupVertices[Group],MATCH(Vertices[[#This Row],[Vertex]],GroupVertices[Vertex],0)),1,1,"")</f>
        <v>#N/A</v>
      </c>
      <c r="AP325" s="48"/>
      <c r="AQ325" s="49"/>
      <c r="AR325" s="48"/>
      <c r="AS325" s="49"/>
      <c r="AT325" s="48"/>
      <c r="AU325" s="49"/>
      <c r="AV325" s="48"/>
      <c r="AW325" s="49"/>
      <c r="AX325" s="48"/>
      <c r="AY325" s="48"/>
      <c r="AZ325" s="48"/>
      <c r="BA325" s="48"/>
      <c r="BB325" s="48"/>
      <c r="BC325" s="2"/>
      <c r="BD325" s="3"/>
      <c r="BE325" s="3"/>
      <c r="BF325" s="3"/>
      <c r="BG325" s="3"/>
    </row>
    <row r="326" spans="1:59" ht="15">
      <c r="A326" s="66" t="s">
        <v>940</v>
      </c>
      <c r="B326" s="67" t="s">
        <v>4461</v>
      </c>
      <c r="C326" s="67"/>
      <c r="D326" s="68">
        <v>849.5133853418937</v>
      </c>
      <c r="E326" s="70"/>
      <c r="F326" s="97" t="str">
        <f>HYPERLINK("https://i.ytimg.com/vi/ritXWzzYy0g/default.jpg")</f>
        <v>https://i.ytimg.com/vi/ritXWzzYy0g/default.jpg</v>
      </c>
      <c r="G326" s="120" t="s">
        <v>52</v>
      </c>
      <c r="H326" s="71" t="s">
        <v>1677</v>
      </c>
      <c r="I326" s="72"/>
      <c r="J326" s="72" t="s">
        <v>159</v>
      </c>
      <c r="K326" s="71" t="s">
        <v>1677</v>
      </c>
      <c r="L326" s="75">
        <v>213.72340425531914</v>
      </c>
      <c r="M326" s="76">
        <v>1660.2022705078125</v>
      </c>
      <c r="N326" s="76">
        <v>4229.38134765625</v>
      </c>
      <c r="O326" s="77"/>
      <c r="P326" s="78"/>
      <c r="Q326" s="78"/>
      <c r="R326" s="82"/>
      <c r="S326" s="48"/>
      <c r="T326" s="48"/>
      <c r="U326" s="49"/>
      <c r="V326" s="49"/>
      <c r="W326" s="49"/>
      <c r="X326" s="49"/>
      <c r="Y326" s="49"/>
      <c r="Z326" s="49"/>
      <c r="AA326" s="73">
        <v>326</v>
      </c>
      <c r="AB326" s="73"/>
      <c r="AC326" s="74"/>
      <c r="AD326" s="80" t="s">
        <v>1677</v>
      </c>
      <c r="AE326" s="80" t="s">
        <v>2311</v>
      </c>
      <c r="AF326" s="80" t="s">
        <v>2891</v>
      </c>
      <c r="AG326" s="80" t="s">
        <v>3369</v>
      </c>
      <c r="AH326" s="80" t="s">
        <v>4094</v>
      </c>
      <c r="AI326" s="80">
        <v>171269</v>
      </c>
      <c r="AJ326" s="80">
        <v>115</v>
      </c>
      <c r="AK326" s="80">
        <v>2284</v>
      </c>
      <c r="AL326" s="80">
        <v>86</v>
      </c>
      <c r="AM326" s="80" t="s">
        <v>4098</v>
      </c>
      <c r="AN326" s="96" t="str">
        <f>HYPERLINK("https://www.youtube.com/watch?v=ritXWzzYy0g")</f>
        <v>https://www.youtube.com/watch?v=ritXWzzYy0g</v>
      </c>
      <c r="AO326" s="80" t="e">
        <f>REPLACE(INDEX(GroupVertices[Group],MATCH(Vertices[[#This Row],[Vertex]],GroupVertices[Vertex],0)),1,1,"")</f>
        <v>#N/A</v>
      </c>
      <c r="AP326" s="48"/>
      <c r="AQ326" s="49"/>
      <c r="AR326" s="48"/>
      <c r="AS326" s="49"/>
      <c r="AT326" s="48"/>
      <c r="AU326" s="49"/>
      <c r="AV326" s="48"/>
      <c r="AW326" s="49"/>
      <c r="AX326" s="48"/>
      <c r="AY326" s="48"/>
      <c r="AZ326" s="48"/>
      <c r="BA326" s="48"/>
      <c r="BB326" s="48"/>
      <c r="BC326" s="2"/>
      <c r="BD326" s="3"/>
      <c r="BE326" s="3"/>
      <c r="BF326" s="3"/>
      <c r="BG326" s="3"/>
    </row>
    <row r="327" spans="1:59" ht="15">
      <c r="A327" s="66" t="s">
        <v>901</v>
      </c>
      <c r="B327" s="67" t="s">
        <v>4461</v>
      </c>
      <c r="C327" s="67"/>
      <c r="D327" s="68">
        <v>962.0623286543416</v>
      </c>
      <c r="E327" s="70"/>
      <c r="F327" s="97" t="str">
        <f>HYPERLINK("https://i.ytimg.com/vi/2hUUaG4o3DA/default.jpg")</f>
        <v>https://i.ytimg.com/vi/2hUUaG4o3DA/default.jpg</v>
      </c>
      <c r="G327" s="120" t="s">
        <v>52</v>
      </c>
      <c r="H327" s="71" t="s">
        <v>1639</v>
      </c>
      <c r="I327" s="72"/>
      <c r="J327" s="72" t="s">
        <v>159</v>
      </c>
      <c r="K327" s="71" t="s">
        <v>1639</v>
      </c>
      <c r="L327" s="75">
        <v>213.72340425531914</v>
      </c>
      <c r="M327" s="76">
        <v>8223.328125</v>
      </c>
      <c r="N327" s="76">
        <v>1426.710205078125</v>
      </c>
      <c r="O327" s="77"/>
      <c r="P327" s="78"/>
      <c r="Q327" s="78"/>
      <c r="R327" s="82"/>
      <c r="S327" s="48"/>
      <c r="T327" s="48"/>
      <c r="U327" s="49"/>
      <c r="V327" s="49"/>
      <c r="W327" s="49"/>
      <c r="X327" s="49"/>
      <c r="Y327" s="49"/>
      <c r="Z327" s="49"/>
      <c r="AA327" s="73">
        <v>327</v>
      </c>
      <c r="AB327" s="73"/>
      <c r="AC327" s="74"/>
      <c r="AD327" s="80" t="s">
        <v>1639</v>
      </c>
      <c r="AE327" s="80" t="s">
        <v>2276</v>
      </c>
      <c r="AF327" s="80" t="s">
        <v>2858</v>
      </c>
      <c r="AG327" s="80" t="s">
        <v>3347</v>
      </c>
      <c r="AH327" s="80" t="s">
        <v>4055</v>
      </c>
      <c r="AI327" s="80">
        <v>608558</v>
      </c>
      <c r="AJ327" s="80">
        <v>146</v>
      </c>
      <c r="AK327" s="80">
        <v>3748</v>
      </c>
      <c r="AL327" s="80">
        <v>79</v>
      </c>
      <c r="AM327" s="80" t="s">
        <v>4098</v>
      </c>
      <c r="AN327" s="96" t="str">
        <f>HYPERLINK("https://www.youtube.com/watch?v=2hUUaG4o3DA")</f>
        <v>https://www.youtube.com/watch?v=2hUUaG4o3DA</v>
      </c>
      <c r="AO327" s="80" t="e">
        <f>REPLACE(INDEX(GroupVertices[Group],MATCH(Vertices[[#This Row],[Vertex]],GroupVertices[Vertex],0)),1,1,"")</f>
        <v>#N/A</v>
      </c>
      <c r="AP327" s="48"/>
      <c r="AQ327" s="49"/>
      <c r="AR327" s="48"/>
      <c r="AS327" s="49"/>
      <c r="AT327" s="48"/>
      <c r="AU327" s="49"/>
      <c r="AV327" s="48"/>
      <c r="AW327" s="49"/>
      <c r="AX327" s="48"/>
      <c r="AY327" s="48"/>
      <c r="AZ327" s="48"/>
      <c r="BA327" s="48"/>
      <c r="BB327" s="48"/>
      <c r="BC327" s="2"/>
      <c r="BD327" s="3"/>
      <c r="BE327" s="3"/>
      <c r="BF327" s="3"/>
      <c r="BG327" s="3"/>
    </row>
    <row r="328" spans="1:59" ht="15">
      <c r="A328" s="66" t="s">
        <v>535</v>
      </c>
      <c r="B328" s="67" t="s">
        <v>4461</v>
      </c>
      <c r="C328" s="67"/>
      <c r="D328" s="68">
        <v>780.0605938602039</v>
      </c>
      <c r="E328" s="70"/>
      <c r="F328" s="97" t="str">
        <f>HYPERLINK("https://i.ytimg.com/vi/-9gDy8SE2UM/default.jpg")</f>
        <v>https://i.ytimg.com/vi/-9gDy8SE2UM/default.jpg</v>
      </c>
      <c r="G328" s="120" t="s">
        <v>52</v>
      </c>
      <c r="H328" s="71" t="s">
        <v>1267</v>
      </c>
      <c r="I328" s="72"/>
      <c r="J328" s="72" t="s">
        <v>159</v>
      </c>
      <c r="K328" s="71" t="s">
        <v>1267</v>
      </c>
      <c r="L328" s="75">
        <v>213.72340425531914</v>
      </c>
      <c r="M328" s="76">
        <v>3921.437744140625</v>
      </c>
      <c r="N328" s="76">
        <v>6518.77734375</v>
      </c>
      <c r="O328" s="77"/>
      <c r="P328" s="78"/>
      <c r="Q328" s="78"/>
      <c r="R328" s="82"/>
      <c r="S328" s="48"/>
      <c r="T328" s="48"/>
      <c r="U328" s="49"/>
      <c r="V328" s="49"/>
      <c r="W328" s="49"/>
      <c r="X328" s="49"/>
      <c r="Y328" s="49"/>
      <c r="Z328" s="49"/>
      <c r="AA328" s="73">
        <v>328</v>
      </c>
      <c r="AB328" s="73"/>
      <c r="AC328" s="74"/>
      <c r="AD328" s="80" t="s">
        <v>1267</v>
      </c>
      <c r="AE328" s="80" t="s">
        <v>1943</v>
      </c>
      <c r="AF328" s="80" t="s">
        <v>2552</v>
      </c>
      <c r="AG328" s="80" t="s">
        <v>3102</v>
      </c>
      <c r="AH328" s="80" t="s">
        <v>3679</v>
      </c>
      <c r="AI328" s="80">
        <v>78324</v>
      </c>
      <c r="AJ328" s="80">
        <v>26</v>
      </c>
      <c r="AK328" s="80">
        <v>268</v>
      </c>
      <c r="AL328" s="80">
        <v>79</v>
      </c>
      <c r="AM328" s="80" t="s">
        <v>4098</v>
      </c>
      <c r="AN328" s="96" t="str">
        <f>HYPERLINK("https://www.youtube.com/watch?v=-9gDy8SE2UM")</f>
        <v>https://www.youtube.com/watch?v=-9gDy8SE2UM</v>
      </c>
      <c r="AO328" s="80" t="e">
        <f>REPLACE(INDEX(GroupVertices[Group],MATCH(Vertices[[#This Row],[Vertex]],GroupVertices[Vertex],0)),1,1,"")</f>
        <v>#N/A</v>
      </c>
      <c r="AP328" s="48"/>
      <c r="AQ328" s="49"/>
      <c r="AR328" s="48"/>
      <c r="AS328" s="49"/>
      <c r="AT328" s="48"/>
      <c r="AU328" s="49"/>
      <c r="AV328" s="48"/>
      <c r="AW328" s="49"/>
      <c r="AX328" s="48"/>
      <c r="AY328" s="48"/>
      <c r="AZ328" s="48"/>
      <c r="BA328" s="48"/>
      <c r="BB328" s="48"/>
      <c r="BC328" s="2"/>
      <c r="BD328" s="3"/>
      <c r="BE328" s="3"/>
      <c r="BF328" s="3"/>
      <c r="BG328" s="3"/>
    </row>
    <row r="329" spans="1:59" ht="15">
      <c r="A329" s="66" t="s">
        <v>583</v>
      </c>
      <c r="B329" s="67" t="s">
        <v>4461</v>
      </c>
      <c r="C329" s="67"/>
      <c r="D329" s="68">
        <v>809.5770446566984</v>
      </c>
      <c r="E329" s="70"/>
      <c r="F329" s="97" t="str">
        <f>HYPERLINK("https://i.ytimg.com/vi/aQB_Y9D5pdw/default.jpg")</f>
        <v>https://i.ytimg.com/vi/aQB_Y9D5pdw/default.jpg</v>
      </c>
      <c r="G329" s="120" t="s">
        <v>52</v>
      </c>
      <c r="H329" s="71" t="s">
        <v>1318</v>
      </c>
      <c r="I329" s="72"/>
      <c r="J329" s="72" t="s">
        <v>159</v>
      </c>
      <c r="K329" s="71" t="s">
        <v>1318</v>
      </c>
      <c r="L329" s="75">
        <v>213.72340425531914</v>
      </c>
      <c r="M329" s="76">
        <v>9440.041015625</v>
      </c>
      <c r="N329" s="76">
        <v>7424.72705078125</v>
      </c>
      <c r="O329" s="77"/>
      <c r="P329" s="78"/>
      <c r="Q329" s="78"/>
      <c r="R329" s="82"/>
      <c r="S329" s="48"/>
      <c r="T329" s="48"/>
      <c r="U329" s="49"/>
      <c r="V329" s="49"/>
      <c r="W329" s="49"/>
      <c r="X329" s="49"/>
      <c r="Y329" s="49"/>
      <c r="Z329" s="49"/>
      <c r="AA329" s="73">
        <v>329</v>
      </c>
      <c r="AB329" s="73"/>
      <c r="AC329" s="74"/>
      <c r="AD329" s="80" t="s">
        <v>1318</v>
      </c>
      <c r="AE329" s="80" t="s">
        <v>1985</v>
      </c>
      <c r="AF329" s="80"/>
      <c r="AG329" s="80" t="s">
        <v>3132</v>
      </c>
      <c r="AH329" s="80" t="s">
        <v>3729</v>
      </c>
      <c r="AI329" s="80">
        <v>109219</v>
      </c>
      <c r="AJ329" s="80">
        <v>97</v>
      </c>
      <c r="AK329" s="80">
        <v>613</v>
      </c>
      <c r="AL329" s="80">
        <v>72</v>
      </c>
      <c r="AM329" s="80" t="s">
        <v>4098</v>
      </c>
      <c r="AN329" s="96" t="str">
        <f>HYPERLINK("https://www.youtube.com/watch?v=aQB_Y9D5pdw")</f>
        <v>https://www.youtube.com/watch?v=aQB_Y9D5pdw</v>
      </c>
      <c r="AO329" s="80" t="e">
        <f>REPLACE(INDEX(GroupVertices[Group],MATCH(Vertices[[#This Row],[Vertex]],GroupVertices[Vertex],0)),1,1,"")</f>
        <v>#N/A</v>
      </c>
      <c r="AP329" s="48"/>
      <c r="AQ329" s="49"/>
      <c r="AR329" s="48"/>
      <c r="AS329" s="49"/>
      <c r="AT329" s="48"/>
      <c r="AU329" s="49"/>
      <c r="AV329" s="48"/>
      <c r="AW329" s="49"/>
      <c r="AX329" s="48"/>
      <c r="AY329" s="48"/>
      <c r="AZ329" s="48"/>
      <c r="BA329" s="48"/>
      <c r="BB329" s="48"/>
      <c r="BC329" s="2"/>
      <c r="BD329" s="3"/>
      <c r="BE329" s="3"/>
      <c r="BF329" s="3"/>
      <c r="BG329" s="3"/>
    </row>
    <row r="330" spans="1:59" ht="15">
      <c r="A330" s="66" t="s">
        <v>645</v>
      </c>
      <c r="B330" s="67" t="s">
        <v>4461</v>
      </c>
      <c r="C330" s="67"/>
      <c r="D330" s="68">
        <v>814.1633142716831</v>
      </c>
      <c r="E330" s="70"/>
      <c r="F330" s="97" t="str">
        <f>HYPERLINK("https://i.ytimg.com/vi/aJdmymO3TMc/default.jpg")</f>
        <v>https://i.ytimg.com/vi/aJdmymO3TMc/default.jpg</v>
      </c>
      <c r="G330" s="120" t="s">
        <v>52</v>
      </c>
      <c r="H330" s="71" t="s">
        <v>1385</v>
      </c>
      <c r="I330" s="72"/>
      <c r="J330" s="72" t="s">
        <v>159</v>
      </c>
      <c r="K330" s="71" t="s">
        <v>1385</v>
      </c>
      <c r="L330" s="75">
        <v>213.72340425531914</v>
      </c>
      <c r="M330" s="76">
        <v>2822.40576171875</v>
      </c>
      <c r="N330" s="76">
        <v>2168.2509765625</v>
      </c>
      <c r="O330" s="77"/>
      <c r="P330" s="78"/>
      <c r="Q330" s="78"/>
      <c r="R330" s="82"/>
      <c r="S330" s="48"/>
      <c r="T330" s="48"/>
      <c r="U330" s="49"/>
      <c r="V330" s="49"/>
      <c r="W330" s="49"/>
      <c r="X330" s="49"/>
      <c r="Y330" s="49"/>
      <c r="Z330" s="49"/>
      <c r="AA330" s="73">
        <v>330</v>
      </c>
      <c r="AB330" s="73"/>
      <c r="AC330" s="74"/>
      <c r="AD330" s="80" t="s">
        <v>1385</v>
      </c>
      <c r="AE330" s="80" t="s">
        <v>2050</v>
      </c>
      <c r="AF330" s="80" t="s">
        <v>2643</v>
      </c>
      <c r="AG330" s="80" t="s">
        <v>3179</v>
      </c>
      <c r="AH330" s="80" t="s">
        <v>3797</v>
      </c>
      <c r="AI330" s="80">
        <v>115010</v>
      </c>
      <c r="AJ330" s="80">
        <v>743</v>
      </c>
      <c r="AK330" s="80">
        <v>6982</v>
      </c>
      <c r="AL330" s="80">
        <v>71</v>
      </c>
      <c r="AM330" s="80" t="s">
        <v>4098</v>
      </c>
      <c r="AN330" s="96" t="str">
        <f>HYPERLINK("https://www.youtube.com/watch?v=aJdmymO3TMc")</f>
        <v>https://www.youtube.com/watch?v=aJdmymO3TMc</v>
      </c>
      <c r="AO330" s="80" t="e">
        <f>REPLACE(INDEX(GroupVertices[Group],MATCH(Vertices[[#This Row],[Vertex]],GroupVertices[Vertex],0)),1,1,"")</f>
        <v>#N/A</v>
      </c>
      <c r="AP330" s="48"/>
      <c r="AQ330" s="49"/>
      <c r="AR330" s="48"/>
      <c r="AS330" s="49"/>
      <c r="AT330" s="48"/>
      <c r="AU330" s="49"/>
      <c r="AV330" s="48"/>
      <c r="AW330" s="49"/>
      <c r="AX330" s="48"/>
      <c r="AY330" s="48"/>
      <c r="AZ330" s="48"/>
      <c r="BA330" s="48"/>
      <c r="BB330" s="48"/>
      <c r="BC330" s="2"/>
      <c r="BD330" s="3"/>
      <c r="BE330" s="3"/>
      <c r="BF330" s="3"/>
      <c r="BG330" s="3"/>
    </row>
    <row r="331" spans="1:59" ht="15">
      <c r="A331" s="66" t="s">
        <v>783</v>
      </c>
      <c r="B331" s="67" t="s">
        <v>4461</v>
      </c>
      <c r="C331" s="67"/>
      <c r="D331" s="68">
        <v>707.5166738440522</v>
      </c>
      <c r="E331" s="70"/>
      <c r="F331" s="97" t="str">
        <f>HYPERLINK("https://i.ytimg.com/vi/3r3hU_gfcuA/default.jpg")</f>
        <v>https://i.ytimg.com/vi/3r3hU_gfcuA/default.jpg</v>
      </c>
      <c r="G331" s="120" t="s">
        <v>52</v>
      </c>
      <c r="H331" s="71" t="s">
        <v>1523</v>
      </c>
      <c r="I331" s="72"/>
      <c r="J331" s="72" t="s">
        <v>159</v>
      </c>
      <c r="K331" s="71" t="s">
        <v>1523</v>
      </c>
      <c r="L331" s="75">
        <v>213.72340425531914</v>
      </c>
      <c r="M331" s="76">
        <v>440.1345520019531</v>
      </c>
      <c r="N331" s="76">
        <v>8904.2861328125</v>
      </c>
      <c r="O331" s="77"/>
      <c r="P331" s="78"/>
      <c r="Q331" s="78"/>
      <c r="R331" s="82"/>
      <c r="S331" s="48"/>
      <c r="T331" s="48"/>
      <c r="U331" s="49"/>
      <c r="V331" s="49"/>
      <c r="W331" s="49"/>
      <c r="X331" s="49"/>
      <c r="Y331" s="49"/>
      <c r="Z331" s="49"/>
      <c r="AA331" s="73">
        <v>331</v>
      </c>
      <c r="AB331" s="73"/>
      <c r="AC331" s="74"/>
      <c r="AD331" s="80" t="s">
        <v>1523</v>
      </c>
      <c r="AE331" s="80" t="s">
        <v>2173</v>
      </c>
      <c r="AF331" s="80" t="s">
        <v>2759</v>
      </c>
      <c r="AG331" s="80" t="s">
        <v>3279</v>
      </c>
      <c r="AH331" s="80" t="s">
        <v>3937</v>
      </c>
      <c r="AI331" s="80">
        <v>34593</v>
      </c>
      <c r="AJ331" s="80">
        <v>69</v>
      </c>
      <c r="AK331" s="80">
        <v>150</v>
      </c>
      <c r="AL331" s="80">
        <v>69</v>
      </c>
      <c r="AM331" s="80" t="s">
        <v>4098</v>
      </c>
      <c r="AN331" s="96" t="str">
        <f>HYPERLINK("https://www.youtube.com/watch?v=3r3hU_gfcuA")</f>
        <v>https://www.youtube.com/watch?v=3r3hU_gfcuA</v>
      </c>
      <c r="AO331" s="80" t="e">
        <f>REPLACE(INDEX(GroupVertices[Group],MATCH(Vertices[[#This Row],[Vertex]],GroupVertices[Vertex],0)),1,1,"")</f>
        <v>#N/A</v>
      </c>
      <c r="AP331" s="48"/>
      <c r="AQ331" s="49"/>
      <c r="AR331" s="48"/>
      <c r="AS331" s="49"/>
      <c r="AT331" s="48"/>
      <c r="AU331" s="49"/>
      <c r="AV331" s="48"/>
      <c r="AW331" s="49"/>
      <c r="AX331" s="48"/>
      <c r="AY331" s="48"/>
      <c r="AZ331" s="48"/>
      <c r="BA331" s="48"/>
      <c r="BB331" s="48"/>
      <c r="BC331" s="2"/>
      <c r="BD331" s="3"/>
      <c r="BE331" s="3"/>
      <c r="BF331" s="3"/>
      <c r="BG331" s="3"/>
    </row>
    <row r="332" spans="1:59" ht="15">
      <c r="A332" s="66" t="s">
        <v>336</v>
      </c>
      <c r="B332" s="67" t="s">
        <v>4461</v>
      </c>
      <c r="C332" s="67"/>
      <c r="D332" s="68">
        <v>839.1846257254944</v>
      </c>
      <c r="E332" s="70"/>
      <c r="F332" s="97" t="str">
        <f>HYPERLINK("https://i.ytimg.com/vi/hTipXUHaR8s/default.jpg")</f>
        <v>https://i.ytimg.com/vi/hTipXUHaR8s/default.jpg</v>
      </c>
      <c r="G332" s="120" t="s">
        <v>52</v>
      </c>
      <c r="H332" s="71" t="s">
        <v>1038</v>
      </c>
      <c r="I332" s="72"/>
      <c r="J332" s="72" t="s">
        <v>159</v>
      </c>
      <c r="K332" s="71" t="s">
        <v>1038</v>
      </c>
      <c r="L332" s="75">
        <v>213.72340425531914</v>
      </c>
      <c r="M332" s="76">
        <v>8019.92236328125</v>
      </c>
      <c r="N332" s="76">
        <v>4395.974609375</v>
      </c>
      <c r="O332" s="77"/>
      <c r="P332" s="78"/>
      <c r="Q332" s="78"/>
      <c r="R332" s="82"/>
      <c r="S332" s="48"/>
      <c r="T332" s="48"/>
      <c r="U332" s="49"/>
      <c r="V332" s="49"/>
      <c r="W332" s="49"/>
      <c r="X332" s="49"/>
      <c r="Y332" s="49"/>
      <c r="Z332" s="49"/>
      <c r="AA332" s="73">
        <v>332</v>
      </c>
      <c r="AB332" s="73"/>
      <c r="AC332" s="74"/>
      <c r="AD332" s="80" t="s">
        <v>1038</v>
      </c>
      <c r="AE332" s="80" t="s">
        <v>1750</v>
      </c>
      <c r="AF332" s="80" t="s">
        <v>2380</v>
      </c>
      <c r="AG332" s="80" t="s">
        <v>2966</v>
      </c>
      <c r="AH332" s="80" t="s">
        <v>3453</v>
      </c>
      <c r="AI332" s="80">
        <v>152457</v>
      </c>
      <c r="AJ332" s="80">
        <v>41</v>
      </c>
      <c r="AK332" s="80">
        <v>235</v>
      </c>
      <c r="AL332" s="80">
        <v>66</v>
      </c>
      <c r="AM332" s="80" t="s">
        <v>4098</v>
      </c>
      <c r="AN332" s="96" t="str">
        <f>HYPERLINK("https://www.youtube.com/watch?v=hTipXUHaR8s")</f>
        <v>https://www.youtube.com/watch?v=hTipXUHaR8s</v>
      </c>
      <c r="AO332" s="80" t="e">
        <f>REPLACE(INDEX(GroupVertices[Group],MATCH(Vertices[[#This Row],[Vertex]],GroupVertices[Vertex],0)),1,1,"")</f>
        <v>#N/A</v>
      </c>
      <c r="AP332" s="48"/>
      <c r="AQ332" s="49"/>
      <c r="AR332" s="48"/>
      <c r="AS332" s="49"/>
      <c r="AT332" s="48"/>
      <c r="AU332" s="49"/>
      <c r="AV332" s="48"/>
      <c r="AW332" s="49"/>
      <c r="AX332" s="48"/>
      <c r="AY332" s="48"/>
      <c r="AZ332" s="48"/>
      <c r="BA332" s="48"/>
      <c r="BB332" s="48"/>
      <c r="BC332" s="2"/>
      <c r="BD332" s="3"/>
      <c r="BE332" s="3"/>
      <c r="BF332" s="3"/>
      <c r="BG332" s="3"/>
    </row>
    <row r="333" spans="1:59" ht="15">
      <c r="A333" s="66" t="s">
        <v>430</v>
      </c>
      <c r="B333" s="67" t="s">
        <v>4461</v>
      </c>
      <c r="C333" s="67"/>
      <c r="D333" s="68">
        <v>872.974329338475</v>
      </c>
      <c r="E333" s="70"/>
      <c r="F333" s="97" t="str">
        <f>HYPERLINK("https://i.ytimg.com/vi/CjnsX81qWUg/default.jpg")</f>
        <v>https://i.ytimg.com/vi/CjnsX81qWUg/default.jpg</v>
      </c>
      <c r="G333" s="120" t="s">
        <v>52</v>
      </c>
      <c r="H333" s="71" t="s">
        <v>1138</v>
      </c>
      <c r="I333" s="72"/>
      <c r="J333" s="72" t="s">
        <v>159</v>
      </c>
      <c r="K333" s="71" t="s">
        <v>1138</v>
      </c>
      <c r="L333" s="75">
        <v>213.72340425531914</v>
      </c>
      <c r="M333" s="76">
        <v>9304.6396484375</v>
      </c>
      <c r="N333" s="76">
        <v>4047.67822265625</v>
      </c>
      <c r="O333" s="77"/>
      <c r="P333" s="78"/>
      <c r="Q333" s="78"/>
      <c r="R333" s="82"/>
      <c r="S333" s="48"/>
      <c r="T333" s="48"/>
      <c r="U333" s="49"/>
      <c r="V333" s="49"/>
      <c r="W333" s="49"/>
      <c r="X333" s="49"/>
      <c r="Y333" s="49"/>
      <c r="Z333" s="49"/>
      <c r="AA333" s="73">
        <v>333</v>
      </c>
      <c r="AB333" s="73"/>
      <c r="AC333" s="74"/>
      <c r="AD333" s="80" t="s">
        <v>1138</v>
      </c>
      <c r="AE333" s="80" t="s">
        <v>1832</v>
      </c>
      <c r="AF333" s="80" t="s">
        <v>2454</v>
      </c>
      <c r="AG333" s="80" t="s">
        <v>3020</v>
      </c>
      <c r="AH333" s="80" t="s">
        <v>3551</v>
      </c>
      <c r="AI333" s="80">
        <v>223078</v>
      </c>
      <c r="AJ333" s="80">
        <v>99</v>
      </c>
      <c r="AK333" s="80">
        <v>867</v>
      </c>
      <c r="AL333" s="80">
        <v>59</v>
      </c>
      <c r="AM333" s="80" t="s">
        <v>4098</v>
      </c>
      <c r="AN333" s="96" t="str">
        <f>HYPERLINK("https://www.youtube.com/watch?v=CjnsX81qWUg")</f>
        <v>https://www.youtube.com/watch?v=CjnsX81qWUg</v>
      </c>
      <c r="AO333" s="80" t="e">
        <f>REPLACE(INDEX(GroupVertices[Group],MATCH(Vertices[[#This Row],[Vertex]],GroupVertices[Vertex],0)),1,1,"")</f>
        <v>#N/A</v>
      </c>
      <c r="AP333" s="48"/>
      <c r="AQ333" s="49"/>
      <c r="AR333" s="48"/>
      <c r="AS333" s="49"/>
      <c r="AT333" s="48"/>
      <c r="AU333" s="49"/>
      <c r="AV333" s="48"/>
      <c r="AW333" s="49"/>
      <c r="AX333" s="48"/>
      <c r="AY333" s="48"/>
      <c r="AZ333" s="48"/>
      <c r="BA333" s="48"/>
      <c r="BB333" s="48"/>
      <c r="BC333" s="2"/>
      <c r="BD333" s="3"/>
      <c r="BE333" s="3"/>
      <c r="BF333" s="3"/>
      <c r="BG333" s="3"/>
    </row>
    <row r="334" spans="1:59" ht="15">
      <c r="A334" s="66" t="s">
        <v>463</v>
      </c>
      <c r="B334" s="67" t="s">
        <v>4461</v>
      </c>
      <c r="C334" s="67"/>
      <c r="D334" s="68">
        <v>716.4374700251826</v>
      </c>
      <c r="E334" s="70"/>
      <c r="F334" s="97" t="str">
        <f>HYPERLINK("https://i.ytimg.com/vi/2tF3Ez0Fzvk/default_live.jpg")</f>
        <v>https://i.ytimg.com/vi/2tF3Ez0Fzvk/default_live.jpg</v>
      </c>
      <c r="G334" s="120" t="s">
        <v>52</v>
      </c>
      <c r="H334" s="71" t="s">
        <v>1174</v>
      </c>
      <c r="I334" s="72"/>
      <c r="J334" s="72" t="s">
        <v>159</v>
      </c>
      <c r="K334" s="71" t="s">
        <v>1174</v>
      </c>
      <c r="L334" s="75">
        <v>213.72340425531914</v>
      </c>
      <c r="M334" s="76">
        <v>4229.779296875</v>
      </c>
      <c r="N334" s="76">
        <v>2705.3486328125</v>
      </c>
      <c r="O334" s="77"/>
      <c r="P334" s="78"/>
      <c r="Q334" s="78"/>
      <c r="R334" s="82"/>
      <c r="S334" s="48"/>
      <c r="T334" s="48"/>
      <c r="U334" s="49"/>
      <c r="V334" s="49"/>
      <c r="W334" s="49"/>
      <c r="X334" s="49"/>
      <c r="Y334" s="49"/>
      <c r="Z334" s="49"/>
      <c r="AA334" s="73">
        <v>334</v>
      </c>
      <c r="AB334" s="73"/>
      <c r="AC334" s="74"/>
      <c r="AD334" s="80" t="s">
        <v>1174</v>
      </c>
      <c r="AE334" s="80" t="s">
        <v>1863</v>
      </c>
      <c r="AF334" s="80" t="s">
        <v>2481</v>
      </c>
      <c r="AG334" s="80" t="s">
        <v>3041</v>
      </c>
      <c r="AH334" s="80" t="s">
        <v>3587</v>
      </c>
      <c r="AI334" s="80">
        <v>38250</v>
      </c>
      <c r="AJ334" s="80">
        <v>0</v>
      </c>
      <c r="AK334" s="80">
        <v>7481</v>
      </c>
      <c r="AL334" s="80">
        <v>58</v>
      </c>
      <c r="AM334" s="80" t="s">
        <v>4098</v>
      </c>
      <c r="AN334" s="96" t="str">
        <f>HYPERLINK("https://www.youtube.com/watch?v=2tF3Ez0Fzvk")</f>
        <v>https://www.youtube.com/watch?v=2tF3Ez0Fzvk</v>
      </c>
      <c r="AO334" s="80" t="e">
        <f>REPLACE(INDEX(GroupVertices[Group],MATCH(Vertices[[#This Row],[Vertex]],GroupVertices[Vertex],0)),1,1,"")</f>
        <v>#N/A</v>
      </c>
      <c r="AP334" s="48"/>
      <c r="AQ334" s="49"/>
      <c r="AR334" s="48"/>
      <c r="AS334" s="49"/>
      <c r="AT334" s="48"/>
      <c r="AU334" s="49"/>
      <c r="AV334" s="48"/>
      <c r="AW334" s="49"/>
      <c r="AX334" s="48"/>
      <c r="AY334" s="48"/>
      <c r="AZ334" s="48"/>
      <c r="BA334" s="48"/>
      <c r="BB334" s="48"/>
      <c r="BC334" s="2"/>
      <c r="BD334" s="3"/>
      <c r="BE334" s="3"/>
      <c r="BF334" s="3"/>
      <c r="BG334" s="3"/>
    </row>
    <row r="335" spans="1:59" ht="15">
      <c r="A335" s="66" t="s">
        <v>771</v>
      </c>
      <c r="B335" s="67" t="s">
        <v>4461</v>
      </c>
      <c r="C335" s="67"/>
      <c r="D335" s="68">
        <v>927.177879180256</v>
      </c>
      <c r="E335" s="70"/>
      <c r="F335" s="97" t="str">
        <f>HYPERLINK("https://i.ytimg.com/vi/RicajFzoenk/default.jpg")</f>
        <v>https://i.ytimg.com/vi/RicajFzoenk/default.jpg</v>
      </c>
      <c r="G335" s="120" t="s">
        <v>52</v>
      </c>
      <c r="H335" s="71" t="s">
        <v>1511</v>
      </c>
      <c r="I335" s="72"/>
      <c r="J335" s="72" t="s">
        <v>159</v>
      </c>
      <c r="K335" s="71" t="s">
        <v>1511</v>
      </c>
      <c r="L335" s="75">
        <v>213.72340425531914</v>
      </c>
      <c r="M335" s="76">
        <v>3590.33203125</v>
      </c>
      <c r="N335" s="76">
        <v>8897.4521484375</v>
      </c>
      <c r="O335" s="77"/>
      <c r="P335" s="78"/>
      <c r="Q335" s="78"/>
      <c r="R335" s="82"/>
      <c r="S335" s="48"/>
      <c r="T335" s="48"/>
      <c r="U335" s="49"/>
      <c r="V335" s="49"/>
      <c r="W335" s="49"/>
      <c r="X335" s="49"/>
      <c r="Y335" s="49"/>
      <c r="Z335" s="49"/>
      <c r="AA335" s="73">
        <v>335</v>
      </c>
      <c r="AB335" s="73"/>
      <c r="AC335" s="74"/>
      <c r="AD335" s="80" t="s">
        <v>1511</v>
      </c>
      <c r="AE335" s="80" t="s">
        <v>2161</v>
      </c>
      <c r="AF335" s="80" t="s">
        <v>2747</v>
      </c>
      <c r="AG335" s="80" t="s">
        <v>3271</v>
      </c>
      <c r="AH335" s="80" t="s">
        <v>3925</v>
      </c>
      <c r="AI335" s="80">
        <v>410806</v>
      </c>
      <c r="AJ335" s="80">
        <v>201</v>
      </c>
      <c r="AK335" s="80">
        <v>1654</v>
      </c>
      <c r="AL335" s="80">
        <v>56</v>
      </c>
      <c r="AM335" s="80" t="s">
        <v>4098</v>
      </c>
      <c r="AN335" s="96" t="str">
        <f>HYPERLINK("https://www.youtube.com/watch?v=RicajFzoenk")</f>
        <v>https://www.youtube.com/watch?v=RicajFzoenk</v>
      </c>
      <c r="AO335" s="80" t="e">
        <f>REPLACE(INDEX(GroupVertices[Group],MATCH(Vertices[[#This Row],[Vertex]],GroupVertices[Vertex],0)),1,1,"")</f>
        <v>#N/A</v>
      </c>
      <c r="AP335" s="48"/>
      <c r="AQ335" s="49"/>
      <c r="AR335" s="48"/>
      <c r="AS335" s="49"/>
      <c r="AT335" s="48"/>
      <c r="AU335" s="49"/>
      <c r="AV335" s="48"/>
      <c r="AW335" s="49"/>
      <c r="AX335" s="48"/>
      <c r="AY335" s="48"/>
      <c r="AZ335" s="48"/>
      <c r="BA335" s="48"/>
      <c r="BB335" s="48"/>
      <c r="BC335" s="2"/>
      <c r="BD335" s="3"/>
      <c r="BE335" s="3"/>
      <c r="BF335" s="3"/>
      <c r="BG335" s="3"/>
    </row>
    <row r="336" spans="1:59" ht="15">
      <c r="A336" s="66" t="s">
        <v>772</v>
      </c>
      <c r="B336" s="67" t="s">
        <v>4461</v>
      </c>
      <c r="C336" s="67"/>
      <c r="D336" s="68">
        <v>895.7183110082174</v>
      </c>
      <c r="E336" s="70"/>
      <c r="F336" s="97" t="str">
        <f>HYPERLINK("https://i.ytimg.com/vi/reuU2zUsEPM/default.jpg")</f>
        <v>https://i.ytimg.com/vi/reuU2zUsEPM/default.jpg</v>
      </c>
      <c r="G336" s="120" t="s">
        <v>52</v>
      </c>
      <c r="H336" s="71" t="s">
        <v>1512</v>
      </c>
      <c r="I336" s="72"/>
      <c r="J336" s="72" t="s">
        <v>159</v>
      </c>
      <c r="K336" s="71" t="s">
        <v>1512</v>
      </c>
      <c r="L336" s="75">
        <v>213.72340425531914</v>
      </c>
      <c r="M336" s="76">
        <v>1061.6634521484375</v>
      </c>
      <c r="N336" s="76">
        <v>9446.552734375</v>
      </c>
      <c r="O336" s="77"/>
      <c r="P336" s="78"/>
      <c r="Q336" s="78"/>
      <c r="R336" s="82"/>
      <c r="S336" s="48"/>
      <c r="T336" s="48"/>
      <c r="U336" s="49"/>
      <c r="V336" s="49"/>
      <c r="W336" s="49"/>
      <c r="X336" s="49"/>
      <c r="Y336" s="49"/>
      <c r="Z336" s="49"/>
      <c r="AA336" s="73">
        <v>336</v>
      </c>
      <c r="AB336" s="73"/>
      <c r="AC336" s="74"/>
      <c r="AD336" s="80" t="s">
        <v>1512</v>
      </c>
      <c r="AE336" s="80" t="s">
        <v>2162</v>
      </c>
      <c r="AF336" s="80" t="s">
        <v>2748</v>
      </c>
      <c r="AG336" s="80" t="s">
        <v>3272</v>
      </c>
      <c r="AH336" s="80" t="s">
        <v>3926</v>
      </c>
      <c r="AI336" s="80">
        <v>288222</v>
      </c>
      <c r="AJ336" s="80">
        <v>56</v>
      </c>
      <c r="AK336" s="80">
        <v>642</v>
      </c>
      <c r="AL336" s="80">
        <v>55</v>
      </c>
      <c r="AM336" s="80" t="s">
        <v>4098</v>
      </c>
      <c r="AN336" s="96" t="str">
        <f>HYPERLINK("https://www.youtube.com/watch?v=reuU2zUsEPM")</f>
        <v>https://www.youtube.com/watch?v=reuU2zUsEPM</v>
      </c>
      <c r="AO336" s="80" t="e">
        <f>REPLACE(INDEX(GroupVertices[Group],MATCH(Vertices[[#This Row],[Vertex]],GroupVertices[Vertex],0)),1,1,"")</f>
        <v>#N/A</v>
      </c>
      <c r="AP336" s="48"/>
      <c r="AQ336" s="49"/>
      <c r="AR336" s="48"/>
      <c r="AS336" s="49"/>
      <c r="AT336" s="48"/>
      <c r="AU336" s="49"/>
      <c r="AV336" s="48"/>
      <c r="AW336" s="49"/>
      <c r="AX336" s="48"/>
      <c r="AY336" s="48"/>
      <c r="AZ336" s="48"/>
      <c r="BA336" s="48"/>
      <c r="BB336" s="48"/>
      <c r="BC336" s="2"/>
      <c r="BD336" s="3"/>
      <c r="BE336" s="3"/>
      <c r="BF336" s="3"/>
      <c r="BG336" s="3"/>
    </row>
    <row r="337" spans="1:59" ht="15">
      <c r="A337" s="66" t="s">
        <v>544</v>
      </c>
      <c r="B337" s="67" t="s">
        <v>4461</v>
      </c>
      <c r="C337" s="67"/>
      <c r="D337" s="68">
        <v>826.5026455885667</v>
      </c>
      <c r="E337" s="70"/>
      <c r="F337" s="97" t="str">
        <f>HYPERLINK("https://i.ytimg.com/vi/sV_lZyd_T8U/default.jpg")</f>
        <v>https://i.ytimg.com/vi/sV_lZyd_T8U/default.jpg</v>
      </c>
      <c r="G337" s="120" t="s">
        <v>52</v>
      </c>
      <c r="H337" s="71" t="s">
        <v>1276</v>
      </c>
      <c r="I337" s="72"/>
      <c r="J337" s="72" t="s">
        <v>159</v>
      </c>
      <c r="K337" s="71" t="s">
        <v>1276</v>
      </c>
      <c r="L337" s="75">
        <v>213.72340425531914</v>
      </c>
      <c r="M337" s="76">
        <v>3599.274658203125</v>
      </c>
      <c r="N337" s="76">
        <v>6699.06640625</v>
      </c>
      <c r="O337" s="77"/>
      <c r="P337" s="78"/>
      <c r="Q337" s="78"/>
      <c r="R337" s="82"/>
      <c r="S337" s="48"/>
      <c r="T337" s="48"/>
      <c r="U337" s="49"/>
      <c r="V337" s="49"/>
      <c r="W337" s="49"/>
      <c r="X337" s="49"/>
      <c r="Y337" s="49"/>
      <c r="Z337" s="49"/>
      <c r="AA337" s="73">
        <v>337</v>
      </c>
      <c r="AB337" s="73"/>
      <c r="AC337" s="74"/>
      <c r="AD337" s="80" t="s">
        <v>1276</v>
      </c>
      <c r="AE337" s="80" t="s">
        <v>1951</v>
      </c>
      <c r="AF337" s="80" t="s">
        <v>2559</v>
      </c>
      <c r="AG337" s="80" t="s">
        <v>3109</v>
      </c>
      <c r="AH337" s="80" t="s">
        <v>3688</v>
      </c>
      <c r="AI337" s="80">
        <v>132161</v>
      </c>
      <c r="AJ337" s="80">
        <v>29</v>
      </c>
      <c r="AK337" s="80">
        <v>329</v>
      </c>
      <c r="AL337" s="80">
        <v>55</v>
      </c>
      <c r="AM337" s="80" t="s">
        <v>4098</v>
      </c>
      <c r="AN337" s="96" t="str">
        <f>HYPERLINK("https://www.youtube.com/watch?v=sV_lZyd_T8U")</f>
        <v>https://www.youtube.com/watch?v=sV_lZyd_T8U</v>
      </c>
      <c r="AO337" s="80" t="e">
        <f>REPLACE(INDEX(GroupVertices[Group],MATCH(Vertices[[#This Row],[Vertex]],GroupVertices[Vertex],0)),1,1,"")</f>
        <v>#N/A</v>
      </c>
      <c r="AP337" s="48"/>
      <c r="AQ337" s="49"/>
      <c r="AR337" s="48"/>
      <c r="AS337" s="49"/>
      <c r="AT337" s="48"/>
      <c r="AU337" s="49"/>
      <c r="AV337" s="48"/>
      <c r="AW337" s="49"/>
      <c r="AX337" s="48"/>
      <c r="AY337" s="48"/>
      <c r="AZ337" s="48"/>
      <c r="BA337" s="48"/>
      <c r="BB337" s="48"/>
      <c r="BC337" s="2"/>
      <c r="BD337" s="3"/>
      <c r="BE337" s="3"/>
      <c r="BF337" s="3"/>
      <c r="BG337" s="3"/>
    </row>
    <row r="338" spans="1:59" ht="15">
      <c r="A338" s="66" t="s">
        <v>489</v>
      </c>
      <c r="B338" s="67" t="s">
        <v>4461</v>
      </c>
      <c r="C338" s="67"/>
      <c r="D338" s="68">
        <v>812.5353001054726</v>
      </c>
      <c r="E338" s="70"/>
      <c r="F338" s="97" t="str">
        <f>HYPERLINK("https://i.ytimg.com/vi/OIVoKIMzxYw/default.jpg")</f>
        <v>https://i.ytimg.com/vi/OIVoKIMzxYw/default.jpg</v>
      </c>
      <c r="G338" s="120" t="s">
        <v>52</v>
      </c>
      <c r="H338" s="71" t="s">
        <v>1205</v>
      </c>
      <c r="I338" s="72"/>
      <c r="J338" s="72" t="s">
        <v>159</v>
      </c>
      <c r="K338" s="71" t="s">
        <v>1205</v>
      </c>
      <c r="L338" s="75">
        <v>213.72340425531914</v>
      </c>
      <c r="M338" s="76">
        <v>6838.09619140625</v>
      </c>
      <c r="N338" s="76">
        <v>614.41796875</v>
      </c>
      <c r="O338" s="77"/>
      <c r="P338" s="78"/>
      <c r="Q338" s="78"/>
      <c r="R338" s="82"/>
      <c r="S338" s="48"/>
      <c r="T338" s="48"/>
      <c r="U338" s="49"/>
      <c r="V338" s="49"/>
      <c r="W338" s="49"/>
      <c r="X338" s="49"/>
      <c r="Y338" s="49"/>
      <c r="Z338" s="49"/>
      <c r="AA338" s="73">
        <v>338</v>
      </c>
      <c r="AB338" s="73"/>
      <c r="AC338" s="74"/>
      <c r="AD338" s="80" t="s">
        <v>1205</v>
      </c>
      <c r="AE338" s="80" t="s">
        <v>1889</v>
      </c>
      <c r="AF338" s="80" t="s">
        <v>2503</v>
      </c>
      <c r="AG338" s="80" t="s">
        <v>3060</v>
      </c>
      <c r="AH338" s="80" t="s">
        <v>3617</v>
      </c>
      <c r="AI338" s="80">
        <v>112920</v>
      </c>
      <c r="AJ338" s="80">
        <v>172</v>
      </c>
      <c r="AK338" s="80">
        <v>1674</v>
      </c>
      <c r="AL338" s="80">
        <v>54</v>
      </c>
      <c r="AM338" s="80" t="s">
        <v>4098</v>
      </c>
      <c r="AN338" s="96" t="str">
        <f>HYPERLINK("https://www.youtube.com/watch?v=OIVoKIMzxYw")</f>
        <v>https://www.youtube.com/watch?v=OIVoKIMzxYw</v>
      </c>
      <c r="AO338" s="80" t="e">
        <f>REPLACE(INDEX(GroupVertices[Group],MATCH(Vertices[[#This Row],[Vertex]],GroupVertices[Vertex],0)),1,1,"")</f>
        <v>#N/A</v>
      </c>
      <c r="AP338" s="48"/>
      <c r="AQ338" s="49"/>
      <c r="AR338" s="48"/>
      <c r="AS338" s="49"/>
      <c r="AT338" s="48"/>
      <c r="AU338" s="49"/>
      <c r="AV338" s="48"/>
      <c r="AW338" s="49"/>
      <c r="AX338" s="48"/>
      <c r="AY338" s="48"/>
      <c r="AZ338" s="48"/>
      <c r="BA338" s="48"/>
      <c r="BB338" s="48"/>
      <c r="BC338" s="2"/>
      <c r="BD338" s="3"/>
      <c r="BE338" s="3"/>
      <c r="BF338" s="3"/>
      <c r="BG338" s="3"/>
    </row>
    <row r="339" spans="1:59" ht="15">
      <c r="A339" s="66" t="s">
        <v>578</v>
      </c>
      <c r="B339" s="67" t="s">
        <v>4461</v>
      </c>
      <c r="C339" s="67"/>
      <c r="D339" s="68">
        <v>932.9461062671678</v>
      </c>
      <c r="E339" s="70"/>
      <c r="F339" s="97" t="str">
        <f>HYPERLINK("https://i.ytimg.com/vi/kaO3Jp2O39g/default.jpg")</f>
        <v>https://i.ytimg.com/vi/kaO3Jp2O39g/default.jpg</v>
      </c>
      <c r="G339" s="120" t="s">
        <v>52</v>
      </c>
      <c r="H339" s="71" t="s">
        <v>1313</v>
      </c>
      <c r="I339" s="72"/>
      <c r="J339" s="72" t="s">
        <v>159</v>
      </c>
      <c r="K339" s="71" t="s">
        <v>1313</v>
      </c>
      <c r="L339" s="75">
        <v>213.72340425531914</v>
      </c>
      <c r="M339" s="76">
        <v>8185.99462890625</v>
      </c>
      <c r="N339" s="76">
        <v>6583.82958984375</v>
      </c>
      <c r="O339" s="77"/>
      <c r="P339" s="78"/>
      <c r="Q339" s="78"/>
      <c r="R339" s="82"/>
      <c r="S339" s="48"/>
      <c r="T339" s="48"/>
      <c r="U339" s="49"/>
      <c r="V339" s="49"/>
      <c r="W339" s="49"/>
      <c r="X339" s="49"/>
      <c r="Y339" s="49"/>
      <c r="Z339" s="49"/>
      <c r="AA339" s="73">
        <v>339</v>
      </c>
      <c r="AB339" s="73"/>
      <c r="AC339" s="74"/>
      <c r="AD339" s="80" t="s">
        <v>1313</v>
      </c>
      <c r="AE339" s="80" t="s">
        <v>1981</v>
      </c>
      <c r="AF339" s="80" t="s">
        <v>2584</v>
      </c>
      <c r="AG339" s="80" t="s">
        <v>3127</v>
      </c>
      <c r="AH339" s="80" t="s">
        <v>3724</v>
      </c>
      <c r="AI339" s="80">
        <v>438386</v>
      </c>
      <c r="AJ339" s="80">
        <v>106</v>
      </c>
      <c r="AK339" s="80">
        <v>2787</v>
      </c>
      <c r="AL339" s="80">
        <v>51</v>
      </c>
      <c r="AM339" s="80" t="s">
        <v>4098</v>
      </c>
      <c r="AN339" s="96" t="str">
        <f>HYPERLINK("https://www.youtube.com/watch?v=kaO3Jp2O39g")</f>
        <v>https://www.youtube.com/watch?v=kaO3Jp2O39g</v>
      </c>
      <c r="AO339" s="80" t="e">
        <f>REPLACE(INDEX(GroupVertices[Group],MATCH(Vertices[[#This Row],[Vertex]],GroupVertices[Vertex],0)),1,1,"")</f>
        <v>#N/A</v>
      </c>
      <c r="AP339" s="48"/>
      <c r="AQ339" s="49"/>
      <c r="AR339" s="48"/>
      <c r="AS339" s="49"/>
      <c r="AT339" s="48"/>
      <c r="AU339" s="49"/>
      <c r="AV339" s="48"/>
      <c r="AW339" s="49"/>
      <c r="AX339" s="48"/>
      <c r="AY339" s="48"/>
      <c r="AZ339" s="48"/>
      <c r="BA339" s="48"/>
      <c r="BB339" s="48"/>
      <c r="BC339" s="2"/>
      <c r="BD339" s="3"/>
      <c r="BE339" s="3"/>
      <c r="BF339" s="3"/>
      <c r="BG339" s="3"/>
    </row>
    <row r="340" spans="1:59" ht="15">
      <c r="A340" s="66" t="s">
        <v>676</v>
      </c>
      <c r="B340" s="67" t="s">
        <v>4461</v>
      </c>
      <c r="C340" s="67"/>
      <c r="D340" s="68">
        <v>754.4864868563888</v>
      </c>
      <c r="E340" s="70"/>
      <c r="F340" s="97" t="str">
        <f>HYPERLINK("https://i.ytimg.com/vi/bGoTBLYfPBk/default.jpg")</f>
        <v>https://i.ytimg.com/vi/bGoTBLYfPBk/default.jpg</v>
      </c>
      <c r="G340" s="120" t="s">
        <v>52</v>
      </c>
      <c r="H340" s="71" t="s">
        <v>1417</v>
      </c>
      <c r="I340" s="72"/>
      <c r="J340" s="72" t="s">
        <v>159</v>
      </c>
      <c r="K340" s="71" t="s">
        <v>1417</v>
      </c>
      <c r="L340" s="75">
        <v>213.72340425531914</v>
      </c>
      <c r="M340" s="76">
        <v>8958.529296875</v>
      </c>
      <c r="N340" s="76">
        <v>1835.0765380859375</v>
      </c>
      <c r="O340" s="77"/>
      <c r="P340" s="78"/>
      <c r="Q340" s="78"/>
      <c r="R340" s="82"/>
      <c r="S340" s="48"/>
      <c r="T340" s="48"/>
      <c r="U340" s="49"/>
      <c r="V340" s="49"/>
      <c r="W340" s="49"/>
      <c r="X340" s="49"/>
      <c r="Y340" s="49"/>
      <c r="Z340" s="49"/>
      <c r="AA340" s="73">
        <v>340</v>
      </c>
      <c r="AB340" s="73"/>
      <c r="AC340" s="74"/>
      <c r="AD340" s="80" t="s">
        <v>1417</v>
      </c>
      <c r="AE340" s="80" t="s">
        <v>2076</v>
      </c>
      <c r="AF340" s="80" t="s">
        <v>2666</v>
      </c>
      <c r="AG340" s="80" t="s">
        <v>3206</v>
      </c>
      <c r="AH340" s="80" t="s">
        <v>3829</v>
      </c>
      <c r="AI340" s="80">
        <v>58719</v>
      </c>
      <c r="AJ340" s="80">
        <v>32</v>
      </c>
      <c r="AK340" s="80">
        <v>420</v>
      </c>
      <c r="AL340" s="80">
        <v>50</v>
      </c>
      <c r="AM340" s="80" t="s">
        <v>4098</v>
      </c>
      <c r="AN340" s="96" t="str">
        <f>HYPERLINK("https://www.youtube.com/watch?v=bGoTBLYfPBk")</f>
        <v>https://www.youtube.com/watch?v=bGoTBLYfPBk</v>
      </c>
      <c r="AO340" s="80" t="e">
        <f>REPLACE(INDEX(GroupVertices[Group],MATCH(Vertices[[#This Row],[Vertex]],GroupVertices[Vertex],0)),1,1,"")</f>
        <v>#N/A</v>
      </c>
      <c r="AP340" s="48"/>
      <c r="AQ340" s="49"/>
      <c r="AR340" s="48"/>
      <c r="AS340" s="49"/>
      <c r="AT340" s="48"/>
      <c r="AU340" s="49"/>
      <c r="AV340" s="48"/>
      <c r="AW340" s="49"/>
      <c r="AX340" s="48"/>
      <c r="AY340" s="48"/>
      <c r="AZ340" s="48"/>
      <c r="BA340" s="48"/>
      <c r="BB340" s="48"/>
      <c r="BC340" s="2"/>
      <c r="BD340" s="3"/>
      <c r="BE340" s="3"/>
      <c r="BF340" s="3"/>
      <c r="BG340" s="3"/>
    </row>
    <row r="341" spans="1:59" ht="15">
      <c r="A341" s="66" t="s">
        <v>410</v>
      </c>
      <c r="B341" s="67" t="s">
        <v>4461</v>
      </c>
      <c r="C341" s="67"/>
      <c r="D341" s="68">
        <v>898.4696707466621</v>
      </c>
      <c r="E341" s="70"/>
      <c r="F341" s="97" t="str">
        <f>HYPERLINK("https://i.ytimg.com/vi/WQkI5QdojII/default.jpg")</f>
        <v>https://i.ytimg.com/vi/WQkI5QdojII/default.jpg</v>
      </c>
      <c r="G341" s="120" t="s">
        <v>52</v>
      </c>
      <c r="H341" s="71" t="s">
        <v>1118</v>
      </c>
      <c r="I341" s="72"/>
      <c r="J341" s="72" t="s">
        <v>159</v>
      </c>
      <c r="K341" s="71" t="s">
        <v>1118</v>
      </c>
      <c r="L341" s="75">
        <v>213.72340425531914</v>
      </c>
      <c r="M341" s="76">
        <v>9585.7275390625</v>
      </c>
      <c r="N341" s="76">
        <v>5947.4267578125</v>
      </c>
      <c r="O341" s="77"/>
      <c r="P341" s="78"/>
      <c r="Q341" s="78"/>
      <c r="R341" s="82"/>
      <c r="S341" s="48"/>
      <c r="T341" s="48"/>
      <c r="U341" s="49"/>
      <c r="V341" s="49"/>
      <c r="W341" s="49"/>
      <c r="X341" s="49"/>
      <c r="Y341" s="49"/>
      <c r="Z341" s="49"/>
      <c r="AA341" s="73">
        <v>341</v>
      </c>
      <c r="AB341" s="73"/>
      <c r="AC341" s="74"/>
      <c r="AD341" s="80" t="s">
        <v>1118</v>
      </c>
      <c r="AE341" s="80" t="s">
        <v>1815</v>
      </c>
      <c r="AF341" s="80" t="s">
        <v>2436</v>
      </c>
      <c r="AG341" s="80" t="s">
        <v>2917</v>
      </c>
      <c r="AH341" s="80" t="s">
        <v>3531</v>
      </c>
      <c r="AI341" s="80">
        <v>297295</v>
      </c>
      <c r="AJ341" s="80">
        <v>107</v>
      </c>
      <c r="AK341" s="80">
        <v>972</v>
      </c>
      <c r="AL341" s="80">
        <v>49</v>
      </c>
      <c r="AM341" s="80" t="s">
        <v>4098</v>
      </c>
      <c r="AN341" s="96" t="str">
        <f>HYPERLINK("https://www.youtube.com/watch?v=WQkI5QdojII")</f>
        <v>https://www.youtube.com/watch?v=WQkI5QdojII</v>
      </c>
      <c r="AO341" s="80" t="e">
        <f>REPLACE(INDEX(GroupVertices[Group],MATCH(Vertices[[#This Row],[Vertex]],GroupVertices[Vertex],0)),1,1,"")</f>
        <v>#N/A</v>
      </c>
      <c r="AP341" s="48"/>
      <c r="AQ341" s="49"/>
      <c r="AR341" s="48"/>
      <c r="AS341" s="49"/>
      <c r="AT341" s="48"/>
      <c r="AU341" s="49"/>
      <c r="AV341" s="48"/>
      <c r="AW341" s="49"/>
      <c r="AX341" s="48"/>
      <c r="AY341" s="48"/>
      <c r="AZ341" s="48"/>
      <c r="BA341" s="48"/>
      <c r="BB341" s="48"/>
      <c r="BC341" s="2"/>
      <c r="BD341" s="3"/>
      <c r="BE341" s="3"/>
      <c r="BF341" s="3"/>
      <c r="BG341" s="3"/>
    </row>
    <row r="342" spans="1:59" ht="15">
      <c r="A342" s="66" t="s">
        <v>408</v>
      </c>
      <c r="B342" s="67" t="s">
        <v>4461</v>
      </c>
      <c r="C342" s="67"/>
      <c r="D342" s="68">
        <v>849.7323616163202</v>
      </c>
      <c r="E342" s="70"/>
      <c r="F342" s="97" t="str">
        <f>HYPERLINK("https://i.ytimg.com/vi/T5lRLA_Vn7o/default.jpg")</f>
        <v>https://i.ytimg.com/vi/T5lRLA_Vn7o/default.jpg</v>
      </c>
      <c r="G342" s="120" t="s">
        <v>52</v>
      </c>
      <c r="H342" s="71" t="s">
        <v>1116</v>
      </c>
      <c r="I342" s="72"/>
      <c r="J342" s="72" t="s">
        <v>159</v>
      </c>
      <c r="K342" s="71" t="s">
        <v>1116</v>
      </c>
      <c r="L342" s="75">
        <v>213.72340425531914</v>
      </c>
      <c r="M342" s="76">
        <v>9137.83203125</v>
      </c>
      <c r="N342" s="76">
        <v>3585.33203125</v>
      </c>
      <c r="O342" s="77"/>
      <c r="P342" s="78"/>
      <c r="Q342" s="78"/>
      <c r="R342" s="82"/>
      <c r="S342" s="48"/>
      <c r="T342" s="48"/>
      <c r="U342" s="49"/>
      <c r="V342" s="49"/>
      <c r="W342" s="49"/>
      <c r="X342" s="49"/>
      <c r="Y342" s="49"/>
      <c r="Z342" s="49"/>
      <c r="AA342" s="73">
        <v>342</v>
      </c>
      <c r="AB342" s="73"/>
      <c r="AC342" s="74"/>
      <c r="AD342" s="80" t="s">
        <v>1116</v>
      </c>
      <c r="AE342" s="80" t="s">
        <v>1813</v>
      </c>
      <c r="AF342" s="80"/>
      <c r="AG342" s="80" t="s">
        <v>3000</v>
      </c>
      <c r="AH342" s="80" t="s">
        <v>3529</v>
      </c>
      <c r="AI342" s="80">
        <v>171692</v>
      </c>
      <c r="AJ342" s="80">
        <v>17</v>
      </c>
      <c r="AK342" s="80">
        <v>733</v>
      </c>
      <c r="AL342" s="80">
        <v>49</v>
      </c>
      <c r="AM342" s="80" t="s">
        <v>4098</v>
      </c>
      <c r="AN342" s="96" t="str">
        <f>HYPERLINK("https://www.youtube.com/watch?v=T5lRLA_Vn7o")</f>
        <v>https://www.youtube.com/watch?v=T5lRLA_Vn7o</v>
      </c>
      <c r="AO342" s="80" t="e">
        <f>REPLACE(INDEX(GroupVertices[Group],MATCH(Vertices[[#This Row],[Vertex]],GroupVertices[Vertex],0)),1,1,"")</f>
        <v>#N/A</v>
      </c>
      <c r="AP342" s="48"/>
      <c r="AQ342" s="49"/>
      <c r="AR342" s="48"/>
      <c r="AS342" s="49"/>
      <c r="AT342" s="48"/>
      <c r="AU342" s="49"/>
      <c r="AV342" s="48"/>
      <c r="AW342" s="49"/>
      <c r="AX342" s="48"/>
      <c r="AY342" s="48"/>
      <c r="AZ342" s="48"/>
      <c r="BA342" s="48"/>
      <c r="BB342" s="48"/>
      <c r="BC342" s="2"/>
      <c r="BD342" s="3"/>
      <c r="BE342" s="3"/>
      <c r="BF342" s="3"/>
      <c r="BG342" s="3"/>
    </row>
    <row r="343" spans="1:59" ht="15">
      <c r="A343" s="66" t="s">
        <v>804</v>
      </c>
      <c r="B343" s="67" t="s">
        <v>4461</v>
      </c>
      <c r="C343" s="67"/>
      <c r="D343" s="68">
        <v>778.4964272064408</v>
      </c>
      <c r="E343" s="70"/>
      <c r="F343" s="97" t="str">
        <f>HYPERLINK("https://i.ytimg.com/vi/zN7_npagPHY/default.jpg")</f>
        <v>https://i.ytimg.com/vi/zN7_npagPHY/default.jpg</v>
      </c>
      <c r="G343" s="120" t="s">
        <v>52</v>
      </c>
      <c r="H343" s="71" t="s">
        <v>1544</v>
      </c>
      <c r="I343" s="72"/>
      <c r="J343" s="72" t="s">
        <v>159</v>
      </c>
      <c r="K343" s="71" t="s">
        <v>1544</v>
      </c>
      <c r="L343" s="75">
        <v>213.72340425531914</v>
      </c>
      <c r="M343" s="76">
        <v>1299.388427734375</v>
      </c>
      <c r="N343" s="76">
        <v>144.4942169189453</v>
      </c>
      <c r="O343" s="77"/>
      <c r="P343" s="78"/>
      <c r="Q343" s="78"/>
      <c r="R343" s="82"/>
      <c r="S343" s="48"/>
      <c r="T343" s="48"/>
      <c r="U343" s="49"/>
      <c r="V343" s="49"/>
      <c r="W343" s="49"/>
      <c r="X343" s="49"/>
      <c r="Y343" s="49"/>
      <c r="Z343" s="49"/>
      <c r="AA343" s="73">
        <v>343</v>
      </c>
      <c r="AB343" s="73"/>
      <c r="AC343" s="74"/>
      <c r="AD343" s="80" t="s">
        <v>1544</v>
      </c>
      <c r="AE343" s="80" t="s">
        <v>2193</v>
      </c>
      <c r="AF343" s="80" t="s">
        <v>2779</v>
      </c>
      <c r="AG343" s="80" t="s">
        <v>3294</v>
      </c>
      <c r="AH343" s="80" t="s">
        <v>3958</v>
      </c>
      <c r="AI343" s="80">
        <v>76956</v>
      </c>
      <c r="AJ343" s="80">
        <v>62</v>
      </c>
      <c r="AK343" s="80">
        <v>1080</v>
      </c>
      <c r="AL343" s="80">
        <v>46</v>
      </c>
      <c r="AM343" s="80" t="s">
        <v>4098</v>
      </c>
      <c r="AN343" s="96" t="str">
        <f>HYPERLINK("https://www.youtube.com/watch?v=zN7_npagPHY")</f>
        <v>https://www.youtube.com/watch?v=zN7_npagPHY</v>
      </c>
      <c r="AO343" s="80" t="e">
        <f>REPLACE(INDEX(GroupVertices[Group],MATCH(Vertices[[#This Row],[Vertex]],GroupVertices[Vertex],0)),1,1,"")</f>
        <v>#N/A</v>
      </c>
      <c r="AP343" s="48"/>
      <c r="AQ343" s="49"/>
      <c r="AR343" s="48"/>
      <c r="AS343" s="49"/>
      <c r="AT343" s="48"/>
      <c r="AU343" s="49"/>
      <c r="AV343" s="48"/>
      <c r="AW343" s="49"/>
      <c r="AX343" s="48"/>
      <c r="AY343" s="48"/>
      <c r="AZ343" s="48"/>
      <c r="BA343" s="48"/>
      <c r="BB343" s="48"/>
      <c r="BC343" s="2"/>
      <c r="BD343" s="3"/>
      <c r="BE343" s="3"/>
      <c r="BF343" s="3"/>
      <c r="BG343" s="3"/>
    </row>
    <row r="344" spans="1:59" ht="15">
      <c r="A344" s="66" t="s">
        <v>908</v>
      </c>
      <c r="B344" s="67" t="s">
        <v>4461</v>
      </c>
      <c r="C344" s="67"/>
      <c r="D344" s="68">
        <v>847.1625602762404</v>
      </c>
      <c r="E344" s="70"/>
      <c r="F344" s="97" t="str">
        <f>HYPERLINK("https://i.ytimg.com/vi/lPL_oQT9tmc/default.jpg")</f>
        <v>https://i.ytimg.com/vi/lPL_oQT9tmc/default.jpg</v>
      </c>
      <c r="G344" s="120" t="s">
        <v>52</v>
      </c>
      <c r="H344" s="71" t="s">
        <v>1646</v>
      </c>
      <c r="I344" s="72"/>
      <c r="J344" s="72" t="s">
        <v>159</v>
      </c>
      <c r="K344" s="71" t="s">
        <v>1646</v>
      </c>
      <c r="L344" s="75">
        <v>213.72340425531914</v>
      </c>
      <c r="M344" s="76">
        <v>7978.80908203125</v>
      </c>
      <c r="N344" s="76">
        <v>906.1976318359375</v>
      </c>
      <c r="O344" s="77"/>
      <c r="P344" s="78"/>
      <c r="Q344" s="78"/>
      <c r="R344" s="82"/>
      <c r="S344" s="48"/>
      <c r="T344" s="48"/>
      <c r="U344" s="49"/>
      <c r="V344" s="49"/>
      <c r="W344" s="49"/>
      <c r="X344" s="49"/>
      <c r="Y344" s="49"/>
      <c r="Z344" s="49"/>
      <c r="AA344" s="73">
        <v>344</v>
      </c>
      <c r="AB344" s="73"/>
      <c r="AC344" s="74"/>
      <c r="AD344" s="80" t="s">
        <v>1646</v>
      </c>
      <c r="AE344" s="80" t="s">
        <v>2283</v>
      </c>
      <c r="AF344" s="80" t="s">
        <v>2865</v>
      </c>
      <c r="AG344" s="80" t="s">
        <v>3352</v>
      </c>
      <c r="AH344" s="80" t="s">
        <v>4062</v>
      </c>
      <c r="AI344" s="80">
        <v>166793</v>
      </c>
      <c r="AJ344" s="80">
        <v>53</v>
      </c>
      <c r="AK344" s="80">
        <v>802</v>
      </c>
      <c r="AL344" s="80">
        <v>45</v>
      </c>
      <c r="AM344" s="80" t="s">
        <v>4098</v>
      </c>
      <c r="AN344" s="96" t="str">
        <f>HYPERLINK("https://www.youtube.com/watch?v=lPL_oQT9tmc")</f>
        <v>https://www.youtube.com/watch?v=lPL_oQT9tmc</v>
      </c>
      <c r="AO344" s="80" t="e">
        <f>REPLACE(INDEX(GroupVertices[Group],MATCH(Vertices[[#This Row],[Vertex]],GroupVertices[Vertex],0)),1,1,"")</f>
        <v>#N/A</v>
      </c>
      <c r="AP344" s="48"/>
      <c r="AQ344" s="49"/>
      <c r="AR344" s="48"/>
      <c r="AS344" s="49"/>
      <c r="AT344" s="48"/>
      <c r="AU344" s="49"/>
      <c r="AV344" s="48"/>
      <c r="AW344" s="49"/>
      <c r="AX344" s="48"/>
      <c r="AY344" s="48"/>
      <c r="AZ344" s="48"/>
      <c r="BA344" s="48"/>
      <c r="BB344" s="48"/>
      <c r="BC344" s="2"/>
      <c r="BD344" s="3"/>
      <c r="BE344" s="3"/>
      <c r="BF344" s="3"/>
      <c r="BG344" s="3"/>
    </row>
    <row r="345" spans="1:59" ht="15">
      <c r="A345" s="66" t="s">
        <v>412</v>
      </c>
      <c r="B345" s="67" t="s">
        <v>4461</v>
      </c>
      <c r="C345" s="67"/>
      <c r="D345" s="68">
        <v>912.2046586852441</v>
      </c>
      <c r="E345" s="70"/>
      <c r="F345" s="97" t="str">
        <f>HYPERLINK("https://i.ytimg.com/vi/zEXK6M93lb8/default.jpg")</f>
        <v>https://i.ytimg.com/vi/zEXK6M93lb8/default.jpg</v>
      </c>
      <c r="G345" s="120" t="s">
        <v>52</v>
      </c>
      <c r="H345" s="71" t="s">
        <v>1120</v>
      </c>
      <c r="I345" s="72"/>
      <c r="J345" s="72" t="s">
        <v>159</v>
      </c>
      <c r="K345" s="71" t="s">
        <v>1120</v>
      </c>
      <c r="L345" s="75">
        <v>213.72340425531914</v>
      </c>
      <c r="M345" s="76">
        <v>9862.1220703125</v>
      </c>
      <c r="N345" s="76">
        <v>4461.423828125</v>
      </c>
      <c r="O345" s="77"/>
      <c r="P345" s="78"/>
      <c r="Q345" s="78"/>
      <c r="R345" s="82"/>
      <c r="S345" s="48"/>
      <c r="T345" s="48"/>
      <c r="U345" s="49"/>
      <c r="V345" s="49"/>
      <c r="W345" s="49"/>
      <c r="X345" s="49"/>
      <c r="Y345" s="49"/>
      <c r="Z345" s="49"/>
      <c r="AA345" s="73">
        <v>345</v>
      </c>
      <c r="AB345" s="73"/>
      <c r="AC345" s="74"/>
      <c r="AD345" s="80" t="s">
        <v>1120</v>
      </c>
      <c r="AE345" s="80" t="s">
        <v>1817</v>
      </c>
      <c r="AF345" s="80" t="s">
        <v>2438</v>
      </c>
      <c r="AG345" s="80" t="s">
        <v>3003</v>
      </c>
      <c r="AH345" s="80" t="s">
        <v>3533</v>
      </c>
      <c r="AI345" s="80">
        <v>347043</v>
      </c>
      <c r="AJ345" s="80">
        <v>99</v>
      </c>
      <c r="AK345" s="80">
        <v>1030</v>
      </c>
      <c r="AL345" s="80">
        <v>43</v>
      </c>
      <c r="AM345" s="80" t="s">
        <v>4098</v>
      </c>
      <c r="AN345" s="96" t="str">
        <f>HYPERLINK("https://www.youtube.com/watch?v=zEXK6M93lb8")</f>
        <v>https://www.youtube.com/watch?v=zEXK6M93lb8</v>
      </c>
      <c r="AO345" s="80" t="e">
        <f>REPLACE(INDEX(GroupVertices[Group],MATCH(Vertices[[#This Row],[Vertex]],GroupVertices[Vertex],0)),1,1,"")</f>
        <v>#N/A</v>
      </c>
      <c r="AP345" s="48"/>
      <c r="AQ345" s="49"/>
      <c r="AR345" s="48"/>
      <c r="AS345" s="49"/>
      <c r="AT345" s="48"/>
      <c r="AU345" s="49"/>
      <c r="AV345" s="48"/>
      <c r="AW345" s="49"/>
      <c r="AX345" s="48"/>
      <c r="AY345" s="48"/>
      <c r="AZ345" s="48"/>
      <c r="BA345" s="48"/>
      <c r="BB345" s="48"/>
      <c r="BC345" s="2"/>
      <c r="BD345" s="3"/>
      <c r="BE345" s="3"/>
      <c r="BF345" s="3"/>
      <c r="BG345" s="3"/>
    </row>
    <row r="346" spans="1:59" ht="15">
      <c r="A346" s="66" t="s">
        <v>630</v>
      </c>
      <c r="B346" s="67" t="s">
        <v>4461</v>
      </c>
      <c r="C346" s="67"/>
      <c r="D346" s="68">
        <v>837.5984110921544</v>
      </c>
      <c r="E346" s="70"/>
      <c r="F346" s="97" t="str">
        <f>HYPERLINK("https://i.ytimg.com/vi/PojLL3E-zk0/default.jpg")</f>
        <v>https://i.ytimg.com/vi/PojLL3E-zk0/default.jpg</v>
      </c>
      <c r="G346" s="120" t="s">
        <v>52</v>
      </c>
      <c r="H346" s="71" t="s">
        <v>1370</v>
      </c>
      <c r="I346" s="72"/>
      <c r="J346" s="72" t="s">
        <v>159</v>
      </c>
      <c r="K346" s="71" t="s">
        <v>1370</v>
      </c>
      <c r="L346" s="75">
        <v>213.72340425531914</v>
      </c>
      <c r="M346" s="76">
        <v>1992.107177734375</v>
      </c>
      <c r="N346" s="76">
        <v>9388.1142578125</v>
      </c>
      <c r="O346" s="77"/>
      <c r="P346" s="78"/>
      <c r="Q346" s="78"/>
      <c r="R346" s="82"/>
      <c r="S346" s="48"/>
      <c r="T346" s="48"/>
      <c r="U346" s="49"/>
      <c r="V346" s="49"/>
      <c r="W346" s="49"/>
      <c r="X346" s="49"/>
      <c r="Y346" s="49"/>
      <c r="Z346" s="49"/>
      <c r="AA346" s="73">
        <v>346</v>
      </c>
      <c r="AB346" s="73"/>
      <c r="AC346" s="74"/>
      <c r="AD346" s="80" t="s">
        <v>1370</v>
      </c>
      <c r="AE346" s="80" t="s">
        <v>2036</v>
      </c>
      <c r="AF346" s="80" t="s">
        <v>2632</v>
      </c>
      <c r="AG346" s="80" t="s">
        <v>3172</v>
      </c>
      <c r="AH346" s="80" t="s">
        <v>3782</v>
      </c>
      <c r="AI346" s="80">
        <v>149757</v>
      </c>
      <c r="AJ346" s="80">
        <v>58</v>
      </c>
      <c r="AK346" s="80">
        <v>952</v>
      </c>
      <c r="AL346" s="80">
        <v>42</v>
      </c>
      <c r="AM346" s="80" t="s">
        <v>4098</v>
      </c>
      <c r="AN346" s="96" t="str">
        <f>HYPERLINK("https://www.youtube.com/watch?v=PojLL3E-zk0")</f>
        <v>https://www.youtube.com/watch?v=PojLL3E-zk0</v>
      </c>
      <c r="AO346" s="80" t="e">
        <f>REPLACE(INDEX(GroupVertices[Group],MATCH(Vertices[[#This Row],[Vertex]],GroupVertices[Vertex],0)),1,1,"")</f>
        <v>#N/A</v>
      </c>
      <c r="AP346" s="48"/>
      <c r="AQ346" s="49"/>
      <c r="AR346" s="48"/>
      <c r="AS346" s="49"/>
      <c r="AT346" s="48"/>
      <c r="AU346" s="49"/>
      <c r="AV346" s="48"/>
      <c r="AW346" s="49"/>
      <c r="AX346" s="48"/>
      <c r="AY346" s="48"/>
      <c r="AZ346" s="48"/>
      <c r="BA346" s="48"/>
      <c r="BB346" s="48"/>
      <c r="BC346" s="2"/>
      <c r="BD346" s="3"/>
      <c r="BE346" s="3"/>
      <c r="BF346" s="3"/>
      <c r="BG346" s="3"/>
    </row>
    <row r="347" spans="1:59" ht="15">
      <c r="A347" s="66" t="s">
        <v>518</v>
      </c>
      <c r="B347" s="67" t="s">
        <v>4461</v>
      </c>
      <c r="C347" s="67"/>
      <c r="D347" s="68">
        <v>601.4654959335971</v>
      </c>
      <c r="E347" s="70"/>
      <c r="F347" s="97" t="str">
        <f>HYPERLINK("https://i.ytimg.com/vi/Tc7R9oMqLRI/default.jpg")</f>
        <v>https://i.ytimg.com/vi/Tc7R9oMqLRI/default.jpg</v>
      </c>
      <c r="G347" s="120" t="s">
        <v>52</v>
      </c>
      <c r="H347" s="71" t="s">
        <v>1249</v>
      </c>
      <c r="I347" s="72"/>
      <c r="J347" s="72" t="s">
        <v>159</v>
      </c>
      <c r="K347" s="71" t="s">
        <v>1249</v>
      </c>
      <c r="L347" s="75">
        <v>213.72340425531914</v>
      </c>
      <c r="M347" s="76">
        <v>9420.1533203125</v>
      </c>
      <c r="N347" s="76">
        <v>9624.4091796875</v>
      </c>
      <c r="O347" s="77"/>
      <c r="P347" s="78"/>
      <c r="Q347" s="78"/>
      <c r="R347" s="82"/>
      <c r="S347" s="48"/>
      <c r="T347" s="48"/>
      <c r="U347" s="49"/>
      <c r="V347" s="49"/>
      <c r="W347" s="49"/>
      <c r="X347" s="49"/>
      <c r="Y347" s="49"/>
      <c r="Z347" s="49"/>
      <c r="AA347" s="73">
        <v>347</v>
      </c>
      <c r="AB347" s="73"/>
      <c r="AC347" s="74"/>
      <c r="AD347" s="80" t="s">
        <v>1249</v>
      </c>
      <c r="AE347" s="80" t="s">
        <v>1930</v>
      </c>
      <c r="AF347" s="80" t="s">
        <v>2537</v>
      </c>
      <c r="AG347" s="80" t="s">
        <v>3086</v>
      </c>
      <c r="AH347" s="80" t="s">
        <v>3661</v>
      </c>
      <c r="AI347" s="80">
        <v>10475</v>
      </c>
      <c r="AJ347" s="80">
        <v>5</v>
      </c>
      <c r="AK347" s="80">
        <v>23</v>
      </c>
      <c r="AL347" s="80">
        <v>42</v>
      </c>
      <c r="AM347" s="80" t="s">
        <v>4098</v>
      </c>
      <c r="AN347" s="96" t="str">
        <f>HYPERLINK("https://www.youtube.com/watch?v=Tc7R9oMqLRI")</f>
        <v>https://www.youtube.com/watch?v=Tc7R9oMqLRI</v>
      </c>
      <c r="AO347" s="80" t="e">
        <f>REPLACE(INDEX(GroupVertices[Group],MATCH(Vertices[[#This Row],[Vertex]],GroupVertices[Vertex],0)),1,1,"")</f>
        <v>#N/A</v>
      </c>
      <c r="AP347" s="48"/>
      <c r="AQ347" s="49"/>
      <c r="AR347" s="48"/>
      <c r="AS347" s="49"/>
      <c r="AT347" s="48"/>
      <c r="AU347" s="49"/>
      <c r="AV347" s="48"/>
      <c r="AW347" s="49"/>
      <c r="AX347" s="48"/>
      <c r="AY347" s="48"/>
      <c r="AZ347" s="48"/>
      <c r="BA347" s="48"/>
      <c r="BB347" s="48"/>
      <c r="BC347" s="2"/>
      <c r="BD347" s="3"/>
      <c r="BE347" s="3"/>
      <c r="BF347" s="3"/>
      <c r="BG347" s="3"/>
    </row>
    <row r="348" spans="1:59" ht="15">
      <c r="A348" s="66" t="s">
        <v>424</v>
      </c>
      <c r="B348" s="67" t="s">
        <v>4461</v>
      </c>
      <c r="C348" s="67"/>
      <c r="D348" s="68">
        <v>772.2721880942746</v>
      </c>
      <c r="E348" s="70"/>
      <c r="F348" s="97" t="str">
        <f>HYPERLINK("https://i.ytimg.com/vi/ARt-zxJWXUM/default.jpg")</f>
        <v>https://i.ytimg.com/vi/ARt-zxJWXUM/default.jpg</v>
      </c>
      <c r="G348" s="120" t="s">
        <v>52</v>
      </c>
      <c r="H348" s="71" t="s">
        <v>1132</v>
      </c>
      <c r="I348" s="72"/>
      <c r="J348" s="72" t="s">
        <v>159</v>
      </c>
      <c r="K348" s="71" t="s">
        <v>1132</v>
      </c>
      <c r="L348" s="75">
        <v>213.72340425531914</v>
      </c>
      <c r="M348" s="76">
        <v>8397.4150390625</v>
      </c>
      <c r="N348" s="76">
        <v>5234.12255859375</v>
      </c>
      <c r="O348" s="77"/>
      <c r="P348" s="78"/>
      <c r="Q348" s="78"/>
      <c r="R348" s="82"/>
      <c r="S348" s="48"/>
      <c r="T348" s="48"/>
      <c r="U348" s="49"/>
      <c r="V348" s="49"/>
      <c r="W348" s="49"/>
      <c r="X348" s="49"/>
      <c r="Y348" s="49"/>
      <c r="Z348" s="49"/>
      <c r="AA348" s="73">
        <v>348</v>
      </c>
      <c r="AB348" s="73"/>
      <c r="AC348" s="74"/>
      <c r="AD348" s="80" t="s">
        <v>1132</v>
      </c>
      <c r="AE348" s="80"/>
      <c r="AF348" s="80"/>
      <c r="AG348" s="80" t="s">
        <v>3015</v>
      </c>
      <c r="AH348" s="80" t="s">
        <v>3545</v>
      </c>
      <c r="AI348" s="80">
        <v>71745</v>
      </c>
      <c r="AJ348" s="80">
        <v>11</v>
      </c>
      <c r="AK348" s="80">
        <v>177</v>
      </c>
      <c r="AL348" s="80">
        <v>40</v>
      </c>
      <c r="AM348" s="80" t="s">
        <v>4098</v>
      </c>
      <c r="AN348" s="96" t="str">
        <f>HYPERLINK("https://www.youtube.com/watch?v=ARt-zxJWXUM")</f>
        <v>https://www.youtube.com/watch?v=ARt-zxJWXUM</v>
      </c>
      <c r="AO348" s="80" t="e">
        <f>REPLACE(INDEX(GroupVertices[Group],MATCH(Vertices[[#This Row],[Vertex]],GroupVertices[Vertex],0)),1,1,"")</f>
        <v>#N/A</v>
      </c>
      <c r="AP348" s="48"/>
      <c r="AQ348" s="49"/>
      <c r="AR348" s="48"/>
      <c r="AS348" s="49"/>
      <c r="AT348" s="48"/>
      <c r="AU348" s="49"/>
      <c r="AV348" s="48"/>
      <c r="AW348" s="49"/>
      <c r="AX348" s="48"/>
      <c r="AY348" s="48"/>
      <c r="AZ348" s="48"/>
      <c r="BA348" s="48"/>
      <c r="BB348" s="48"/>
      <c r="BC348" s="2"/>
      <c r="BD348" s="3"/>
      <c r="BE348" s="3"/>
      <c r="BF348" s="3"/>
      <c r="BG348" s="3"/>
    </row>
    <row r="349" spans="1:59" ht="15">
      <c r="A349" s="66" t="s">
        <v>768</v>
      </c>
      <c r="B349" s="67" t="s">
        <v>4461</v>
      </c>
      <c r="C349" s="67"/>
      <c r="D349" s="68">
        <v>780.4541372114782</v>
      </c>
      <c r="E349" s="70"/>
      <c r="F349" s="97" t="str">
        <f>HYPERLINK("https://i.ytimg.com/vi/9e4nPtgoYoI/default.jpg")</f>
        <v>https://i.ytimg.com/vi/9e4nPtgoYoI/default.jpg</v>
      </c>
      <c r="G349" s="120" t="s">
        <v>52</v>
      </c>
      <c r="H349" s="71" t="s">
        <v>1508</v>
      </c>
      <c r="I349" s="72"/>
      <c r="J349" s="72" t="s">
        <v>159</v>
      </c>
      <c r="K349" s="71" t="s">
        <v>1508</v>
      </c>
      <c r="L349" s="75">
        <v>213.72340425531914</v>
      </c>
      <c r="M349" s="76">
        <v>4155.26806640625</v>
      </c>
      <c r="N349" s="76">
        <v>9516.787109375</v>
      </c>
      <c r="O349" s="77"/>
      <c r="P349" s="78"/>
      <c r="Q349" s="78"/>
      <c r="R349" s="82"/>
      <c r="S349" s="48"/>
      <c r="T349" s="48"/>
      <c r="U349" s="49"/>
      <c r="V349" s="49"/>
      <c r="W349" s="49"/>
      <c r="X349" s="49"/>
      <c r="Y349" s="49"/>
      <c r="Z349" s="49"/>
      <c r="AA349" s="73">
        <v>349</v>
      </c>
      <c r="AB349" s="73"/>
      <c r="AC349" s="74"/>
      <c r="AD349" s="80" t="s">
        <v>1508</v>
      </c>
      <c r="AE349" s="80" t="s">
        <v>2159</v>
      </c>
      <c r="AF349" s="80" t="s">
        <v>2745</v>
      </c>
      <c r="AG349" s="80" t="s">
        <v>3269</v>
      </c>
      <c r="AH349" s="80" t="s">
        <v>3922</v>
      </c>
      <c r="AI349" s="80">
        <v>78672</v>
      </c>
      <c r="AJ349" s="80">
        <v>65</v>
      </c>
      <c r="AK349" s="80">
        <v>2593</v>
      </c>
      <c r="AL349" s="80">
        <v>39</v>
      </c>
      <c r="AM349" s="80" t="s">
        <v>4098</v>
      </c>
      <c r="AN349" s="96" t="str">
        <f>HYPERLINK("https://www.youtube.com/watch?v=9e4nPtgoYoI")</f>
        <v>https://www.youtube.com/watch?v=9e4nPtgoYoI</v>
      </c>
      <c r="AO349" s="80" t="e">
        <f>REPLACE(INDEX(GroupVertices[Group],MATCH(Vertices[[#This Row],[Vertex]],GroupVertices[Vertex],0)),1,1,"")</f>
        <v>#N/A</v>
      </c>
      <c r="AP349" s="48"/>
      <c r="AQ349" s="49"/>
      <c r="AR349" s="48"/>
      <c r="AS349" s="49"/>
      <c r="AT349" s="48"/>
      <c r="AU349" s="49"/>
      <c r="AV349" s="48"/>
      <c r="AW349" s="49"/>
      <c r="AX349" s="48"/>
      <c r="AY349" s="48"/>
      <c r="AZ349" s="48"/>
      <c r="BA349" s="48"/>
      <c r="BB349" s="48"/>
      <c r="BC349" s="2"/>
      <c r="BD349" s="3"/>
      <c r="BE349" s="3"/>
      <c r="BF349" s="3"/>
      <c r="BG349" s="3"/>
    </row>
    <row r="350" spans="1:59" ht="15">
      <c r="A350" s="66" t="s">
        <v>590</v>
      </c>
      <c r="B350" s="67" t="s">
        <v>4461</v>
      </c>
      <c r="C350" s="67"/>
      <c r="D350" s="68">
        <v>840.6296383432015</v>
      </c>
      <c r="E350" s="70"/>
      <c r="F350" s="97" t="str">
        <f>HYPERLINK("https://i.ytimg.com/vi/fYDnAzWTNZs/default.jpg")</f>
        <v>https://i.ytimg.com/vi/fYDnAzWTNZs/default.jpg</v>
      </c>
      <c r="G350" s="120" t="s">
        <v>52</v>
      </c>
      <c r="H350" s="71" t="s">
        <v>1325</v>
      </c>
      <c r="I350" s="72"/>
      <c r="J350" s="72" t="s">
        <v>159</v>
      </c>
      <c r="K350" s="71" t="s">
        <v>1325</v>
      </c>
      <c r="L350" s="75">
        <v>213.72340425531914</v>
      </c>
      <c r="M350" s="76">
        <v>9173.23046875</v>
      </c>
      <c r="N350" s="76">
        <v>6957.64306640625</v>
      </c>
      <c r="O350" s="77"/>
      <c r="P350" s="78"/>
      <c r="Q350" s="78"/>
      <c r="R350" s="82"/>
      <c r="S350" s="48"/>
      <c r="T350" s="48"/>
      <c r="U350" s="49"/>
      <c r="V350" s="49"/>
      <c r="W350" s="49"/>
      <c r="X350" s="49"/>
      <c r="Y350" s="49"/>
      <c r="Z350" s="49"/>
      <c r="AA350" s="73">
        <v>350</v>
      </c>
      <c r="AB350" s="73"/>
      <c r="AC350" s="74"/>
      <c r="AD350" s="80" t="s">
        <v>1325</v>
      </c>
      <c r="AE350" s="80" t="s">
        <v>1992</v>
      </c>
      <c r="AF350" s="80" t="s">
        <v>2593</v>
      </c>
      <c r="AG350" s="80" t="s">
        <v>3138</v>
      </c>
      <c r="AH350" s="80" t="s">
        <v>3736</v>
      </c>
      <c r="AI350" s="80">
        <v>154959</v>
      </c>
      <c r="AJ350" s="80">
        <v>48</v>
      </c>
      <c r="AK350" s="80">
        <v>420</v>
      </c>
      <c r="AL350" s="80">
        <v>38</v>
      </c>
      <c r="AM350" s="80" t="s">
        <v>4098</v>
      </c>
      <c r="AN350" s="96" t="str">
        <f>HYPERLINK("https://www.youtube.com/watch?v=fYDnAzWTNZs")</f>
        <v>https://www.youtube.com/watch?v=fYDnAzWTNZs</v>
      </c>
      <c r="AO350" s="80" t="e">
        <f>REPLACE(INDEX(GroupVertices[Group],MATCH(Vertices[[#This Row],[Vertex]],GroupVertices[Vertex],0)),1,1,"")</f>
        <v>#N/A</v>
      </c>
      <c r="AP350" s="48"/>
      <c r="AQ350" s="49"/>
      <c r="AR350" s="48"/>
      <c r="AS350" s="49"/>
      <c r="AT350" s="48"/>
      <c r="AU350" s="49"/>
      <c r="AV350" s="48"/>
      <c r="AW350" s="49"/>
      <c r="AX350" s="48"/>
      <c r="AY350" s="48"/>
      <c r="AZ350" s="48"/>
      <c r="BA350" s="48"/>
      <c r="BB350" s="48"/>
      <c r="BC350" s="2"/>
      <c r="BD350" s="3"/>
      <c r="BE350" s="3"/>
      <c r="BF350" s="3"/>
      <c r="BG350" s="3"/>
    </row>
    <row r="351" spans="1:59" ht="15">
      <c r="A351" s="66" t="s">
        <v>636</v>
      </c>
      <c r="B351" s="67" t="s">
        <v>4461</v>
      </c>
      <c r="C351" s="67"/>
      <c r="D351" s="68">
        <v>828.7391672672512</v>
      </c>
      <c r="E351" s="70"/>
      <c r="F351" s="97" t="str">
        <f>HYPERLINK("https://i.ytimg.com/vi/-518j79hFxc/default.jpg")</f>
        <v>https://i.ytimg.com/vi/-518j79hFxc/default.jpg</v>
      </c>
      <c r="G351" s="120" t="s">
        <v>52</v>
      </c>
      <c r="H351" s="71" t="s">
        <v>1376</v>
      </c>
      <c r="I351" s="72"/>
      <c r="J351" s="72" t="s">
        <v>159</v>
      </c>
      <c r="K351" s="71" t="s">
        <v>1376</v>
      </c>
      <c r="L351" s="75">
        <v>213.72340425531914</v>
      </c>
      <c r="M351" s="76">
        <v>961.6578979492188</v>
      </c>
      <c r="N351" s="76">
        <v>4578.07568359375</v>
      </c>
      <c r="O351" s="77"/>
      <c r="P351" s="78"/>
      <c r="Q351" s="78"/>
      <c r="R351" s="82"/>
      <c r="S351" s="48"/>
      <c r="T351" s="48"/>
      <c r="U351" s="49"/>
      <c r="V351" s="49"/>
      <c r="W351" s="49"/>
      <c r="X351" s="49"/>
      <c r="Y351" s="49"/>
      <c r="Z351" s="49"/>
      <c r="AA351" s="73">
        <v>351</v>
      </c>
      <c r="AB351" s="73"/>
      <c r="AC351" s="74"/>
      <c r="AD351" s="80" t="s">
        <v>1376</v>
      </c>
      <c r="AE351" s="80" t="s">
        <v>2042</v>
      </c>
      <c r="AF351" s="80" t="s">
        <v>2637</v>
      </c>
      <c r="AG351" s="80" t="s">
        <v>3176</v>
      </c>
      <c r="AH351" s="80" t="s">
        <v>3788</v>
      </c>
      <c r="AI351" s="80">
        <v>135533</v>
      </c>
      <c r="AJ351" s="80">
        <v>44</v>
      </c>
      <c r="AK351" s="80">
        <v>410</v>
      </c>
      <c r="AL351" s="80">
        <v>36</v>
      </c>
      <c r="AM351" s="80" t="s">
        <v>4098</v>
      </c>
      <c r="AN351" s="96" t="str">
        <f>HYPERLINK("https://www.youtube.com/watch?v=-518j79hFxc")</f>
        <v>https://www.youtube.com/watch?v=-518j79hFxc</v>
      </c>
      <c r="AO351" s="80" t="e">
        <f>REPLACE(INDEX(GroupVertices[Group],MATCH(Vertices[[#This Row],[Vertex]],GroupVertices[Vertex],0)),1,1,"")</f>
        <v>#N/A</v>
      </c>
      <c r="AP351" s="48"/>
      <c r="AQ351" s="49"/>
      <c r="AR351" s="48"/>
      <c r="AS351" s="49"/>
      <c r="AT351" s="48"/>
      <c r="AU351" s="49"/>
      <c r="AV351" s="48"/>
      <c r="AW351" s="49"/>
      <c r="AX351" s="48"/>
      <c r="AY351" s="48"/>
      <c r="AZ351" s="48"/>
      <c r="BA351" s="48"/>
      <c r="BB351" s="48"/>
      <c r="BC351" s="2"/>
      <c r="BD351" s="3"/>
      <c r="BE351" s="3"/>
      <c r="BF351" s="3"/>
      <c r="BG351" s="3"/>
    </row>
    <row r="352" spans="1:59" ht="15">
      <c r="A352" s="66" t="s">
        <v>522</v>
      </c>
      <c r="B352" s="67" t="s">
        <v>4461</v>
      </c>
      <c r="C352" s="67"/>
      <c r="D352" s="68">
        <v>880.3007189540625</v>
      </c>
      <c r="E352" s="70"/>
      <c r="F352" s="97" t="str">
        <f>HYPERLINK("https://i.ytimg.com/vi/AtTTTy_Nu6s/default.jpg")</f>
        <v>https://i.ytimg.com/vi/AtTTTy_Nu6s/default.jpg</v>
      </c>
      <c r="G352" s="120" t="s">
        <v>52</v>
      </c>
      <c r="H352" s="71" t="s">
        <v>1253</v>
      </c>
      <c r="I352" s="72"/>
      <c r="J352" s="72" t="s">
        <v>159</v>
      </c>
      <c r="K352" s="71" t="s">
        <v>1253</v>
      </c>
      <c r="L352" s="75">
        <v>213.72340425531914</v>
      </c>
      <c r="M352" s="76">
        <v>9775.7841796875</v>
      </c>
      <c r="N352" s="76">
        <v>8705.84375</v>
      </c>
      <c r="O352" s="77"/>
      <c r="P352" s="78"/>
      <c r="Q352" s="78"/>
      <c r="R352" s="82"/>
      <c r="S352" s="48"/>
      <c r="T352" s="48"/>
      <c r="U352" s="49"/>
      <c r="V352" s="49"/>
      <c r="W352" s="49"/>
      <c r="X352" s="49"/>
      <c r="Y352" s="49"/>
      <c r="Z352" s="49"/>
      <c r="AA352" s="73">
        <v>352</v>
      </c>
      <c r="AB352" s="73"/>
      <c r="AC352" s="74"/>
      <c r="AD352" s="80" t="s">
        <v>1253</v>
      </c>
      <c r="AE352" s="80" t="s">
        <v>1933</v>
      </c>
      <c r="AF352" s="80" t="s">
        <v>2541</v>
      </c>
      <c r="AG352" s="80" t="s">
        <v>3090</v>
      </c>
      <c r="AH352" s="80" t="s">
        <v>3665</v>
      </c>
      <c r="AI352" s="80">
        <v>242270</v>
      </c>
      <c r="AJ352" s="80">
        <v>27</v>
      </c>
      <c r="AK352" s="80">
        <v>305</v>
      </c>
      <c r="AL352" s="80">
        <v>33</v>
      </c>
      <c r="AM352" s="80" t="s">
        <v>4098</v>
      </c>
      <c r="AN352" s="96" t="str">
        <f>HYPERLINK("https://www.youtube.com/watch?v=AtTTTy_Nu6s")</f>
        <v>https://www.youtube.com/watch?v=AtTTTy_Nu6s</v>
      </c>
      <c r="AO352" s="80" t="e">
        <f>REPLACE(INDEX(GroupVertices[Group],MATCH(Vertices[[#This Row],[Vertex]],GroupVertices[Vertex],0)),1,1,"")</f>
        <v>#N/A</v>
      </c>
      <c r="AP352" s="48"/>
      <c r="AQ352" s="49"/>
      <c r="AR352" s="48"/>
      <c r="AS352" s="49"/>
      <c r="AT352" s="48"/>
      <c r="AU352" s="49"/>
      <c r="AV352" s="48"/>
      <c r="AW352" s="49"/>
      <c r="AX352" s="48"/>
      <c r="AY352" s="48"/>
      <c r="AZ352" s="48"/>
      <c r="BA352" s="48"/>
      <c r="BB352" s="48"/>
      <c r="BC352" s="2"/>
      <c r="BD352" s="3"/>
      <c r="BE352" s="3"/>
      <c r="BF352" s="3"/>
      <c r="BG352" s="3"/>
    </row>
    <row r="353" spans="1:59" ht="15">
      <c r="A353" s="66" t="s">
        <v>538</v>
      </c>
      <c r="B353" s="67" t="s">
        <v>4461</v>
      </c>
      <c r="C353" s="67"/>
      <c r="D353" s="68">
        <v>797.1767363030983</v>
      </c>
      <c r="E353" s="70"/>
      <c r="F353" s="97" t="str">
        <f>HYPERLINK("https://i.ytimg.com/vi/Frmwdter-vQ/default.jpg")</f>
        <v>https://i.ytimg.com/vi/Frmwdter-vQ/default.jpg</v>
      </c>
      <c r="G353" s="120" t="s">
        <v>52</v>
      </c>
      <c r="H353" s="71" t="s">
        <v>1270</v>
      </c>
      <c r="I353" s="72"/>
      <c r="J353" s="72" t="s">
        <v>159</v>
      </c>
      <c r="K353" s="71" t="s">
        <v>1270</v>
      </c>
      <c r="L353" s="75">
        <v>213.72340425531914</v>
      </c>
      <c r="M353" s="76">
        <v>3188.543212890625</v>
      </c>
      <c r="N353" s="76">
        <v>7447.0869140625</v>
      </c>
      <c r="O353" s="77"/>
      <c r="P353" s="78"/>
      <c r="Q353" s="78"/>
      <c r="R353" s="82"/>
      <c r="S353" s="48"/>
      <c r="T353" s="48"/>
      <c r="U353" s="49"/>
      <c r="V353" s="49"/>
      <c r="W353" s="49"/>
      <c r="X353" s="49"/>
      <c r="Y353" s="49"/>
      <c r="Z353" s="49"/>
      <c r="AA353" s="73">
        <v>353</v>
      </c>
      <c r="AB353" s="73"/>
      <c r="AC353" s="74"/>
      <c r="AD353" s="80" t="s">
        <v>1270</v>
      </c>
      <c r="AE353" s="80" t="s">
        <v>1946</v>
      </c>
      <c r="AF353" s="80" t="s">
        <v>2555</v>
      </c>
      <c r="AG353" s="80" t="s">
        <v>3105</v>
      </c>
      <c r="AH353" s="80" t="s">
        <v>3682</v>
      </c>
      <c r="AI353" s="80">
        <v>94980</v>
      </c>
      <c r="AJ353" s="80">
        <v>9</v>
      </c>
      <c r="AK353" s="80">
        <v>2861</v>
      </c>
      <c r="AL353" s="80">
        <v>32</v>
      </c>
      <c r="AM353" s="80" t="s">
        <v>4098</v>
      </c>
      <c r="AN353" s="96" t="str">
        <f>HYPERLINK("https://www.youtube.com/watch?v=Frmwdter-vQ")</f>
        <v>https://www.youtube.com/watch?v=Frmwdter-vQ</v>
      </c>
      <c r="AO353" s="80" t="e">
        <f>REPLACE(INDEX(GroupVertices[Group],MATCH(Vertices[[#This Row],[Vertex]],GroupVertices[Vertex],0)),1,1,"")</f>
        <v>#N/A</v>
      </c>
      <c r="AP353" s="48"/>
      <c r="AQ353" s="49"/>
      <c r="AR353" s="48"/>
      <c r="AS353" s="49"/>
      <c r="AT353" s="48"/>
      <c r="AU353" s="49"/>
      <c r="AV353" s="48"/>
      <c r="AW353" s="49"/>
      <c r="AX353" s="48"/>
      <c r="AY353" s="48"/>
      <c r="AZ353" s="48"/>
      <c r="BA353" s="48"/>
      <c r="BB353" s="48"/>
      <c r="BC353" s="2"/>
      <c r="BD353" s="3"/>
      <c r="BE353" s="3"/>
      <c r="BF353" s="3"/>
      <c r="BG353" s="3"/>
    </row>
    <row r="354" spans="1:59" ht="15">
      <c r="A354" s="66" t="s">
        <v>725</v>
      </c>
      <c r="B354" s="67" t="s">
        <v>4461</v>
      </c>
      <c r="C354" s="67"/>
      <c r="D354" s="68">
        <v>804.7786162165484</v>
      </c>
      <c r="E354" s="70"/>
      <c r="F354" s="97" t="str">
        <f>HYPERLINK("https://i.ytimg.com/vi/Iqg90Cq5Xfc/default.jpg")</f>
        <v>https://i.ytimg.com/vi/Iqg90Cq5Xfc/default.jpg</v>
      </c>
      <c r="G354" s="120" t="s">
        <v>52</v>
      </c>
      <c r="H354" s="71" t="s">
        <v>1466</v>
      </c>
      <c r="I354" s="72"/>
      <c r="J354" s="72" t="s">
        <v>159</v>
      </c>
      <c r="K354" s="71" t="s">
        <v>1466</v>
      </c>
      <c r="L354" s="75">
        <v>213.72340425531914</v>
      </c>
      <c r="M354" s="76">
        <v>6908.7998046875</v>
      </c>
      <c r="N354" s="76">
        <v>7245.54638671875</v>
      </c>
      <c r="O354" s="77"/>
      <c r="P354" s="78"/>
      <c r="Q354" s="78"/>
      <c r="R354" s="82"/>
      <c r="S354" s="48"/>
      <c r="T354" s="48"/>
      <c r="U354" s="49"/>
      <c r="V354" s="49"/>
      <c r="W354" s="49"/>
      <c r="X354" s="49"/>
      <c r="Y354" s="49"/>
      <c r="Z354" s="49"/>
      <c r="AA354" s="73">
        <v>354</v>
      </c>
      <c r="AB354" s="73"/>
      <c r="AC354" s="74"/>
      <c r="AD354" s="80" t="s">
        <v>1466</v>
      </c>
      <c r="AE354" s="80" t="s">
        <v>2123</v>
      </c>
      <c r="AF354" s="80" t="s">
        <v>2713</v>
      </c>
      <c r="AG354" s="80" t="s">
        <v>3240</v>
      </c>
      <c r="AH354" s="80" t="s">
        <v>3879</v>
      </c>
      <c r="AI354" s="80">
        <v>103472</v>
      </c>
      <c r="AJ354" s="80">
        <v>91</v>
      </c>
      <c r="AK354" s="80">
        <v>943</v>
      </c>
      <c r="AL354" s="80">
        <v>29</v>
      </c>
      <c r="AM354" s="80" t="s">
        <v>4098</v>
      </c>
      <c r="AN354" s="96" t="str">
        <f>HYPERLINK("https://www.youtube.com/watch?v=Iqg90Cq5Xfc")</f>
        <v>https://www.youtube.com/watch?v=Iqg90Cq5Xfc</v>
      </c>
      <c r="AO354" s="80" t="e">
        <f>REPLACE(INDEX(GroupVertices[Group],MATCH(Vertices[[#This Row],[Vertex]],GroupVertices[Vertex],0)),1,1,"")</f>
        <v>#N/A</v>
      </c>
      <c r="AP354" s="48"/>
      <c r="AQ354" s="49"/>
      <c r="AR354" s="48"/>
      <c r="AS354" s="49"/>
      <c r="AT354" s="48"/>
      <c r="AU354" s="49"/>
      <c r="AV354" s="48"/>
      <c r="AW354" s="49"/>
      <c r="AX354" s="48"/>
      <c r="AY354" s="48"/>
      <c r="AZ354" s="48"/>
      <c r="BA354" s="48"/>
      <c r="BB354" s="48"/>
      <c r="BC354" s="2"/>
      <c r="BD354" s="3"/>
      <c r="BE354" s="3"/>
      <c r="BF354" s="3"/>
      <c r="BG354" s="3"/>
    </row>
    <row r="355" spans="1:59" ht="15">
      <c r="A355" s="66" t="s">
        <v>788</v>
      </c>
      <c r="B355" s="67" t="s">
        <v>4461</v>
      </c>
      <c r="C355" s="67"/>
      <c r="D355" s="68">
        <v>728.0588031114874</v>
      </c>
      <c r="E355" s="70"/>
      <c r="F355" s="97" t="str">
        <f>HYPERLINK("https://i.ytimg.com/vi/iKEpyGhTRmk/default.jpg")</f>
        <v>https://i.ytimg.com/vi/iKEpyGhTRmk/default.jpg</v>
      </c>
      <c r="G355" s="120" t="s">
        <v>52</v>
      </c>
      <c r="H355" s="71" t="s">
        <v>1528</v>
      </c>
      <c r="I355" s="72"/>
      <c r="J355" s="72" t="s">
        <v>159</v>
      </c>
      <c r="K355" s="71" t="s">
        <v>1528</v>
      </c>
      <c r="L355" s="75">
        <v>213.72340425531914</v>
      </c>
      <c r="M355" s="76">
        <v>6029.71923828125</v>
      </c>
      <c r="N355" s="76">
        <v>8098.85205078125</v>
      </c>
      <c r="O355" s="77"/>
      <c r="P355" s="78"/>
      <c r="Q355" s="78"/>
      <c r="R355" s="82"/>
      <c r="S355" s="48"/>
      <c r="T355" s="48"/>
      <c r="U355" s="49"/>
      <c r="V355" s="49"/>
      <c r="W355" s="49"/>
      <c r="X355" s="49"/>
      <c r="Y355" s="49"/>
      <c r="Z355" s="49"/>
      <c r="AA355" s="73">
        <v>355</v>
      </c>
      <c r="AB355" s="73"/>
      <c r="AC355" s="74"/>
      <c r="AD355" s="80" t="s">
        <v>1528</v>
      </c>
      <c r="AE355" s="80" t="s">
        <v>2177</v>
      </c>
      <c r="AF355" s="80" t="s">
        <v>2763</v>
      </c>
      <c r="AG355" s="80" t="s">
        <v>3282</v>
      </c>
      <c r="AH355" s="80" t="s">
        <v>3942</v>
      </c>
      <c r="AI355" s="80">
        <v>43600</v>
      </c>
      <c r="AJ355" s="80">
        <v>7</v>
      </c>
      <c r="AK355" s="80">
        <v>70</v>
      </c>
      <c r="AL355" s="80">
        <v>27</v>
      </c>
      <c r="AM355" s="80" t="s">
        <v>4098</v>
      </c>
      <c r="AN355" s="96" t="str">
        <f>HYPERLINK("https://www.youtube.com/watch?v=iKEpyGhTRmk")</f>
        <v>https://www.youtube.com/watch?v=iKEpyGhTRmk</v>
      </c>
      <c r="AO355" s="80" t="e">
        <f>REPLACE(INDEX(GroupVertices[Group],MATCH(Vertices[[#This Row],[Vertex]],GroupVertices[Vertex],0)),1,1,"")</f>
        <v>#N/A</v>
      </c>
      <c r="AP355" s="48"/>
      <c r="AQ355" s="49"/>
      <c r="AR355" s="48"/>
      <c r="AS355" s="49"/>
      <c r="AT355" s="48"/>
      <c r="AU355" s="49"/>
      <c r="AV355" s="48"/>
      <c r="AW355" s="49"/>
      <c r="AX355" s="48"/>
      <c r="AY355" s="48"/>
      <c r="AZ355" s="48"/>
      <c r="BA355" s="48"/>
      <c r="BB355" s="48"/>
      <c r="BC355" s="2"/>
      <c r="BD355" s="3"/>
      <c r="BE355" s="3"/>
      <c r="BF355" s="3"/>
      <c r="BG355" s="3"/>
    </row>
    <row r="356" spans="1:59" ht="15">
      <c r="A356" s="66" t="s">
        <v>625</v>
      </c>
      <c r="B356" s="67" t="s">
        <v>4461</v>
      </c>
      <c r="C356" s="67"/>
      <c r="D356" s="68">
        <v>697.1753943794671</v>
      </c>
      <c r="E356" s="70"/>
      <c r="F356" s="97" t="str">
        <f>HYPERLINK("https://i.ytimg.com/vi/0aqvVbTyEmc/default.jpg")</f>
        <v>https://i.ytimg.com/vi/0aqvVbTyEmc/default.jpg</v>
      </c>
      <c r="G356" s="120" t="s">
        <v>52</v>
      </c>
      <c r="H356" s="71" t="s">
        <v>1365</v>
      </c>
      <c r="I356" s="72"/>
      <c r="J356" s="72" t="s">
        <v>159</v>
      </c>
      <c r="K356" s="71" t="s">
        <v>1365</v>
      </c>
      <c r="L356" s="75">
        <v>213.72340425531914</v>
      </c>
      <c r="M356" s="76">
        <v>564.005859375</v>
      </c>
      <c r="N356" s="76">
        <v>5873.81005859375</v>
      </c>
      <c r="O356" s="77"/>
      <c r="P356" s="78"/>
      <c r="Q356" s="78"/>
      <c r="R356" s="82"/>
      <c r="S356" s="48"/>
      <c r="T356" s="48"/>
      <c r="U356" s="49"/>
      <c r="V356" s="49"/>
      <c r="W356" s="49"/>
      <c r="X356" s="49"/>
      <c r="Y356" s="49"/>
      <c r="Z356" s="49"/>
      <c r="AA356" s="73">
        <v>356</v>
      </c>
      <c r="AB356" s="73"/>
      <c r="AC356" s="74"/>
      <c r="AD356" s="80" t="s">
        <v>1365</v>
      </c>
      <c r="AE356" s="80" t="s">
        <v>2031</v>
      </c>
      <c r="AF356" s="80" t="s">
        <v>2575</v>
      </c>
      <c r="AG356" s="80" t="s">
        <v>3055</v>
      </c>
      <c r="AH356" s="80" t="s">
        <v>3777</v>
      </c>
      <c r="AI356" s="80">
        <v>30789</v>
      </c>
      <c r="AJ356" s="80">
        <v>12</v>
      </c>
      <c r="AK356" s="80">
        <v>288</v>
      </c>
      <c r="AL356" s="80">
        <v>27</v>
      </c>
      <c r="AM356" s="80" t="s">
        <v>4098</v>
      </c>
      <c r="AN356" s="96" t="str">
        <f>HYPERLINK("https://www.youtube.com/watch?v=0aqvVbTyEmc")</f>
        <v>https://www.youtube.com/watch?v=0aqvVbTyEmc</v>
      </c>
      <c r="AO356" s="80" t="e">
        <f>REPLACE(INDEX(GroupVertices[Group],MATCH(Vertices[[#This Row],[Vertex]],GroupVertices[Vertex],0)),1,1,"")</f>
        <v>#N/A</v>
      </c>
      <c r="AP356" s="48"/>
      <c r="AQ356" s="49"/>
      <c r="AR356" s="48"/>
      <c r="AS356" s="49"/>
      <c r="AT356" s="48"/>
      <c r="AU356" s="49"/>
      <c r="AV356" s="48"/>
      <c r="AW356" s="49"/>
      <c r="AX356" s="48"/>
      <c r="AY356" s="48"/>
      <c r="AZ356" s="48"/>
      <c r="BA356" s="48"/>
      <c r="BB356" s="48"/>
      <c r="BC356" s="2"/>
      <c r="BD356" s="3"/>
      <c r="BE356" s="3"/>
      <c r="BF356" s="3"/>
      <c r="BG356" s="3"/>
    </row>
    <row r="357" spans="1:59" ht="15">
      <c r="A357" s="66" t="s">
        <v>460</v>
      </c>
      <c r="B357" s="67" t="s">
        <v>4461</v>
      </c>
      <c r="C357" s="67"/>
      <c r="D357" s="68">
        <v>882.9442120679794</v>
      </c>
      <c r="E357" s="70"/>
      <c r="F357" s="97" t="str">
        <f>HYPERLINK("https://i.ytimg.com/vi/m5MsIA6qzMg/default.jpg")</f>
        <v>https://i.ytimg.com/vi/m5MsIA6qzMg/default.jpg</v>
      </c>
      <c r="G357" s="120" t="s">
        <v>52</v>
      </c>
      <c r="H357" s="71" t="s">
        <v>1171</v>
      </c>
      <c r="I357" s="72"/>
      <c r="J357" s="72" t="s">
        <v>159</v>
      </c>
      <c r="K357" s="71" t="s">
        <v>1171</v>
      </c>
      <c r="L357" s="75">
        <v>213.72340425531914</v>
      </c>
      <c r="M357" s="76">
        <v>4316.55517578125</v>
      </c>
      <c r="N357" s="76">
        <v>2533.1201171875</v>
      </c>
      <c r="O357" s="77"/>
      <c r="P357" s="78"/>
      <c r="Q357" s="78"/>
      <c r="R357" s="82"/>
      <c r="S357" s="48"/>
      <c r="T357" s="48"/>
      <c r="U357" s="49"/>
      <c r="V357" s="49"/>
      <c r="W357" s="49"/>
      <c r="X357" s="49"/>
      <c r="Y357" s="49"/>
      <c r="Z357" s="49"/>
      <c r="AA357" s="73">
        <v>357</v>
      </c>
      <c r="AB357" s="73"/>
      <c r="AC357" s="74"/>
      <c r="AD357" s="80" t="s">
        <v>1171</v>
      </c>
      <c r="AE357" s="80" t="s">
        <v>1860</v>
      </c>
      <c r="AF357" s="80" t="s">
        <v>2479</v>
      </c>
      <c r="AG357" s="80" t="s">
        <v>3038</v>
      </c>
      <c r="AH357" s="80" t="s">
        <v>3584</v>
      </c>
      <c r="AI357" s="80">
        <v>249593</v>
      </c>
      <c r="AJ357" s="80">
        <v>241</v>
      </c>
      <c r="AK357" s="80">
        <v>3374</v>
      </c>
      <c r="AL357" s="80">
        <v>26</v>
      </c>
      <c r="AM357" s="80" t="s">
        <v>4098</v>
      </c>
      <c r="AN357" s="96" t="str">
        <f>HYPERLINK("https://www.youtube.com/watch?v=m5MsIA6qzMg")</f>
        <v>https://www.youtube.com/watch?v=m5MsIA6qzMg</v>
      </c>
      <c r="AO357" s="80" t="e">
        <f>REPLACE(INDEX(GroupVertices[Group],MATCH(Vertices[[#This Row],[Vertex]],GroupVertices[Vertex],0)),1,1,"")</f>
        <v>#N/A</v>
      </c>
      <c r="AP357" s="48"/>
      <c r="AQ357" s="49"/>
      <c r="AR357" s="48"/>
      <c r="AS357" s="49"/>
      <c r="AT357" s="48"/>
      <c r="AU357" s="49"/>
      <c r="AV357" s="48"/>
      <c r="AW357" s="49"/>
      <c r="AX357" s="48"/>
      <c r="AY357" s="48"/>
      <c r="AZ357" s="48"/>
      <c r="BA357" s="48"/>
      <c r="BB357" s="48"/>
      <c r="BC357" s="2"/>
      <c r="BD357" s="3"/>
      <c r="BE357" s="3"/>
      <c r="BF357" s="3"/>
      <c r="BG357" s="3"/>
    </row>
    <row r="358" spans="1:59" ht="15">
      <c r="A358" s="66" t="s">
        <v>587</v>
      </c>
      <c r="B358" s="67" t="s">
        <v>4461</v>
      </c>
      <c r="C358" s="67"/>
      <c r="D358" s="68">
        <v>766.2032820646168</v>
      </c>
      <c r="E358" s="70"/>
      <c r="F358" s="97" t="str">
        <f>HYPERLINK("https://i.ytimg.com/vi/igPQ-pI8Bjo/default.jpg")</f>
        <v>https://i.ytimg.com/vi/igPQ-pI8Bjo/default.jpg</v>
      </c>
      <c r="G358" s="120" t="s">
        <v>52</v>
      </c>
      <c r="H358" s="71" t="s">
        <v>1322</v>
      </c>
      <c r="I358" s="72"/>
      <c r="J358" s="72" t="s">
        <v>159</v>
      </c>
      <c r="K358" s="71" t="s">
        <v>1322</v>
      </c>
      <c r="L358" s="75">
        <v>213.72340425531914</v>
      </c>
      <c r="M358" s="76">
        <v>8505.080078125</v>
      </c>
      <c r="N358" s="76">
        <v>7284.64794921875</v>
      </c>
      <c r="O358" s="77"/>
      <c r="P358" s="78"/>
      <c r="Q358" s="78"/>
      <c r="R358" s="82"/>
      <c r="S358" s="48"/>
      <c r="T358" s="48"/>
      <c r="U358" s="49"/>
      <c r="V358" s="49"/>
      <c r="W358" s="49"/>
      <c r="X358" s="49"/>
      <c r="Y358" s="49"/>
      <c r="Z358" s="49"/>
      <c r="AA358" s="73">
        <v>358</v>
      </c>
      <c r="AB358" s="73"/>
      <c r="AC358" s="74"/>
      <c r="AD358" s="80" t="s">
        <v>1322</v>
      </c>
      <c r="AE358" s="80" t="s">
        <v>1989</v>
      </c>
      <c r="AF358" s="80" t="s">
        <v>2590</v>
      </c>
      <c r="AG358" s="80" t="s">
        <v>3135</v>
      </c>
      <c r="AH358" s="80" t="s">
        <v>3733</v>
      </c>
      <c r="AI358" s="80">
        <v>67004</v>
      </c>
      <c r="AJ358" s="80">
        <v>0</v>
      </c>
      <c r="AK358" s="80">
        <v>459</v>
      </c>
      <c r="AL358" s="80">
        <v>25</v>
      </c>
      <c r="AM358" s="80" t="s">
        <v>4098</v>
      </c>
      <c r="AN358" s="96" t="str">
        <f>HYPERLINK("https://www.youtube.com/watch?v=igPQ-pI8Bjo")</f>
        <v>https://www.youtube.com/watch?v=igPQ-pI8Bjo</v>
      </c>
      <c r="AO358" s="80" t="e">
        <f>REPLACE(INDEX(GroupVertices[Group],MATCH(Vertices[[#This Row],[Vertex]],GroupVertices[Vertex],0)),1,1,"")</f>
        <v>#N/A</v>
      </c>
      <c r="AP358" s="48"/>
      <c r="AQ358" s="49"/>
      <c r="AR358" s="48"/>
      <c r="AS358" s="49"/>
      <c r="AT358" s="48"/>
      <c r="AU358" s="49"/>
      <c r="AV358" s="48"/>
      <c r="AW358" s="49"/>
      <c r="AX358" s="48"/>
      <c r="AY358" s="48"/>
      <c r="AZ358" s="48"/>
      <c r="BA358" s="48"/>
      <c r="BB358" s="48"/>
      <c r="BC358" s="2"/>
      <c r="BD358" s="3"/>
      <c r="BE358" s="3"/>
      <c r="BF358" s="3"/>
      <c r="BG358" s="3"/>
    </row>
    <row r="359" spans="1:59" ht="15">
      <c r="A359" s="66" t="s">
        <v>423</v>
      </c>
      <c r="B359" s="67" t="s">
        <v>4461</v>
      </c>
      <c r="C359" s="67"/>
      <c r="D359" s="68">
        <v>734.5526167513475</v>
      </c>
      <c r="E359" s="70"/>
      <c r="F359" s="97" t="str">
        <f>HYPERLINK("https://i.ytimg.com/vi/RwJ6GhOhODs/default.jpg")</f>
        <v>https://i.ytimg.com/vi/RwJ6GhOhODs/default.jpg</v>
      </c>
      <c r="G359" s="120" t="s">
        <v>52</v>
      </c>
      <c r="H359" s="71" t="s">
        <v>1131</v>
      </c>
      <c r="I359" s="72"/>
      <c r="J359" s="72" t="s">
        <v>159</v>
      </c>
      <c r="K359" s="71" t="s">
        <v>1131</v>
      </c>
      <c r="L359" s="75">
        <v>213.72340425531914</v>
      </c>
      <c r="M359" s="76">
        <v>9033.232421875</v>
      </c>
      <c r="N359" s="76">
        <v>5409.56298828125</v>
      </c>
      <c r="O359" s="77"/>
      <c r="P359" s="78"/>
      <c r="Q359" s="78"/>
      <c r="R359" s="82"/>
      <c r="S359" s="48"/>
      <c r="T359" s="48"/>
      <c r="U359" s="49"/>
      <c r="V359" s="49"/>
      <c r="W359" s="49"/>
      <c r="X359" s="49"/>
      <c r="Y359" s="49"/>
      <c r="Z359" s="49"/>
      <c r="AA359" s="73">
        <v>359</v>
      </c>
      <c r="AB359" s="73"/>
      <c r="AC359" s="74"/>
      <c r="AD359" s="80" t="s">
        <v>1131</v>
      </c>
      <c r="AE359" s="80" t="s">
        <v>1828</v>
      </c>
      <c r="AF359" s="80" t="s">
        <v>2448</v>
      </c>
      <c r="AG359" s="80" t="s">
        <v>3014</v>
      </c>
      <c r="AH359" s="80" t="s">
        <v>3544</v>
      </c>
      <c r="AI359" s="80">
        <v>46909</v>
      </c>
      <c r="AJ359" s="80">
        <v>5</v>
      </c>
      <c r="AK359" s="80">
        <v>30</v>
      </c>
      <c r="AL359" s="80">
        <v>25</v>
      </c>
      <c r="AM359" s="80" t="s">
        <v>4098</v>
      </c>
      <c r="AN359" s="96" t="str">
        <f>HYPERLINK("https://www.youtube.com/watch?v=RwJ6GhOhODs")</f>
        <v>https://www.youtube.com/watch?v=RwJ6GhOhODs</v>
      </c>
      <c r="AO359" s="80" t="e">
        <f>REPLACE(INDEX(GroupVertices[Group],MATCH(Vertices[[#This Row],[Vertex]],GroupVertices[Vertex],0)),1,1,"")</f>
        <v>#N/A</v>
      </c>
      <c r="AP359" s="48"/>
      <c r="AQ359" s="49"/>
      <c r="AR359" s="48"/>
      <c r="AS359" s="49"/>
      <c r="AT359" s="48"/>
      <c r="AU359" s="49"/>
      <c r="AV359" s="48"/>
      <c r="AW359" s="49"/>
      <c r="AX359" s="48"/>
      <c r="AY359" s="48"/>
      <c r="AZ359" s="48"/>
      <c r="BA359" s="48"/>
      <c r="BB359" s="48"/>
      <c r="BC359" s="2"/>
      <c r="BD359" s="3"/>
      <c r="BE359" s="3"/>
      <c r="BF359" s="3"/>
      <c r="BG359" s="3"/>
    </row>
    <row r="360" spans="1:59" ht="15">
      <c r="A360" s="66" t="s">
        <v>609</v>
      </c>
      <c r="B360" s="67" t="s">
        <v>4461</v>
      </c>
      <c r="C360" s="67"/>
      <c r="D360" s="68">
        <v>576.4992655891148</v>
      </c>
      <c r="E360" s="70"/>
      <c r="F360" s="97" t="str">
        <f>HYPERLINK("https://i.ytimg.com/vi/msH-JwJwwkY/default.jpg")</f>
        <v>https://i.ytimg.com/vi/msH-JwJwwkY/default.jpg</v>
      </c>
      <c r="G360" s="120" t="s">
        <v>52</v>
      </c>
      <c r="H360" s="71" t="s">
        <v>1349</v>
      </c>
      <c r="I360" s="72"/>
      <c r="J360" s="72" t="s">
        <v>159</v>
      </c>
      <c r="K360" s="71" t="s">
        <v>1349</v>
      </c>
      <c r="L360" s="75">
        <v>213.72340425531914</v>
      </c>
      <c r="M360" s="76">
        <v>9840.6376953125</v>
      </c>
      <c r="N360" s="76">
        <v>1229.6640625</v>
      </c>
      <c r="O360" s="77"/>
      <c r="P360" s="78"/>
      <c r="Q360" s="78"/>
      <c r="R360" s="82"/>
      <c r="S360" s="48"/>
      <c r="T360" s="48"/>
      <c r="U360" s="49"/>
      <c r="V360" s="49"/>
      <c r="W360" s="49"/>
      <c r="X360" s="49"/>
      <c r="Y360" s="49"/>
      <c r="Z360" s="49"/>
      <c r="AA360" s="73">
        <v>360</v>
      </c>
      <c r="AB360" s="73"/>
      <c r="AC360" s="74"/>
      <c r="AD360" s="80" t="s">
        <v>1349</v>
      </c>
      <c r="AE360" s="80" t="s">
        <v>2015</v>
      </c>
      <c r="AF360" s="80" t="s">
        <v>2613</v>
      </c>
      <c r="AG360" s="80" t="s">
        <v>3155</v>
      </c>
      <c r="AH360" s="80" t="s">
        <v>3761</v>
      </c>
      <c r="AI360" s="80">
        <v>7907</v>
      </c>
      <c r="AJ360" s="80">
        <v>3</v>
      </c>
      <c r="AK360" s="80">
        <v>14</v>
      </c>
      <c r="AL360" s="80">
        <v>25</v>
      </c>
      <c r="AM360" s="80" t="s">
        <v>4098</v>
      </c>
      <c r="AN360" s="96" t="str">
        <f>HYPERLINK("https://www.youtube.com/watch?v=msH-JwJwwkY")</f>
        <v>https://www.youtube.com/watch?v=msH-JwJwwkY</v>
      </c>
      <c r="AO360" s="80" t="e">
        <f>REPLACE(INDEX(GroupVertices[Group],MATCH(Vertices[[#This Row],[Vertex]],GroupVertices[Vertex],0)),1,1,"")</f>
        <v>#N/A</v>
      </c>
      <c r="AP360" s="48"/>
      <c r="AQ360" s="49"/>
      <c r="AR360" s="48"/>
      <c r="AS360" s="49"/>
      <c r="AT360" s="48"/>
      <c r="AU360" s="49"/>
      <c r="AV360" s="48"/>
      <c r="AW360" s="49"/>
      <c r="AX360" s="48"/>
      <c r="AY360" s="48"/>
      <c r="AZ360" s="48"/>
      <c r="BA360" s="48"/>
      <c r="BB360" s="48"/>
      <c r="BC360" s="2"/>
      <c r="BD360" s="3"/>
      <c r="BE360" s="3"/>
      <c r="BF360" s="3"/>
      <c r="BG360" s="3"/>
    </row>
    <row r="361" spans="1:59" ht="15">
      <c r="A361" s="66" t="s">
        <v>419</v>
      </c>
      <c r="B361" s="67" t="s">
        <v>4461</v>
      </c>
      <c r="C361" s="67"/>
      <c r="D361" s="68">
        <v>794.9172654063874</v>
      </c>
      <c r="E361" s="70"/>
      <c r="F361" s="97" t="str">
        <f>HYPERLINK("https://i.ytimg.com/vi/0bkw7cnZLwQ/default.jpg")</f>
        <v>https://i.ytimg.com/vi/0bkw7cnZLwQ/default.jpg</v>
      </c>
      <c r="G361" s="120" t="s">
        <v>52</v>
      </c>
      <c r="H361" s="71" t="s">
        <v>1127</v>
      </c>
      <c r="I361" s="72"/>
      <c r="J361" s="72" t="s">
        <v>159</v>
      </c>
      <c r="K361" s="71" t="s">
        <v>1127</v>
      </c>
      <c r="L361" s="75">
        <v>213.72340425531914</v>
      </c>
      <c r="M361" s="76">
        <v>8284.3603515625</v>
      </c>
      <c r="N361" s="76">
        <v>4208.02783203125</v>
      </c>
      <c r="O361" s="77"/>
      <c r="P361" s="78"/>
      <c r="Q361" s="78"/>
      <c r="R361" s="82"/>
      <c r="S361" s="48"/>
      <c r="T361" s="48"/>
      <c r="U361" s="49"/>
      <c r="V361" s="49"/>
      <c r="W361" s="49"/>
      <c r="X361" s="49"/>
      <c r="Y361" s="49"/>
      <c r="Z361" s="49"/>
      <c r="AA361" s="73">
        <v>361</v>
      </c>
      <c r="AB361" s="73"/>
      <c r="AC361" s="74"/>
      <c r="AD361" s="80" t="s">
        <v>1127</v>
      </c>
      <c r="AE361" s="80" t="s">
        <v>1824</v>
      </c>
      <c r="AF361" s="80" t="s">
        <v>2444</v>
      </c>
      <c r="AG361" s="80" t="s">
        <v>3010</v>
      </c>
      <c r="AH361" s="80" t="s">
        <v>3540</v>
      </c>
      <c r="AI361" s="80">
        <v>92593</v>
      </c>
      <c r="AJ361" s="80">
        <v>15</v>
      </c>
      <c r="AK361" s="80">
        <v>184</v>
      </c>
      <c r="AL361" s="80">
        <v>24</v>
      </c>
      <c r="AM361" s="80" t="s">
        <v>4098</v>
      </c>
      <c r="AN361" s="96" t="str">
        <f>HYPERLINK("https://www.youtube.com/watch?v=0bkw7cnZLwQ")</f>
        <v>https://www.youtube.com/watch?v=0bkw7cnZLwQ</v>
      </c>
      <c r="AO361" s="80" t="e">
        <f>REPLACE(INDEX(GroupVertices[Group],MATCH(Vertices[[#This Row],[Vertex]],GroupVertices[Vertex],0)),1,1,"")</f>
        <v>#N/A</v>
      </c>
      <c r="AP361" s="48"/>
      <c r="AQ361" s="49"/>
      <c r="AR361" s="48"/>
      <c r="AS361" s="49"/>
      <c r="AT361" s="48"/>
      <c r="AU361" s="49"/>
      <c r="AV361" s="48"/>
      <c r="AW361" s="49"/>
      <c r="AX361" s="48"/>
      <c r="AY361" s="48"/>
      <c r="AZ361" s="48"/>
      <c r="BA361" s="48"/>
      <c r="BB361" s="48"/>
      <c r="BC361" s="2"/>
      <c r="BD361" s="3"/>
      <c r="BE361" s="3"/>
      <c r="BF361" s="3"/>
      <c r="BG361" s="3"/>
    </row>
    <row r="362" spans="1:59" ht="15">
      <c r="A362" s="66" t="s">
        <v>531</v>
      </c>
      <c r="B362" s="67" t="s">
        <v>4461</v>
      </c>
      <c r="C362" s="67"/>
      <c r="D362" s="68">
        <v>792.6046836376996</v>
      </c>
      <c r="E362" s="70"/>
      <c r="F362" s="97" t="str">
        <f>HYPERLINK("https://i.ytimg.com/vi/J6g53Hm0rq4/default.jpg")</f>
        <v>https://i.ytimg.com/vi/J6g53Hm0rq4/default.jpg</v>
      </c>
      <c r="G362" s="120" t="s">
        <v>52</v>
      </c>
      <c r="H362" s="71" t="s">
        <v>1263</v>
      </c>
      <c r="I362" s="72"/>
      <c r="J362" s="72" t="s">
        <v>159</v>
      </c>
      <c r="K362" s="71" t="s">
        <v>1263</v>
      </c>
      <c r="L362" s="75">
        <v>213.72340425531914</v>
      </c>
      <c r="M362" s="76">
        <v>4102.81640625</v>
      </c>
      <c r="N362" s="76">
        <v>6456.17578125</v>
      </c>
      <c r="O362" s="77"/>
      <c r="P362" s="78"/>
      <c r="Q362" s="78"/>
      <c r="R362" s="82"/>
      <c r="S362" s="48"/>
      <c r="T362" s="48"/>
      <c r="U362" s="49"/>
      <c r="V362" s="49"/>
      <c r="W362" s="49"/>
      <c r="X362" s="49"/>
      <c r="Y362" s="49"/>
      <c r="Z362" s="49"/>
      <c r="AA362" s="73">
        <v>362</v>
      </c>
      <c r="AB362" s="73"/>
      <c r="AC362" s="74"/>
      <c r="AD362" s="80" t="s">
        <v>1263</v>
      </c>
      <c r="AE362" s="80" t="s">
        <v>1939</v>
      </c>
      <c r="AF362" s="80" t="s">
        <v>2548</v>
      </c>
      <c r="AG362" s="80" t="s">
        <v>3098</v>
      </c>
      <c r="AH362" s="80" t="s">
        <v>3675</v>
      </c>
      <c r="AI362" s="80">
        <v>90212</v>
      </c>
      <c r="AJ362" s="80">
        <v>48</v>
      </c>
      <c r="AK362" s="80">
        <v>812</v>
      </c>
      <c r="AL362" s="80">
        <v>24</v>
      </c>
      <c r="AM362" s="80" t="s">
        <v>4098</v>
      </c>
      <c r="AN362" s="96" t="str">
        <f>HYPERLINK("https://www.youtube.com/watch?v=J6g53Hm0rq4")</f>
        <v>https://www.youtube.com/watch?v=J6g53Hm0rq4</v>
      </c>
      <c r="AO362" s="80" t="e">
        <f>REPLACE(INDEX(GroupVertices[Group],MATCH(Vertices[[#This Row],[Vertex]],GroupVertices[Vertex],0)),1,1,"")</f>
        <v>#N/A</v>
      </c>
      <c r="AP362" s="48"/>
      <c r="AQ362" s="49"/>
      <c r="AR362" s="48"/>
      <c r="AS362" s="49"/>
      <c r="AT362" s="48"/>
      <c r="AU362" s="49"/>
      <c r="AV362" s="48"/>
      <c r="AW362" s="49"/>
      <c r="AX362" s="48"/>
      <c r="AY362" s="48"/>
      <c r="AZ362" s="48"/>
      <c r="BA362" s="48"/>
      <c r="BB362" s="48"/>
      <c r="BC362" s="2"/>
      <c r="BD362" s="3"/>
      <c r="BE362" s="3"/>
      <c r="BF362" s="3"/>
      <c r="BG362" s="3"/>
    </row>
    <row r="363" spans="1:59" ht="15">
      <c r="A363" s="66" t="s">
        <v>468</v>
      </c>
      <c r="B363" s="67" t="s">
        <v>4461</v>
      </c>
      <c r="C363" s="67"/>
      <c r="D363" s="68">
        <v>852.3052307828528</v>
      </c>
      <c r="E363" s="70"/>
      <c r="F363" s="97" t="str">
        <f>HYPERLINK("https://i.ytimg.com/vi/j1V2McKbkLo/default.jpg")</f>
        <v>https://i.ytimg.com/vi/j1V2McKbkLo/default.jpg</v>
      </c>
      <c r="G363" s="120" t="s">
        <v>52</v>
      </c>
      <c r="H363" s="71" t="s">
        <v>1179</v>
      </c>
      <c r="I363" s="72"/>
      <c r="J363" s="72" t="s">
        <v>159</v>
      </c>
      <c r="K363" s="71" t="s">
        <v>1179</v>
      </c>
      <c r="L363" s="75">
        <v>213.72340425531914</v>
      </c>
      <c r="M363" s="76">
        <v>4019.281005859375</v>
      </c>
      <c r="N363" s="76">
        <v>2756.768798828125</v>
      </c>
      <c r="O363" s="77"/>
      <c r="P363" s="78"/>
      <c r="Q363" s="78"/>
      <c r="R363" s="82"/>
      <c r="S363" s="48"/>
      <c r="T363" s="48"/>
      <c r="U363" s="49"/>
      <c r="V363" s="49"/>
      <c r="W363" s="49"/>
      <c r="X363" s="49"/>
      <c r="Y363" s="49"/>
      <c r="Z363" s="49"/>
      <c r="AA363" s="73">
        <v>363</v>
      </c>
      <c r="AB363" s="73"/>
      <c r="AC363" s="74"/>
      <c r="AD363" s="80" t="s">
        <v>1179</v>
      </c>
      <c r="AE363" s="80" t="s">
        <v>1868</v>
      </c>
      <c r="AF363" s="80" t="s">
        <v>2484</v>
      </c>
      <c r="AG363" s="80" t="s">
        <v>3046</v>
      </c>
      <c r="AH363" s="80" t="s">
        <v>3592</v>
      </c>
      <c r="AI363" s="80">
        <v>176741</v>
      </c>
      <c r="AJ363" s="80">
        <v>136</v>
      </c>
      <c r="AK363" s="80">
        <v>1213</v>
      </c>
      <c r="AL363" s="80">
        <v>23</v>
      </c>
      <c r="AM363" s="80" t="s">
        <v>4098</v>
      </c>
      <c r="AN363" s="96" t="str">
        <f>HYPERLINK("https://www.youtube.com/watch?v=j1V2McKbkLo")</f>
        <v>https://www.youtube.com/watch?v=j1V2McKbkLo</v>
      </c>
      <c r="AO363" s="80" t="e">
        <f>REPLACE(INDEX(GroupVertices[Group],MATCH(Vertices[[#This Row],[Vertex]],GroupVertices[Vertex],0)),1,1,"")</f>
        <v>#N/A</v>
      </c>
      <c r="AP363" s="48"/>
      <c r="AQ363" s="49"/>
      <c r="AR363" s="48"/>
      <c r="AS363" s="49"/>
      <c r="AT363" s="48"/>
      <c r="AU363" s="49"/>
      <c r="AV363" s="48"/>
      <c r="AW363" s="49"/>
      <c r="AX363" s="48"/>
      <c r="AY363" s="48"/>
      <c r="AZ363" s="48"/>
      <c r="BA363" s="48"/>
      <c r="BB363" s="48"/>
      <c r="BC363" s="2"/>
      <c r="BD363" s="3"/>
      <c r="BE363" s="3"/>
      <c r="BF363" s="3"/>
      <c r="BG363" s="3"/>
    </row>
    <row r="364" spans="1:59" ht="15">
      <c r="A364" s="66" t="s">
        <v>291</v>
      </c>
      <c r="B364" s="67" t="s">
        <v>4461</v>
      </c>
      <c r="C364" s="67"/>
      <c r="D364" s="68">
        <v>804.9774315767949</v>
      </c>
      <c r="E364" s="70"/>
      <c r="F364" s="97" t="str">
        <f>HYPERLINK("https://i.ytimg.com/vi/rlAuiNBqfMI/default.jpg")</f>
        <v>https://i.ytimg.com/vi/rlAuiNBqfMI/default.jpg</v>
      </c>
      <c r="G364" s="120" t="s">
        <v>52</v>
      </c>
      <c r="H364" s="71" t="s">
        <v>988</v>
      </c>
      <c r="I364" s="72"/>
      <c r="J364" s="72" t="s">
        <v>159</v>
      </c>
      <c r="K364" s="71" t="s">
        <v>988</v>
      </c>
      <c r="L364" s="75">
        <v>213.72340425531914</v>
      </c>
      <c r="M364" s="76">
        <v>5698.48095703125</v>
      </c>
      <c r="N364" s="76">
        <v>6703.677734375</v>
      </c>
      <c r="O364" s="77"/>
      <c r="P364" s="78"/>
      <c r="Q364" s="78"/>
      <c r="R364" s="82"/>
      <c r="S364" s="48"/>
      <c r="T364" s="48"/>
      <c r="U364" s="49"/>
      <c r="V364" s="49"/>
      <c r="W364" s="49"/>
      <c r="X364" s="49"/>
      <c r="Y364" s="49"/>
      <c r="Z364" s="49"/>
      <c r="AA364" s="73">
        <v>364</v>
      </c>
      <c r="AB364" s="73"/>
      <c r="AC364" s="74"/>
      <c r="AD364" s="80" t="s">
        <v>988</v>
      </c>
      <c r="AE364" s="80" t="s">
        <v>1711</v>
      </c>
      <c r="AF364" s="80" t="s">
        <v>2343</v>
      </c>
      <c r="AG364" s="80" t="s">
        <v>2920</v>
      </c>
      <c r="AH364" s="80" t="s">
        <v>3403</v>
      </c>
      <c r="AI364" s="80">
        <v>103704</v>
      </c>
      <c r="AJ364" s="80">
        <v>68</v>
      </c>
      <c r="AK364" s="80">
        <v>401</v>
      </c>
      <c r="AL364" s="80">
        <v>23</v>
      </c>
      <c r="AM364" s="80" t="s">
        <v>4098</v>
      </c>
      <c r="AN364" s="96" t="str">
        <f>HYPERLINK("https://www.youtube.com/watch?v=rlAuiNBqfMI")</f>
        <v>https://www.youtube.com/watch?v=rlAuiNBqfMI</v>
      </c>
      <c r="AO364" s="80" t="e">
        <f>REPLACE(INDEX(GroupVertices[Group],MATCH(Vertices[[#This Row],[Vertex]],GroupVertices[Vertex],0)),1,1,"")</f>
        <v>#N/A</v>
      </c>
      <c r="AP364" s="48"/>
      <c r="AQ364" s="49"/>
      <c r="AR364" s="48"/>
      <c r="AS364" s="49"/>
      <c r="AT364" s="48"/>
      <c r="AU364" s="49"/>
      <c r="AV364" s="48"/>
      <c r="AW364" s="49"/>
      <c r="AX364" s="48"/>
      <c r="AY364" s="48"/>
      <c r="AZ364" s="48"/>
      <c r="BA364" s="48"/>
      <c r="BB364" s="48"/>
      <c r="BC364" s="2"/>
      <c r="BD364" s="3"/>
      <c r="BE364" s="3"/>
      <c r="BF364" s="3"/>
      <c r="BG364" s="3"/>
    </row>
    <row r="365" spans="1:59" ht="15">
      <c r="A365" s="66" t="s">
        <v>497</v>
      </c>
      <c r="B365" s="67" t="s">
        <v>4461</v>
      </c>
      <c r="C365" s="67"/>
      <c r="D365" s="68">
        <v>633.1202675269715</v>
      </c>
      <c r="E365" s="70"/>
      <c r="F365" s="97" t="str">
        <f>HYPERLINK("https://i.ytimg.com/vi/KaStbAFf-PA/default.jpg")</f>
        <v>https://i.ytimg.com/vi/KaStbAFf-PA/default.jpg</v>
      </c>
      <c r="G365" s="120" t="s">
        <v>52</v>
      </c>
      <c r="H365" s="71" t="s">
        <v>1213</v>
      </c>
      <c r="I365" s="72"/>
      <c r="J365" s="72" t="s">
        <v>159</v>
      </c>
      <c r="K365" s="71" t="s">
        <v>1213</v>
      </c>
      <c r="L365" s="75">
        <v>213.72340425531914</v>
      </c>
      <c r="M365" s="76">
        <v>6490.71533203125</v>
      </c>
      <c r="N365" s="76">
        <v>1227.58349609375</v>
      </c>
      <c r="O365" s="77"/>
      <c r="P365" s="78"/>
      <c r="Q365" s="78"/>
      <c r="R365" s="82"/>
      <c r="S365" s="48"/>
      <c r="T365" s="48"/>
      <c r="U365" s="49"/>
      <c r="V365" s="49"/>
      <c r="W365" s="49"/>
      <c r="X365" s="49"/>
      <c r="Y365" s="49"/>
      <c r="Z365" s="49"/>
      <c r="AA365" s="73">
        <v>365</v>
      </c>
      <c r="AB365" s="73"/>
      <c r="AC365" s="74"/>
      <c r="AD365" s="80" t="s">
        <v>1213</v>
      </c>
      <c r="AE365" s="96" t="str">
        <f>HYPERLINK("https://letsextract.com")</f>
        <v>https://letsextract.com</v>
      </c>
      <c r="AF365" s="80" t="s">
        <v>2511</v>
      </c>
      <c r="AG365" s="80" t="s">
        <v>3066</v>
      </c>
      <c r="AH365" s="80" t="s">
        <v>3625</v>
      </c>
      <c r="AI365" s="80">
        <v>14963</v>
      </c>
      <c r="AJ365" s="80">
        <v>11</v>
      </c>
      <c r="AK365" s="80">
        <v>117</v>
      </c>
      <c r="AL365" s="80">
        <v>23</v>
      </c>
      <c r="AM365" s="80" t="s">
        <v>4098</v>
      </c>
      <c r="AN365" s="96" t="str">
        <f>HYPERLINK("https://www.youtube.com/watch?v=KaStbAFf-PA")</f>
        <v>https://www.youtube.com/watch?v=KaStbAFf-PA</v>
      </c>
      <c r="AO365" s="80" t="e">
        <f>REPLACE(INDEX(GroupVertices[Group],MATCH(Vertices[[#This Row],[Vertex]],GroupVertices[Vertex],0)),1,1,"")</f>
        <v>#N/A</v>
      </c>
      <c r="AP365" s="48"/>
      <c r="AQ365" s="49"/>
      <c r="AR365" s="48"/>
      <c r="AS365" s="49"/>
      <c r="AT365" s="48"/>
      <c r="AU365" s="49"/>
      <c r="AV365" s="48"/>
      <c r="AW365" s="49"/>
      <c r="AX365" s="48"/>
      <c r="AY365" s="48"/>
      <c r="AZ365" s="48"/>
      <c r="BA365" s="48"/>
      <c r="BB365" s="48"/>
      <c r="BC365" s="2"/>
      <c r="BD365" s="3"/>
      <c r="BE365" s="3"/>
      <c r="BF365" s="3"/>
      <c r="BG365" s="3"/>
    </row>
    <row r="366" spans="1:59" ht="15">
      <c r="A366" s="66" t="s">
        <v>713</v>
      </c>
      <c r="B366" s="67" t="s">
        <v>4461</v>
      </c>
      <c r="C366" s="67"/>
      <c r="D366" s="68">
        <v>868.4598767494034</v>
      </c>
      <c r="E366" s="70"/>
      <c r="F366" s="97" t="str">
        <f>HYPERLINK("https://i.ytimg.com/vi/3KK7i084W2w/default.jpg")</f>
        <v>https://i.ytimg.com/vi/3KK7i084W2w/default.jpg</v>
      </c>
      <c r="G366" s="120" t="s">
        <v>52</v>
      </c>
      <c r="H366" s="71" t="s">
        <v>1454</v>
      </c>
      <c r="I366" s="72"/>
      <c r="J366" s="72" t="s">
        <v>159</v>
      </c>
      <c r="K366" s="71" t="s">
        <v>1454</v>
      </c>
      <c r="L366" s="75">
        <v>213.72340425531914</v>
      </c>
      <c r="M366" s="76">
        <v>7204.62548828125</v>
      </c>
      <c r="N366" s="76">
        <v>7546.796875</v>
      </c>
      <c r="O366" s="77"/>
      <c r="P366" s="78"/>
      <c r="Q366" s="78"/>
      <c r="R366" s="82"/>
      <c r="S366" s="48"/>
      <c r="T366" s="48"/>
      <c r="U366" s="49"/>
      <c r="V366" s="49"/>
      <c r="W366" s="49"/>
      <c r="X366" s="49"/>
      <c r="Y366" s="49"/>
      <c r="Z366" s="49"/>
      <c r="AA366" s="73">
        <v>366</v>
      </c>
      <c r="AB366" s="73"/>
      <c r="AC366" s="74"/>
      <c r="AD366" s="80" t="s">
        <v>1454</v>
      </c>
      <c r="AE366" s="80" t="s">
        <v>2112</v>
      </c>
      <c r="AF366" s="80" t="s">
        <v>2701</v>
      </c>
      <c r="AG366" s="80" t="s">
        <v>3232</v>
      </c>
      <c r="AH366" s="80" t="s">
        <v>3867</v>
      </c>
      <c r="AI366" s="80">
        <v>212017</v>
      </c>
      <c r="AJ366" s="80">
        <v>28</v>
      </c>
      <c r="AK366" s="80">
        <v>208</v>
      </c>
      <c r="AL366" s="80">
        <v>22</v>
      </c>
      <c r="AM366" s="80" t="s">
        <v>4098</v>
      </c>
      <c r="AN366" s="96" t="str">
        <f>HYPERLINK("https://www.youtube.com/watch?v=3KK7i084W2w")</f>
        <v>https://www.youtube.com/watch?v=3KK7i084W2w</v>
      </c>
      <c r="AO366" s="80" t="e">
        <f>REPLACE(INDEX(GroupVertices[Group],MATCH(Vertices[[#This Row],[Vertex]],GroupVertices[Vertex],0)),1,1,"")</f>
        <v>#N/A</v>
      </c>
      <c r="AP366" s="48"/>
      <c r="AQ366" s="49"/>
      <c r="AR366" s="48"/>
      <c r="AS366" s="49"/>
      <c r="AT366" s="48"/>
      <c r="AU366" s="49"/>
      <c r="AV366" s="48"/>
      <c r="AW366" s="49"/>
      <c r="AX366" s="48"/>
      <c r="AY366" s="48"/>
      <c r="AZ366" s="48"/>
      <c r="BA366" s="48"/>
      <c r="BB366" s="48"/>
      <c r="BC366" s="2"/>
      <c r="BD366" s="3"/>
      <c r="BE366" s="3"/>
      <c r="BF366" s="3"/>
      <c r="BG366" s="3"/>
    </row>
    <row r="367" spans="1:59" ht="15">
      <c r="A367" s="66" t="s">
        <v>679</v>
      </c>
      <c r="B367" s="67" t="s">
        <v>4461</v>
      </c>
      <c r="C367" s="67"/>
      <c r="D367" s="68">
        <v>769.411705176118</v>
      </c>
      <c r="E367" s="70"/>
      <c r="F367" s="97" t="str">
        <f>HYPERLINK("https://i.ytimg.com/vi/fA54yVSKVqU/default.jpg")</f>
        <v>https://i.ytimg.com/vi/fA54yVSKVqU/default.jpg</v>
      </c>
      <c r="G367" s="120" t="s">
        <v>52</v>
      </c>
      <c r="H367" s="71" t="s">
        <v>1420</v>
      </c>
      <c r="I367" s="72"/>
      <c r="J367" s="72" t="s">
        <v>159</v>
      </c>
      <c r="K367" s="71" t="s">
        <v>1420</v>
      </c>
      <c r="L367" s="75">
        <v>213.72340425531914</v>
      </c>
      <c r="M367" s="76">
        <v>8257.0810546875</v>
      </c>
      <c r="N367" s="76">
        <v>1939.89306640625</v>
      </c>
      <c r="O367" s="77"/>
      <c r="P367" s="78"/>
      <c r="Q367" s="78"/>
      <c r="R367" s="82"/>
      <c r="S367" s="48"/>
      <c r="T367" s="48"/>
      <c r="U367" s="49"/>
      <c r="V367" s="49"/>
      <c r="W367" s="49"/>
      <c r="X367" s="49"/>
      <c r="Y367" s="49"/>
      <c r="Z367" s="49"/>
      <c r="AA367" s="73">
        <v>367</v>
      </c>
      <c r="AB367" s="73"/>
      <c r="AC367" s="74"/>
      <c r="AD367" s="80" t="s">
        <v>1420</v>
      </c>
      <c r="AE367" s="80" t="s">
        <v>2079</v>
      </c>
      <c r="AF367" s="80" t="s">
        <v>2669</v>
      </c>
      <c r="AG367" s="80" t="s">
        <v>3201</v>
      </c>
      <c r="AH367" s="80" t="s">
        <v>3832</v>
      </c>
      <c r="AI367" s="80">
        <v>69470</v>
      </c>
      <c r="AJ367" s="80">
        <v>169</v>
      </c>
      <c r="AK367" s="80">
        <v>1395</v>
      </c>
      <c r="AL367" s="80">
        <v>22</v>
      </c>
      <c r="AM367" s="80" t="s">
        <v>4098</v>
      </c>
      <c r="AN367" s="96" t="str">
        <f>HYPERLINK("https://www.youtube.com/watch?v=fA54yVSKVqU")</f>
        <v>https://www.youtube.com/watch?v=fA54yVSKVqU</v>
      </c>
      <c r="AO367" s="80" t="e">
        <f>REPLACE(INDEX(GroupVertices[Group],MATCH(Vertices[[#This Row],[Vertex]],GroupVertices[Vertex],0)),1,1,"")</f>
        <v>#N/A</v>
      </c>
      <c r="AP367" s="48"/>
      <c r="AQ367" s="49"/>
      <c r="AR367" s="48"/>
      <c r="AS367" s="49"/>
      <c r="AT367" s="48"/>
      <c r="AU367" s="49"/>
      <c r="AV367" s="48"/>
      <c r="AW367" s="49"/>
      <c r="AX367" s="48"/>
      <c r="AY367" s="48"/>
      <c r="AZ367" s="48"/>
      <c r="BA367" s="48"/>
      <c r="BB367" s="48"/>
      <c r="BC367" s="2"/>
      <c r="BD367" s="3"/>
      <c r="BE367" s="3"/>
      <c r="BF367" s="3"/>
      <c r="BG367" s="3"/>
    </row>
    <row r="368" spans="1:59" ht="15">
      <c r="A368" s="66" t="s">
        <v>927</v>
      </c>
      <c r="B368" s="67" t="s">
        <v>4461</v>
      </c>
      <c r="C368" s="67"/>
      <c r="D368" s="68">
        <v>745.3916673319073</v>
      </c>
      <c r="E368" s="70"/>
      <c r="F368" s="97" t="str">
        <f>HYPERLINK("https://i.ytimg.com/vi/ixF5WNpTzCA/default.jpg")</f>
        <v>https://i.ytimg.com/vi/ixF5WNpTzCA/default.jpg</v>
      </c>
      <c r="G368" s="120" t="s">
        <v>52</v>
      </c>
      <c r="H368" s="71" t="s">
        <v>1665</v>
      </c>
      <c r="I368" s="72"/>
      <c r="J368" s="72" t="s">
        <v>159</v>
      </c>
      <c r="K368" s="71" t="s">
        <v>1665</v>
      </c>
      <c r="L368" s="75">
        <v>213.72340425531914</v>
      </c>
      <c r="M368" s="76">
        <v>1432.3614501953125</v>
      </c>
      <c r="N368" s="76">
        <v>4945.802734375</v>
      </c>
      <c r="O368" s="77"/>
      <c r="P368" s="78"/>
      <c r="Q368" s="78"/>
      <c r="R368" s="82"/>
      <c r="S368" s="48"/>
      <c r="T368" s="48"/>
      <c r="U368" s="49"/>
      <c r="V368" s="49"/>
      <c r="W368" s="49"/>
      <c r="X368" s="49"/>
      <c r="Y368" s="49"/>
      <c r="Z368" s="49"/>
      <c r="AA368" s="73">
        <v>368</v>
      </c>
      <c r="AB368" s="73"/>
      <c r="AC368" s="74"/>
      <c r="AD368" s="80" t="s">
        <v>1665</v>
      </c>
      <c r="AE368" s="80" t="s">
        <v>2300</v>
      </c>
      <c r="AF368" s="80" t="s">
        <v>2881</v>
      </c>
      <c r="AG368" s="80" t="s">
        <v>3296</v>
      </c>
      <c r="AH368" s="80" t="s">
        <v>4081</v>
      </c>
      <c r="AI368" s="80">
        <v>53001</v>
      </c>
      <c r="AJ368" s="80">
        <v>28</v>
      </c>
      <c r="AK368" s="80">
        <v>711</v>
      </c>
      <c r="AL368" s="80">
        <v>22</v>
      </c>
      <c r="AM368" s="80" t="s">
        <v>4098</v>
      </c>
      <c r="AN368" s="96" t="str">
        <f>HYPERLINK("https://www.youtube.com/watch?v=ixF5WNpTzCA")</f>
        <v>https://www.youtube.com/watch?v=ixF5WNpTzCA</v>
      </c>
      <c r="AO368" s="80" t="e">
        <f>REPLACE(INDEX(GroupVertices[Group],MATCH(Vertices[[#This Row],[Vertex]],GroupVertices[Vertex],0)),1,1,"")</f>
        <v>#N/A</v>
      </c>
      <c r="AP368" s="48"/>
      <c r="AQ368" s="49"/>
      <c r="AR368" s="48"/>
      <c r="AS368" s="49"/>
      <c r="AT368" s="48"/>
      <c r="AU368" s="49"/>
      <c r="AV368" s="48"/>
      <c r="AW368" s="49"/>
      <c r="AX368" s="48"/>
      <c r="AY368" s="48"/>
      <c r="AZ368" s="48"/>
      <c r="BA368" s="48"/>
      <c r="BB368" s="48"/>
      <c r="BC368" s="2"/>
      <c r="BD368" s="3"/>
      <c r="BE368" s="3"/>
      <c r="BF368" s="3"/>
      <c r="BG368" s="3"/>
    </row>
    <row r="369" spans="1:59" ht="15">
      <c r="A369" s="66" t="s">
        <v>669</v>
      </c>
      <c r="B369" s="67" t="s">
        <v>4461</v>
      </c>
      <c r="C369" s="67"/>
      <c r="D369" s="68">
        <v>661.9783481761464</v>
      </c>
      <c r="E369" s="70"/>
      <c r="F369" s="97" t="str">
        <f>HYPERLINK("https://i.ytimg.com/vi/4ZxPJeZ31XI/default.jpg")</f>
        <v>https://i.ytimg.com/vi/4ZxPJeZ31XI/default.jpg</v>
      </c>
      <c r="G369" s="120" t="s">
        <v>52</v>
      </c>
      <c r="H369" s="71" t="s">
        <v>1410</v>
      </c>
      <c r="I369" s="72"/>
      <c r="J369" s="72" t="s">
        <v>159</v>
      </c>
      <c r="K369" s="71" t="s">
        <v>1410</v>
      </c>
      <c r="L369" s="75">
        <v>213.72340425531914</v>
      </c>
      <c r="M369" s="76">
        <v>8199.443359375</v>
      </c>
      <c r="N369" s="76">
        <v>3343.330322265625</v>
      </c>
      <c r="O369" s="77"/>
      <c r="P369" s="78"/>
      <c r="Q369" s="78"/>
      <c r="R369" s="82"/>
      <c r="S369" s="48"/>
      <c r="T369" s="48"/>
      <c r="U369" s="49"/>
      <c r="V369" s="49"/>
      <c r="W369" s="49"/>
      <c r="X369" s="49"/>
      <c r="Y369" s="49"/>
      <c r="Z369" s="49"/>
      <c r="AA369" s="73">
        <v>369</v>
      </c>
      <c r="AB369" s="73"/>
      <c r="AC369" s="74"/>
      <c r="AD369" s="80" t="s">
        <v>1410</v>
      </c>
      <c r="AE369" s="80" t="s">
        <v>2070</v>
      </c>
      <c r="AF369" s="80" t="s">
        <v>2661</v>
      </c>
      <c r="AG369" s="80" t="s">
        <v>3201</v>
      </c>
      <c r="AH369" s="80" t="s">
        <v>3822</v>
      </c>
      <c r="AI369" s="80">
        <v>20711</v>
      </c>
      <c r="AJ369" s="80">
        <v>78</v>
      </c>
      <c r="AK369" s="80">
        <v>385</v>
      </c>
      <c r="AL369" s="80">
        <v>22</v>
      </c>
      <c r="AM369" s="80" t="s">
        <v>4098</v>
      </c>
      <c r="AN369" s="96" t="str">
        <f>HYPERLINK("https://www.youtube.com/watch?v=4ZxPJeZ31XI")</f>
        <v>https://www.youtube.com/watch?v=4ZxPJeZ31XI</v>
      </c>
      <c r="AO369" s="80" t="e">
        <f>REPLACE(INDEX(GroupVertices[Group],MATCH(Vertices[[#This Row],[Vertex]],GroupVertices[Vertex],0)),1,1,"")</f>
        <v>#N/A</v>
      </c>
      <c r="AP369" s="48"/>
      <c r="AQ369" s="49"/>
      <c r="AR369" s="48"/>
      <c r="AS369" s="49"/>
      <c r="AT369" s="48"/>
      <c r="AU369" s="49"/>
      <c r="AV369" s="48"/>
      <c r="AW369" s="49"/>
      <c r="AX369" s="48"/>
      <c r="AY369" s="48"/>
      <c r="AZ369" s="48"/>
      <c r="BA369" s="48"/>
      <c r="BB369" s="48"/>
      <c r="BC369" s="2"/>
      <c r="BD369" s="3"/>
      <c r="BE369" s="3"/>
      <c r="BF369" s="3"/>
      <c r="BG369" s="3"/>
    </row>
    <row r="370" spans="1:59" ht="15">
      <c r="A370" s="66" t="s">
        <v>594</v>
      </c>
      <c r="B370" s="67" t="s">
        <v>4461</v>
      </c>
      <c r="C370" s="67"/>
      <c r="D370" s="68">
        <v>828.0025450221223</v>
      </c>
      <c r="E370" s="70"/>
      <c r="F370" s="97" t="str">
        <f>HYPERLINK("https://i.ytimg.com/vi/4ZI4TDgiU9A/default.jpg")</f>
        <v>https://i.ytimg.com/vi/4ZI4TDgiU9A/default.jpg</v>
      </c>
      <c r="G370" s="120" t="s">
        <v>52</v>
      </c>
      <c r="H370" s="71" t="s">
        <v>1329</v>
      </c>
      <c r="I370" s="72"/>
      <c r="J370" s="72" t="s">
        <v>159</v>
      </c>
      <c r="K370" s="71" t="s">
        <v>1329</v>
      </c>
      <c r="L370" s="75">
        <v>213.72340425531914</v>
      </c>
      <c r="M370" s="76">
        <v>9372.6240234375</v>
      </c>
      <c r="N370" s="76">
        <v>7625.00341796875</v>
      </c>
      <c r="O370" s="77"/>
      <c r="P370" s="78"/>
      <c r="Q370" s="78"/>
      <c r="R370" s="82"/>
      <c r="S370" s="48"/>
      <c r="T370" s="48"/>
      <c r="U370" s="49"/>
      <c r="V370" s="49"/>
      <c r="W370" s="49"/>
      <c r="X370" s="49"/>
      <c r="Y370" s="49"/>
      <c r="Z370" s="49"/>
      <c r="AA370" s="73">
        <v>370</v>
      </c>
      <c r="AB370" s="73"/>
      <c r="AC370" s="74"/>
      <c r="AD370" s="80" t="s">
        <v>1329</v>
      </c>
      <c r="AE370" s="80" t="s">
        <v>1996</v>
      </c>
      <c r="AF370" s="80" t="s">
        <v>2597</v>
      </c>
      <c r="AG370" s="80" t="s">
        <v>3142</v>
      </c>
      <c r="AH370" s="80" t="s">
        <v>3740</v>
      </c>
      <c r="AI370" s="80">
        <v>134413</v>
      </c>
      <c r="AJ370" s="80">
        <v>55</v>
      </c>
      <c r="AK370" s="80">
        <v>626</v>
      </c>
      <c r="AL370" s="80">
        <v>21</v>
      </c>
      <c r="AM370" s="80" t="s">
        <v>4098</v>
      </c>
      <c r="AN370" s="96" t="str">
        <f>HYPERLINK("https://www.youtube.com/watch?v=4ZI4TDgiU9A")</f>
        <v>https://www.youtube.com/watch?v=4ZI4TDgiU9A</v>
      </c>
      <c r="AO370" s="80" t="e">
        <f>REPLACE(INDEX(GroupVertices[Group],MATCH(Vertices[[#This Row],[Vertex]],GroupVertices[Vertex],0)),1,1,"")</f>
        <v>#N/A</v>
      </c>
      <c r="AP370" s="48"/>
      <c r="AQ370" s="49"/>
      <c r="AR370" s="48"/>
      <c r="AS370" s="49"/>
      <c r="AT370" s="48"/>
      <c r="AU370" s="49"/>
      <c r="AV370" s="48"/>
      <c r="AW370" s="49"/>
      <c r="AX370" s="48"/>
      <c r="AY370" s="48"/>
      <c r="AZ370" s="48"/>
      <c r="BA370" s="48"/>
      <c r="BB370" s="48"/>
      <c r="BC370" s="2"/>
      <c r="BD370" s="3"/>
      <c r="BE370" s="3"/>
      <c r="BF370" s="3"/>
      <c r="BG370" s="3"/>
    </row>
    <row r="371" spans="1:59" ht="15">
      <c r="A371" s="66" t="s">
        <v>426</v>
      </c>
      <c r="B371" s="67" t="s">
        <v>4461</v>
      </c>
      <c r="C371" s="67"/>
      <c r="D371" s="68">
        <v>772.2499136659433</v>
      </c>
      <c r="E371" s="70"/>
      <c r="F371" s="97" t="str">
        <f>HYPERLINK("https://i.ytimg.com/vi/x78JR7XHTro/default.jpg")</f>
        <v>https://i.ytimg.com/vi/x78JR7XHTro/default.jpg</v>
      </c>
      <c r="G371" s="120" t="s">
        <v>52</v>
      </c>
      <c r="H371" s="71" t="s">
        <v>1134</v>
      </c>
      <c r="I371" s="72"/>
      <c r="J371" s="72" t="s">
        <v>159</v>
      </c>
      <c r="K371" s="71" t="s">
        <v>1134</v>
      </c>
      <c r="L371" s="75">
        <v>213.72340425531914</v>
      </c>
      <c r="M371" s="76">
        <v>9892.853515625</v>
      </c>
      <c r="N371" s="76">
        <v>4804.556640625</v>
      </c>
      <c r="O371" s="77"/>
      <c r="P371" s="78"/>
      <c r="Q371" s="78"/>
      <c r="R371" s="82"/>
      <c r="S371" s="48"/>
      <c r="T371" s="48"/>
      <c r="U371" s="49"/>
      <c r="V371" s="49"/>
      <c r="W371" s="49"/>
      <c r="X371" s="49"/>
      <c r="Y371" s="49"/>
      <c r="Z371" s="49"/>
      <c r="AA371" s="73">
        <v>371</v>
      </c>
      <c r="AB371" s="73"/>
      <c r="AC371" s="74"/>
      <c r="AD371" s="80" t="s">
        <v>1134</v>
      </c>
      <c r="AE371" s="80" t="s">
        <v>1830</v>
      </c>
      <c r="AF371" s="80" t="s">
        <v>2450</v>
      </c>
      <c r="AG371" s="80" t="s">
        <v>3017</v>
      </c>
      <c r="AH371" s="80" t="s">
        <v>3547</v>
      </c>
      <c r="AI371" s="80">
        <v>71727</v>
      </c>
      <c r="AJ371" s="80">
        <v>68</v>
      </c>
      <c r="AK371" s="80">
        <v>716</v>
      </c>
      <c r="AL371" s="80">
        <v>21</v>
      </c>
      <c r="AM371" s="80" t="s">
        <v>4098</v>
      </c>
      <c r="AN371" s="96" t="str">
        <f>HYPERLINK("https://www.youtube.com/watch?v=x78JR7XHTro")</f>
        <v>https://www.youtube.com/watch?v=x78JR7XHTro</v>
      </c>
      <c r="AO371" s="80" t="e">
        <f>REPLACE(INDEX(GroupVertices[Group],MATCH(Vertices[[#This Row],[Vertex]],GroupVertices[Vertex],0)),1,1,"")</f>
        <v>#N/A</v>
      </c>
      <c r="AP371" s="48"/>
      <c r="AQ371" s="49"/>
      <c r="AR371" s="48"/>
      <c r="AS371" s="49"/>
      <c r="AT371" s="48"/>
      <c r="AU371" s="49"/>
      <c r="AV371" s="48"/>
      <c r="AW371" s="49"/>
      <c r="AX371" s="48"/>
      <c r="AY371" s="48"/>
      <c r="AZ371" s="48"/>
      <c r="BA371" s="48"/>
      <c r="BB371" s="48"/>
      <c r="BC371" s="2"/>
      <c r="BD371" s="3"/>
      <c r="BE371" s="3"/>
      <c r="BF371" s="3"/>
      <c r="BG371" s="3"/>
    </row>
    <row r="372" spans="1:59" ht="15">
      <c r="A372" s="66" t="s">
        <v>360</v>
      </c>
      <c r="B372" s="67" t="s">
        <v>4461</v>
      </c>
      <c r="C372" s="67"/>
      <c r="D372" s="68">
        <v>798.0102382037746</v>
      </c>
      <c r="E372" s="70"/>
      <c r="F372" s="97" t="str">
        <f>HYPERLINK("https://i.ytimg.com/vi/1gQ6uG5Ujiw/default.jpg")</f>
        <v>https://i.ytimg.com/vi/1gQ6uG5Ujiw/default.jpg</v>
      </c>
      <c r="G372" s="120" t="s">
        <v>52</v>
      </c>
      <c r="H372" s="71" t="s">
        <v>1065</v>
      </c>
      <c r="I372" s="72"/>
      <c r="J372" s="72" t="s">
        <v>159</v>
      </c>
      <c r="K372" s="71" t="s">
        <v>1065</v>
      </c>
      <c r="L372" s="75">
        <v>213.72340425531914</v>
      </c>
      <c r="M372" s="76">
        <v>729.2528686523438</v>
      </c>
      <c r="N372" s="76">
        <v>9454.2734375</v>
      </c>
      <c r="O372" s="77"/>
      <c r="P372" s="78"/>
      <c r="Q372" s="78"/>
      <c r="R372" s="82"/>
      <c r="S372" s="48"/>
      <c r="T372" s="48"/>
      <c r="U372" s="49"/>
      <c r="V372" s="49"/>
      <c r="W372" s="49"/>
      <c r="X372" s="49"/>
      <c r="Y372" s="49"/>
      <c r="Z372" s="49"/>
      <c r="AA372" s="73">
        <v>372</v>
      </c>
      <c r="AB372" s="73"/>
      <c r="AC372" s="74"/>
      <c r="AD372" s="80" t="s">
        <v>1065</v>
      </c>
      <c r="AE372" s="80" t="s">
        <v>1776</v>
      </c>
      <c r="AF372" s="80" t="s">
        <v>2403</v>
      </c>
      <c r="AG372" s="80" t="s">
        <v>2981</v>
      </c>
      <c r="AH372" s="80" t="s">
        <v>3478</v>
      </c>
      <c r="AI372" s="80">
        <v>95876</v>
      </c>
      <c r="AJ372" s="80">
        <v>150</v>
      </c>
      <c r="AK372" s="80">
        <v>1579</v>
      </c>
      <c r="AL372" s="80">
        <v>20</v>
      </c>
      <c r="AM372" s="80" t="s">
        <v>4098</v>
      </c>
      <c r="AN372" s="96" t="str">
        <f>HYPERLINK("https://www.youtube.com/watch?v=1gQ6uG5Ujiw")</f>
        <v>https://www.youtube.com/watch?v=1gQ6uG5Ujiw</v>
      </c>
      <c r="AO372" s="80" t="e">
        <f>REPLACE(INDEX(GroupVertices[Group],MATCH(Vertices[[#This Row],[Vertex]],GroupVertices[Vertex],0)),1,1,"")</f>
        <v>#N/A</v>
      </c>
      <c r="AP372" s="48"/>
      <c r="AQ372" s="49"/>
      <c r="AR372" s="48"/>
      <c r="AS372" s="49"/>
      <c r="AT372" s="48"/>
      <c r="AU372" s="49"/>
      <c r="AV372" s="48"/>
      <c r="AW372" s="49"/>
      <c r="AX372" s="48"/>
      <c r="AY372" s="48"/>
      <c r="AZ372" s="48"/>
      <c r="BA372" s="48"/>
      <c r="BB372" s="48"/>
      <c r="BC372" s="2"/>
      <c r="BD372" s="3"/>
      <c r="BE372" s="3"/>
      <c r="BF372" s="3"/>
      <c r="BG372" s="3"/>
    </row>
    <row r="373" spans="1:59" ht="15">
      <c r="A373" s="66" t="s">
        <v>928</v>
      </c>
      <c r="B373" s="67" t="s">
        <v>4461</v>
      </c>
      <c r="C373" s="67"/>
      <c r="D373" s="68">
        <v>711.5353058662147</v>
      </c>
      <c r="E373" s="70"/>
      <c r="F373" s="97" t="str">
        <f>HYPERLINK("https://i.ytimg.com/vi/4y6fUC56KPw/default.jpg")</f>
        <v>https://i.ytimg.com/vi/4y6fUC56KPw/default.jpg</v>
      </c>
      <c r="G373" s="120" t="s">
        <v>52</v>
      </c>
      <c r="H373" s="71" t="s">
        <v>1666</v>
      </c>
      <c r="I373" s="72"/>
      <c r="J373" s="72" t="s">
        <v>159</v>
      </c>
      <c r="K373" s="71" t="s">
        <v>1666</v>
      </c>
      <c r="L373" s="75">
        <v>213.72340425531914</v>
      </c>
      <c r="M373" s="76">
        <v>2310.4140625</v>
      </c>
      <c r="N373" s="76">
        <v>3485.262939453125</v>
      </c>
      <c r="O373" s="77"/>
      <c r="P373" s="78"/>
      <c r="Q373" s="78"/>
      <c r="R373" s="82"/>
      <c r="S373" s="48"/>
      <c r="T373" s="48"/>
      <c r="U373" s="49"/>
      <c r="V373" s="49"/>
      <c r="W373" s="49"/>
      <c r="X373" s="49"/>
      <c r="Y373" s="49"/>
      <c r="Z373" s="49"/>
      <c r="AA373" s="73">
        <v>373</v>
      </c>
      <c r="AB373" s="73"/>
      <c r="AC373" s="74"/>
      <c r="AD373" s="80" t="s">
        <v>1666</v>
      </c>
      <c r="AE373" s="80" t="s">
        <v>2301</v>
      </c>
      <c r="AF373" s="80" t="s">
        <v>2882</v>
      </c>
      <c r="AG373" s="80" t="s">
        <v>3363</v>
      </c>
      <c r="AH373" s="80" t="s">
        <v>4082</v>
      </c>
      <c r="AI373" s="80">
        <v>36195</v>
      </c>
      <c r="AJ373" s="80">
        <v>0</v>
      </c>
      <c r="AK373" s="80">
        <v>620</v>
      </c>
      <c r="AL373" s="80">
        <v>20</v>
      </c>
      <c r="AM373" s="80" t="s">
        <v>4098</v>
      </c>
      <c r="AN373" s="96" t="str">
        <f>HYPERLINK("https://www.youtube.com/watch?v=4y6fUC56KPw")</f>
        <v>https://www.youtube.com/watch?v=4y6fUC56KPw</v>
      </c>
      <c r="AO373" s="80" t="e">
        <f>REPLACE(INDEX(GroupVertices[Group],MATCH(Vertices[[#This Row],[Vertex]],GroupVertices[Vertex],0)),1,1,"")</f>
        <v>#N/A</v>
      </c>
      <c r="AP373" s="48"/>
      <c r="AQ373" s="49"/>
      <c r="AR373" s="48"/>
      <c r="AS373" s="49"/>
      <c r="AT373" s="48"/>
      <c r="AU373" s="49"/>
      <c r="AV373" s="48"/>
      <c r="AW373" s="49"/>
      <c r="AX373" s="48"/>
      <c r="AY373" s="48"/>
      <c r="AZ373" s="48"/>
      <c r="BA373" s="48"/>
      <c r="BB373" s="48"/>
      <c r="BC373" s="2"/>
      <c r="BD373" s="3"/>
      <c r="BE373" s="3"/>
      <c r="BF373" s="3"/>
      <c r="BG373" s="3"/>
    </row>
    <row r="374" spans="1:59" ht="15">
      <c r="A374" s="66" t="s">
        <v>348</v>
      </c>
      <c r="B374" s="67" t="s">
        <v>4461</v>
      </c>
      <c r="C374" s="67"/>
      <c r="D374" s="68">
        <v>747.4446124887968</v>
      </c>
      <c r="E374" s="70"/>
      <c r="F374" s="97" t="str">
        <f>HYPERLINK("https://i.ytimg.com/vi/5s9-rg1ygWs/default.jpg")</f>
        <v>https://i.ytimg.com/vi/5s9-rg1ygWs/default.jpg</v>
      </c>
      <c r="G374" s="120" t="s">
        <v>52</v>
      </c>
      <c r="H374" s="71" t="s">
        <v>1051</v>
      </c>
      <c r="I374" s="72"/>
      <c r="J374" s="72" t="s">
        <v>159</v>
      </c>
      <c r="K374" s="71" t="s">
        <v>1051</v>
      </c>
      <c r="L374" s="75">
        <v>213.72340425531914</v>
      </c>
      <c r="M374" s="76">
        <v>7304.43798828125</v>
      </c>
      <c r="N374" s="76">
        <v>334.04058837890625</v>
      </c>
      <c r="O374" s="77"/>
      <c r="P374" s="78"/>
      <c r="Q374" s="78"/>
      <c r="R374" s="82"/>
      <c r="S374" s="48"/>
      <c r="T374" s="48"/>
      <c r="U374" s="49"/>
      <c r="V374" s="49"/>
      <c r="W374" s="49"/>
      <c r="X374" s="49"/>
      <c r="Y374" s="49"/>
      <c r="Z374" s="49"/>
      <c r="AA374" s="73">
        <v>374</v>
      </c>
      <c r="AB374" s="73"/>
      <c r="AC374" s="74"/>
      <c r="AD374" s="80" t="s">
        <v>1051</v>
      </c>
      <c r="AE374" s="80" t="s">
        <v>1763</v>
      </c>
      <c r="AF374" s="80" t="s">
        <v>2392</v>
      </c>
      <c r="AG374" s="80" t="s">
        <v>2968</v>
      </c>
      <c r="AH374" s="80" t="s">
        <v>3466</v>
      </c>
      <c r="AI374" s="80">
        <v>54241</v>
      </c>
      <c r="AJ374" s="80">
        <v>49</v>
      </c>
      <c r="AK374" s="80">
        <v>630</v>
      </c>
      <c r="AL374" s="80">
        <v>19</v>
      </c>
      <c r="AM374" s="80" t="s">
        <v>4098</v>
      </c>
      <c r="AN374" s="96" t="str">
        <f>HYPERLINK("https://www.youtube.com/watch?v=5s9-rg1ygWs")</f>
        <v>https://www.youtube.com/watch?v=5s9-rg1ygWs</v>
      </c>
      <c r="AO374" s="80" t="e">
        <f>REPLACE(INDEX(GroupVertices[Group],MATCH(Vertices[[#This Row],[Vertex]],GroupVertices[Vertex],0)),1,1,"")</f>
        <v>#N/A</v>
      </c>
      <c r="AP374" s="48"/>
      <c r="AQ374" s="49"/>
      <c r="AR374" s="48"/>
      <c r="AS374" s="49"/>
      <c r="AT374" s="48"/>
      <c r="AU374" s="49"/>
      <c r="AV374" s="48"/>
      <c r="AW374" s="49"/>
      <c r="AX374" s="48"/>
      <c r="AY374" s="48"/>
      <c r="AZ374" s="48"/>
      <c r="BA374" s="48"/>
      <c r="BB374" s="48"/>
      <c r="BC374" s="2"/>
      <c r="BD374" s="3"/>
      <c r="BE374" s="3"/>
      <c r="BF374" s="3"/>
      <c r="BG374" s="3"/>
    </row>
    <row r="375" spans="1:59" ht="15">
      <c r="A375" s="66" t="s">
        <v>819</v>
      </c>
      <c r="B375" s="67" t="s">
        <v>4461</v>
      </c>
      <c r="C375" s="67"/>
      <c r="D375" s="68">
        <v>722.0011084702338</v>
      </c>
      <c r="E375" s="70"/>
      <c r="F375" s="97" t="str">
        <f>HYPERLINK("https://i.ytimg.com/vi/CQYhEv7i8G4/default.jpg")</f>
        <v>https://i.ytimg.com/vi/CQYhEv7i8G4/default.jpg</v>
      </c>
      <c r="G375" s="120" t="s">
        <v>52</v>
      </c>
      <c r="H375" s="71" t="s">
        <v>1558</v>
      </c>
      <c r="I375" s="72"/>
      <c r="J375" s="72" t="s">
        <v>159</v>
      </c>
      <c r="K375" s="71" t="s">
        <v>1558</v>
      </c>
      <c r="L375" s="75">
        <v>213.72340425531914</v>
      </c>
      <c r="M375" s="76">
        <v>846.0934448242188</v>
      </c>
      <c r="N375" s="76">
        <v>572.9728393554688</v>
      </c>
      <c r="O375" s="77"/>
      <c r="P375" s="78"/>
      <c r="Q375" s="78"/>
      <c r="R375" s="82"/>
      <c r="S375" s="48"/>
      <c r="T375" s="48"/>
      <c r="U375" s="49"/>
      <c r="V375" s="49"/>
      <c r="W375" s="49"/>
      <c r="X375" s="49"/>
      <c r="Y375" s="49"/>
      <c r="Z375" s="49"/>
      <c r="AA375" s="73">
        <v>375</v>
      </c>
      <c r="AB375" s="73"/>
      <c r="AC375" s="74"/>
      <c r="AD375" s="80" t="s">
        <v>1558</v>
      </c>
      <c r="AE375" s="80" t="s">
        <v>2205</v>
      </c>
      <c r="AF375" s="80" t="s">
        <v>2790</v>
      </c>
      <c r="AG375" s="80" t="s">
        <v>3303</v>
      </c>
      <c r="AH375" s="80" t="s">
        <v>3973</v>
      </c>
      <c r="AI375" s="80">
        <v>40724</v>
      </c>
      <c r="AJ375" s="80">
        <v>6</v>
      </c>
      <c r="AK375" s="80">
        <v>102</v>
      </c>
      <c r="AL375" s="80">
        <v>19</v>
      </c>
      <c r="AM375" s="80" t="s">
        <v>4098</v>
      </c>
      <c r="AN375" s="96" t="str">
        <f>HYPERLINK("https://www.youtube.com/watch?v=CQYhEv7i8G4")</f>
        <v>https://www.youtube.com/watch?v=CQYhEv7i8G4</v>
      </c>
      <c r="AO375" s="80" t="e">
        <f>REPLACE(INDEX(GroupVertices[Group],MATCH(Vertices[[#This Row],[Vertex]],GroupVertices[Vertex],0)),1,1,"")</f>
        <v>#N/A</v>
      </c>
      <c r="AP375" s="48"/>
      <c r="AQ375" s="49"/>
      <c r="AR375" s="48"/>
      <c r="AS375" s="49"/>
      <c r="AT375" s="48"/>
      <c r="AU375" s="49"/>
      <c r="AV375" s="48"/>
      <c r="AW375" s="49"/>
      <c r="AX375" s="48"/>
      <c r="AY375" s="48"/>
      <c r="AZ375" s="48"/>
      <c r="BA375" s="48"/>
      <c r="BB375" s="48"/>
      <c r="BC375" s="2"/>
      <c r="BD375" s="3"/>
      <c r="BE375" s="3"/>
      <c r="BF375" s="3"/>
      <c r="BG375" s="3"/>
    </row>
    <row r="376" spans="1:59" ht="15">
      <c r="A376" s="66" t="s">
        <v>631</v>
      </c>
      <c r="B376" s="67" t="s">
        <v>4461</v>
      </c>
      <c r="C376" s="67"/>
      <c r="D376" s="68">
        <v>758.1993272309317</v>
      </c>
      <c r="E376" s="70"/>
      <c r="F376" s="97" t="str">
        <f>HYPERLINK("https://i.ytimg.com/vi/axZD1WMPRIo/default.jpg")</f>
        <v>https://i.ytimg.com/vi/axZD1WMPRIo/default.jpg</v>
      </c>
      <c r="G376" s="120" t="s">
        <v>52</v>
      </c>
      <c r="H376" s="71" t="s">
        <v>1371</v>
      </c>
      <c r="I376" s="72"/>
      <c r="J376" s="72" t="s">
        <v>159</v>
      </c>
      <c r="K376" s="71" t="s">
        <v>1371</v>
      </c>
      <c r="L376" s="75">
        <v>213.72340425531914</v>
      </c>
      <c r="M376" s="76">
        <v>1745.3585205078125</v>
      </c>
      <c r="N376" s="76">
        <v>9578.12890625</v>
      </c>
      <c r="O376" s="77"/>
      <c r="P376" s="78"/>
      <c r="Q376" s="78"/>
      <c r="R376" s="82"/>
      <c r="S376" s="48"/>
      <c r="T376" s="48"/>
      <c r="U376" s="49"/>
      <c r="V376" s="49"/>
      <c r="W376" s="49"/>
      <c r="X376" s="49"/>
      <c r="Y376" s="49"/>
      <c r="Z376" s="49"/>
      <c r="AA376" s="73">
        <v>376</v>
      </c>
      <c r="AB376" s="73"/>
      <c r="AC376" s="74"/>
      <c r="AD376" s="80" t="s">
        <v>1371</v>
      </c>
      <c r="AE376" s="80" t="s">
        <v>2037</v>
      </c>
      <c r="AF376" s="80" t="s">
        <v>2633</v>
      </c>
      <c r="AG376" s="80" t="s">
        <v>2907</v>
      </c>
      <c r="AH376" s="80" t="s">
        <v>3783</v>
      </c>
      <c r="AI376" s="80">
        <v>61227</v>
      </c>
      <c r="AJ376" s="80">
        <v>7</v>
      </c>
      <c r="AK376" s="80">
        <v>156</v>
      </c>
      <c r="AL376" s="80">
        <v>18</v>
      </c>
      <c r="AM376" s="80" t="s">
        <v>4098</v>
      </c>
      <c r="AN376" s="96" t="str">
        <f>HYPERLINK("https://www.youtube.com/watch?v=axZD1WMPRIo")</f>
        <v>https://www.youtube.com/watch?v=axZD1WMPRIo</v>
      </c>
      <c r="AO376" s="80" t="e">
        <f>REPLACE(INDEX(GroupVertices[Group],MATCH(Vertices[[#This Row],[Vertex]],GroupVertices[Vertex],0)),1,1,"")</f>
        <v>#N/A</v>
      </c>
      <c r="AP376" s="48"/>
      <c r="AQ376" s="49"/>
      <c r="AR376" s="48"/>
      <c r="AS376" s="49"/>
      <c r="AT376" s="48"/>
      <c r="AU376" s="49"/>
      <c r="AV376" s="48"/>
      <c r="AW376" s="49"/>
      <c r="AX376" s="48"/>
      <c r="AY376" s="48"/>
      <c r="AZ376" s="48"/>
      <c r="BA376" s="48"/>
      <c r="BB376" s="48"/>
      <c r="BC376" s="2"/>
      <c r="BD376" s="3"/>
      <c r="BE376" s="3"/>
      <c r="BF376" s="3"/>
      <c r="BG376" s="3"/>
    </row>
    <row r="377" spans="1:59" ht="15">
      <c r="A377" s="66" t="s">
        <v>467</v>
      </c>
      <c r="B377" s="67" t="s">
        <v>4461</v>
      </c>
      <c r="C377" s="67"/>
      <c r="D377" s="68">
        <v>630.5806846979433</v>
      </c>
      <c r="E377" s="70"/>
      <c r="F377" s="97" t="str">
        <f>HYPERLINK("https://i.ytimg.com/vi/KKztyKtFIpw/default_live.jpg")</f>
        <v>https://i.ytimg.com/vi/KKztyKtFIpw/default_live.jpg</v>
      </c>
      <c r="G377" s="120" t="s">
        <v>52</v>
      </c>
      <c r="H377" s="71" t="s">
        <v>1178</v>
      </c>
      <c r="I377" s="72"/>
      <c r="J377" s="72" t="s">
        <v>159</v>
      </c>
      <c r="K377" s="71" t="s">
        <v>1178</v>
      </c>
      <c r="L377" s="75">
        <v>213.72340425531914</v>
      </c>
      <c r="M377" s="76">
        <v>4152.673828125</v>
      </c>
      <c r="N377" s="76">
        <v>2368.728759765625</v>
      </c>
      <c r="O377" s="77"/>
      <c r="P377" s="78"/>
      <c r="Q377" s="78"/>
      <c r="R377" s="82"/>
      <c r="S377" s="48"/>
      <c r="T377" s="48"/>
      <c r="U377" s="49"/>
      <c r="V377" s="49"/>
      <c r="W377" s="49"/>
      <c r="X377" s="49"/>
      <c r="Y377" s="49"/>
      <c r="Z377" s="49"/>
      <c r="AA377" s="73">
        <v>377</v>
      </c>
      <c r="AB377" s="73"/>
      <c r="AC377" s="74"/>
      <c r="AD377" s="80" t="s">
        <v>1178</v>
      </c>
      <c r="AE377" s="80" t="s">
        <v>1867</v>
      </c>
      <c r="AF377" s="80"/>
      <c r="AG377" s="80" t="s">
        <v>3045</v>
      </c>
      <c r="AH377" s="80" t="s">
        <v>3591</v>
      </c>
      <c r="AI377" s="80">
        <v>14541</v>
      </c>
      <c r="AJ377" s="80">
        <v>0</v>
      </c>
      <c r="AK377" s="80">
        <v>4810</v>
      </c>
      <c r="AL377" s="80">
        <v>18</v>
      </c>
      <c r="AM377" s="80" t="s">
        <v>4098</v>
      </c>
      <c r="AN377" s="96" t="str">
        <f>HYPERLINK("https://www.youtube.com/watch?v=KKztyKtFIpw")</f>
        <v>https://www.youtube.com/watch?v=KKztyKtFIpw</v>
      </c>
      <c r="AO377" s="80" t="e">
        <f>REPLACE(INDEX(GroupVertices[Group],MATCH(Vertices[[#This Row],[Vertex]],GroupVertices[Vertex],0)),1,1,"")</f>
        <v>#N/A</v>
      </c>
      <c r="AP377" s="48"/>
      <c r="AQ377" s="49"/>
      <c r="AR377" s="48"/>
      <c r="AS377" s="49"/>
      <c r="AT377" s="48"/>
      <c r="AU377" s="49"/>
      <c r="AV377" s="48"/>
      <c r="AW377" s="49"/>
      <c r="AX377" s="48"/>
      <c r="AY377" s="48"/>
      <c r="AZ377" s="48"/>
      <c r="BA377" s="48"/>
      <c r="BB377" s="48"/>
      <c r="BC377" s="2"/>
      <c r="BD377" s="3"/>
      <c r="BE377" s="3"/>
      <c r="BF377" s="3"/>
      <c r="BG377" s="3"/>
    </row>
    <row r="378" spans="1:59" ht="15">
      <c r="A378" s="66" t="s">
        <v>714</v>
      </c>
      <c r="B378" s="67" t="s">
        <v>4461</v>
      </c>
      <c r="C378" s="67"/>
      <c r="D378" s="68">
        <v>726.9524801962409</v>
      </c>
      <c r="E378" s="70"/>
      <c r="F378" s="97" t="str">
        <f>HYPERLINK("https://i.ytimg.com/vi/ivlwXYfN0Dc/default.jpg")</f>
        <v>https://i.ytimg.com/vi/ivlwXYfN0Dc/default.jpg</v>
      </c>
      <c r="G378" s="120" t="s">
        <v>52</v>
      </c>
      <c r="H378" s="71" t="s">
        <v>1455</v>
      </c>
      <c r="I378" s="72"/>
      <c r="J378" s="72" t="s">
        <v>159</v>
      </c>
      <c r="K378" s="71" t="s">
        <v>1455</v>
      </c>
      <c r="L378" s="75">
        <v>213.72340425531914</v>
      </c>
      <c r="M378" s="76">
        <v>6782.9228515625</v>
      </c>
      <c r="N378" s="76">
        <v>8023.17041015625</v>
      </c>
      <c r="O378" s="77"/>
      <c r="P378" s="78"/>
      <c r="Q378" s="78"/>
      <c r="R378" s="82"/>
      <c r="S378" s="48"/>
      <c r="T378" s="48"/>
      <c r="U378" s="49"/>
      <c r="V378" s="49"/>
      <c r="W378" s="49"/>
      <c r="X378" s="49"/>
      <c r="Y378" s="49"/>
      <c r="Z378" s="49"/>
      <c r="AA378" s="73">
        <v>378</v>
      </c>
      <c r="AB378" s="73"/>
      <c r="AC378" s="74"/>
      <c r="AD378" s="80" t="s">
        <v>1455</v>
      </c>
      <c r="AE378" s="80" t="s">
        <v>2113</v>
      </c>
      <c r="AF378" s="80" t="s">
        <v>2702</v>
      </c>
      <c r="AG378" s="80" t="s">
        <v>3233</v>
      </c>
      <c r="AH378" s="80" t="s">
        <v>3868</v>
      </c>
      <c r="AI378" s="80">
        <v>43060</v>
      </c>
      <c r="AJ378" s="80">
        <v>4</v>
      </c>
      <c r="AK378" s="80">
        <v>90</v>
      </c>
      <c r="AL378" s="80">
        <v>17</v>
      </c>
      <c r="AM378" s="80" t="s">
        <v>4098</v>
      </c>
      <c r="AN378" s="96" t="str">
        <f>HYPERLINK("https://www.youtube.com/watch?v=ivlwXYfN0Dc")</f>
        <v>https://www.youtube.com/watch?v=ivlwXYfN0Dc</v>
      </c>
      <c r="AO378" s="80" t="e">
        <f>REPLACE(INDEX(GroupVertices[Group],MATCH(Vertices[[#This Row],[Vertex]],GroupVertices[Vertex],0)),1,1,"")</f>
        <v>#N/A</v>
      </c>
      <c r="AP378" s="48"/>
      <c r="AQ378" s="49"/>
      <c r="AR378" s="48"/>
      <c r="AS378" s="49"/>
      <c r="AT378" s="48"/>
      <c r="AU378" s="49"/>
      <c r="AV378" s="48"/>
      <c r="AW378" s="49"/>
      <c r="AX378" s="48"/>
      <c r="AY378" s="48"/>
      <c r="AZ378" s="48"/>
      <c r="BA378" s="48"/>
      <c r="BB378" s="48"/>
      <c r="BC378" s="2"/>
      <c r="BD378" s="3"/>
      <c r="BE378" s="3"/>
      <c r="BF378" s="3"/>
      <c r="BG378" s="3"/>
    </row>
    <row r="379" spans="1:59" ht="15">
      <c r="A379" s="66" t="s">
        <v>282</v>
      </c>
      <c r="B379" s="67" t="s">
        <v>4461</v>
      </c>
      <c r="C379" s="67"/>
      <c r="D379" s="68">
        <v>679.0262467525978</v>
      </c>
      <c r="E379" s="70"/>
      <c r="F379" s="97" t="str">
        <f>HYPERLINK("https://i.ytimg.com/vi/371n3Ye9vVo/default.jpg")</f>
        <v>https://i.ytimg.com/vi/371n3Ye9vVo/default.jpg</v>
      </c>
      <c r="G379" s="120" t="s">
        <v>52</v>
      </c>
      <c r="H379" s="71" t="s">
        <v>978</v>
      </c>
      <c r="I379" s="72"/>
      <c r="J379" s="72" t="s">
        <v>159</v>
      </c>
      <c r="K379" s="71" t="s">
        <v>978</v>
      </c>
      <c r="L379" s="75">
        <v>213.72340425531914</v>
      </c>
      <c r="M379" s="76">
        <v>6275.0712890625</v>
      </c>
      <c r="N379" s="76">
        <v>5226.697265625</v>
      </c>
      <c r="O379" s="77"/>
      <c r="P379" s="78"/>
      <c r="Q379" s="78"/>
      <c r="R379" s="82"/>
      <c r="S379" s="48"/>
      <c r="T379" s="48"/>
      <c r="U379" s="49"/>
      <c r="V379" s="49"/>
      <c r="W379" s="49"/>
      <c r="X379" s="49"/>
      <c r="Y379" s="49"/>
      <c r="Z379" s="49"/>
      <c r="AA379" s="73">
        <v>379</v>
      </c>
      <c r="AB379" s="73"/>
      <c r="AC379" s="74"/>
      <c r="AD379" s="80" t="s">
        <v>978</v>
      </c>
      <c r="AE379" s="80" t="s">
        <v>1701</v>
      </c>
      <c r="AF379" s="80" t="s">
        <v>2333</v>
      </c>
      <c r="AG379" s="80" t="s">
        <v>2912</v>
      </c>
      <c r="AH379" s="80" t="s">
        <v>3393</v>
      </c>
      <c r="AI379" s="80">
        <v>25096</v>
      </c>
      <c r="AJ379" s="80">
        <v>18</v>
      </c>
      <c r="AK379" s="80">
        <v>269</v>
      </c>
      <c r="AL379" s="80">
        <v>17</v>
      </c>
      <c r="AM379" s="80" t="s">
        <v>4098</v>
      </c>
      <c r="AN379" s="96" t="str">
        <f>HYPERLINK("https://www.youtube.com/watch?v=371n3Ye9vVo")</f>
        <v>https://www.youtube.com/watch?v=371n3Ye9vVo</v>
      </c>
      <c r="AO379" s="80" t="e">
        <f>REPLACE(INDEX(GroupVertices[Group],MATCH(Vertices[[#This Row],[Vertex]],GroupVertices[Vertex],0)),1,1,"")</f>
        <v>#N/A</v>
      </c>
      <c r="AP379" s="48"/>
      <c r="AQ379" s="49"/>
      <c r="AR379" s="48"/>
      <c r="AS379" s="49"/>
      <c r="AT379" s="48"/>
      <c r="AU379" s="49"/>
      <c r="AV379" s="48"/>
      <c r="AW379" s="49"/>
      <c r="AX379" s="48"/>
      <c r="AY379" s="48"/>
      <c r="AZ379" s="48"/>
      <c r="BA379" s="48"/>
      <c r="BB379" s="48"/>
      <c r="BC379" s="2"/>
      <c r="BD379" s="3"/>
      <c r="BE379" s="3"/>
      <c r="BF379" s="3"/>
      <c r="BG379" s="3"/>
    </row>
    <row r="380" spans="1:59" ht="15">
      <c r="A380" s="66" t="s">
        <v>411</v>
      </c>
      <c r="B380" s="67" t="s">
        <v>4461</v>
      </c>
      <c r="C380" s="67"/>
      <c r="D380" s="68">
        <v>668.6995425023968</v>
      </c>
      <c r="E380" s="70"/>
      <c r="F380" s="97" t="str">
        <f>HYPERLINK("https://i.ytimg.com/vi/ec8OduDLgUQ/default.jpg")</f>
        <v>https://i.ytimg.com/vi/ec8OduDLgUQ/default.jpg</v>
      </c>
      <c r="G380" s="120" t="s">
        <v>52</v>
      </c>
      <c r="H380" s="71" t="s">
        <v>1119</v>
      </c>
      <c r="I380" s="72"/>
      <c r="J380" s="72" t="s">
        <v>159</v>
      </c>
      <c r="K380" s="71" t="s">
        <v>1119</v>
      </c>
      <c r="L380" s="75">
        <v>213.72340425531914</v>
      </c>
      <c r="M380" s="76">
        <v>8665.271484375</v>
      </c>
      <c r="N380" s="76">
        <v>3713.6875</v>
      </c>
      <c r="O380" s="77"/>
      <c r="P380" s="78"/>
      <c r="Q380" s="78"/>
      <c r="R380" s="82"/>
      <c r="S380" s="48"/>
      <c r="T380" s="48"/>
      <c r="U380" s="49"/>
      <c r="V380" s="49"/>
      <c r="W380" s="49"/>
      <c r="X380" s="49"/>
      <c r="Y380" s="49"/>
      <c r="Z380" s="49"/>
      <c r="AA380" s="73">
        <v>380</v>
      </c>
      <c r="AB380" s="73"/>
      <c r="AC380" s="74"/>
      <c r="AD380" s="80" t="s">
        <v>1119</v>
      </c>
      <c r="AE380" s="80" t="s">
        <v>1816</v>
      </c>
      <c r="AF380" s="80" t="s">
        <v>2437</v>
      </c>
      <c r="AG380" s="80" t="s">
        <v>3002</v>
      </c>
      <c r="AH380" s="80" t="s">
        <v>3532</v>
      </c>
      <c r="AI380" s="80">
        <v>22340</v>
      </c>
      <c r="AJ380" s="80">
        <v>12</v>
      </c>
      <c r="AK380" s="80">
        <v>119</v>
      </c>
      <c r="AL380" s="80">
        <v>17</v>
      </c>
      <c r="AM380" s="80" t="s">
        <v>4098</v>
      </c>
      <c r="AN380" s="96" t="str">
        <f>HYPERLINK("https://www.youtube.com/watch?v=ec8OduDLgUQ")</f>
        <v>https://www.youtube.com/watch?v=ec8OduDLgUQ</v>
      </c>
      <c r="AO380" s="80" t="e">
        <f>REPLACE(INDEX(GroupVertices[Group],MATCH(Vertices[[#This Row],[Vertex]],GroupVertices[Vertex],0)),1,1,"")</f>
        <v>#N/A</v>
      </c>
      <c r="AP380" s="48"/>
      <c r="AQ380" s="49"/>
      <c r="AR380" s="48"/>
      <c r="AS380" s="49"/>
      <c r="AT380" s="48"/>
      <c r="AU380" s="49"/>
      <c r="AV380" s="48"/>
      <c r="AW380" s="49"/>
      <c r="AX380" s="48"/>
      <c r="AY380" s="48"/>
      <c r="AZ380" s="48"/>
      <c r="BA380" s="48"/>
      <c r="BB380" s="48"/>
      <c r="BC380" s="2"/>
      <c r="BD380" s="3"/>
      <c r="BE380" s="3"/>
      <c r="BF380" s="3"/>
      <c r="BG380" s="3"/>
    </row>
    <row r="381" spans="1:59" ht="15">
      <c r="A381" s="66" t="s">
        <v>458</v>
      </c>
      <c r="B381" s="67" t="s">
        <v>4461</v>
      </c>
      <c r="C381" s="67"/>
      <c r="D381" s="68">
        <v>337.583641114782</v>
      </c>
      <c r="E381" s="70"/>
      <c r="F381" s="97" t="str">
        <f>HYPERLINK("https://i.ytimg.com/vi/fjH8O5I3Rzc/default_live.jpg")</f>
        <v>https://i.ytimg.com/vi/fjH8O5I3Rzc/default_live.jpg</v>
      </c>
      <c r="G381" s="120" t="s">
        <v>52</v>
      </c>
      <c r="H381" s="71" t="s">
        <v>1169</v>
      </c>
      <c r="I381" s="72"/>
      <c r="J381" s="72" t="s">
        <v>159</v>
      </c>
      <c r="K381" s="71" t="s">
        <v>1169</v>
      </c>
      <c r="L381" s="75">
        <v>213.72340425531914</v>
      </c>
      <c r="M381" s="76">
        <v>3077.749267578125</v>
      </c>
      <c r="N381" s="76">
        <v>1298.8463134765625</v>
      </c>
      <c r="O381" s="77"/>
      <c r="P381" s="78"/>
      <c r="Q381" s="78"/>
      <c r="R381" s="82"/>
      <c r="S381" s="48"/>
      <c r="T381" s="48"/>
      <c r="U381" s="49"/>
      <c r="V381" s="49"/>
      <c r="W381" s="49"/>
      <c r="X381" s="49"/>
      <c r="Y381" s="49"/>
      <c r="Z381" s="49"/>
      <c r="AA381" s="73">
        <v>381</v>
      </c>
      <c r="AB381" s="73"/>
      <c r="AC381" s="74"/>
      <c r="AD381" s="80" t="s">
        <v>1169</v>
      </c>
      <c r="AE381" s="80" t="s">
        <v>1858</v>
      </c>
      <c r="AF381" s="80" t="s">
        <v>2478</v>
      </c>
      <c r="AG381" s="80" t="s">
        <v>3036</v>
      </c>
      <c r="AH381" s="80" t="s">
        <v>3582</v>
      </c>
      <c r="AI381" s="80">
        <v>536</v>
      </c>
      <c r="AJ381" s="80">
        <v>0</v>
      </c>
      <c r="AK381" s="80">
        <v>92</v>
      </c>
      <c r="AL381" s="80">
        <v>17</v>
      </c>
      <c r="AM381" s="80" t="s">
        <v>4098</v>
      </c>
      <c r="AN381" s="96" t="str">
        <f>HYPERLINK("https://www.youtube.com/watch?v=fjH8O5I3Rzc")</f>
        <v>https://www.youtube.com/watch?v=fjH8O5I3Rzc</v>
      </c>
      <c r="AO381" s="80" t="e">
        <f>REPLACE(INDEX(GroupVertices[Group],MATCH(Vertices[[#This Row],[Vertex]],GroupVertices[Vertex],0)),1,1,"")</f>
        <v>#N/A</v>
      </c>
      <c r="AP381" s="48"/>
      <c r="AQ381" s="49"/>
      <c r="AR381" s="48"/>
      <c r="AS381" s="49"/>
      <c r="AT381" s="48"/>
      <c r="AU381" s="49"/>
      <c r="AV381" s="48"/>
      <c r="AW381" s="49"/>
      <c r="AX381" s="48"/>
      <c r="AY381" s="48"/>
      <c r="AZ381" s="48"/>
      <c r="BA381" s="48"/>
      <c r="BB381" s="48"/>
      <c r="BC381" s="2"/>
      <c r="BD381" s="3"/>
      <c r="BE381" s="3"/>
      <c r="BF381" s="3"/>
      <c r="BG381" s="3"/>
    </row>
    <row r="382" spans="1:59" ht="15">
      <c r="A382" s="66" t="s">
        <v>287</v>
      </c>
      <c r="B382" s="67" t="s">
        <v>4461</v>
      </c>
      <c r="C382" s="67"/>
      <c r="D382" s="68">
        <v>801.4411047044348</v>
      </c>
      <c r="E382" s="70"/>
      <c r="F382" s="97" t="str">
        <f>HYPERLINK("https://i.ytimg.com/vi/Fp1JV-ZVDZw/default.jpg")</f>
        <v>https://i.ytimg.com/vi/Fp1JV-ZVDZw/default.jpg</v>
      </c>
      <c r="G382" s="120" t="s">
        <v>52</v>
      </c>
      <c r="H382" s="71" t="s">
        <v>984</v>
      </c>
      <c r="I382" s="72"/>
      <c r="J382" s="72" t="s">
        <v>159</v>
      </c>
      <c r="K382" s="71" t="s">
        <v>984</v>
      </c>
      <c r="L382" s="75">
        <v>213.72340425531914</v>
      </c>
      <c r="M382" s="76">
        <v>5492.837890625</v>
      </c>
      <c r="N382" s="76">
        <v>6623.666015625</v>
      </c>
      <c r="O382" s="77"/>
      <c r="P382" s="78"/>
      <c r="Q382" s="78"/>
      <c r="R382" s="82"/>
      <c r="S382" s="48"/>
      <c r="T382" s="48"/>
      <c r="U382" s="49"/>
      <c r="V382" s="49"/>
      <c r="W382" s="49"/>
      <c r="X382" s="49"/>
      <c r="Y382" s="49"/>
      <c r="Z382" s="49"/>
      <c r="AA382" s="73">
        <v>382</v>
      </c>
      <c r="AB382" s="73"/>
      <c r="AC382" s="74"/>
      <c r="AD382" s="80" t="s">
        <v>984</v>
      </c>
      <c r="AE382" s="80" t="s">
        <v>1707</v>
      </c>
      <c r="AF382" s="80" t="s">
        <v>2339</v>
      </c>
      <c r="AG382" s="80" t="s">
        <v>2917</v>
      </c>
      <c r="AH382" s="80" t="s">
        <v>3399</v>
      </c>
      <c r="AI382" s="80">
        <v>99654</v>
      </c>
      <c r="AJ382" s="80">
        <v>15</v>
      </c>
      <c r="AK382" s="80">
        <v>201</v>
      </c>
      <c r="AL382" s="80">
        <v>16</v>
      </c>
      <c r="AM382" s="80" t="s">
        <v>4098</v>
      </c>
      <c r="AN382" s="96" t="str">
        <f>HYPERLINK("https://www.youtube.com/watch?v=Fp1JV-ZVDZw")</f>
        <v>https://www.youtube.com/watch?v=Fp1JV-ZVDZw</v>
      </c>
      <c r="AO382" s="80" t="e">
        <f>REPLACE(INDEX(GroupVertices[Group],MATCH(Vertices[[#This Row],[Vertex]],GroupVertices[Vertex],0)),1,1,"")</f>
        <v>#N/A</v>
      </c>
      <c r="AP382" s="48"/>
      <c r="AQ382" s="49"/>
      <c r="AR382" s="48"/>
      <c r="AS382" s="49"/>
      <c r="AT382" s="48"/>
      <c r="AU382" s="49"/>
      <c r="AV382" s="48"/>
      <c r="AW382" s="49"/>
      <c r="AX382" s="48"/>
      <c r="AY382" s="48"/>
      <c r="AZ382" s="48"/>
      <c r="BA382" s="48"/>
      <c r="BB382" s="48"/>
      <c r="BC382" s="2"/>
      <c r="BD382" s="3"/>
      <c r="BE382" s="3"/>
      <c r="BF382" s="3"/>
      <c r="BG382" s="3"/>
    </row>
    <row r="383" spans="1:59" ht="15">
      <c r="A383" s="66" t="s">
        <v>499</v>
      </c>
      <c r="B383" s="67" t="s">
        <v>4461</v>
      </c>
      <c r="C383" s="67"/>
      <c r="D383" s="68">
        <v>755.9736592393862</v>
      </c>
      <c r="E383" s="70"/>
      <c r="F383" s="97" t="str">
        <f>HYPERLINK("https://i.ytimg.com/vi/8uZqwPDGP_U/default.jpg")</f>
        <v>https://i.ytimg.com/vi/8uZqwPDGP_U/default.jpg</v>
      </c>
      <c r="G383" s="120" t="s">
        <v>52</v>
      </c>
      <c r="H383" s="71" t="s">
        <v>1215</v>
      </c>
      <c r="I383" s="72"/>
      <c r="J383" s="72" t="s">
        <v>159</v>
      </c>
      <c r="K383" s="71" t="s">
        <v>1215</v>
      </c>
      <c r="L383" s="75">
        <v>213.72340425531914</v>
      </c>
      <c r="M383" s="76">
        <v>6713.3115234375</v>
      </c>
      <c r="N383" s="76">
        <v>3196.17041015625</v>
      </c>
      <c r="O383" s="77"/>
      <c r="P383" s="78"/>
      <c r="Q383" s="78"/>
      <c r="R383" s="82"/>
      <c r="S383" s="48"/>
      <c r="T383" s="48"/>
      <c r="U383" s="49"/>
      <c r="V383" s="49"/>
      <c r="W383" s="49"/>
      <c r="X383" s="49"/>
      <c r="Y383" s="49"/>
      <c r="Z383" s="49"/>
      <c r="AA383" s="73">
        <v>383</v>
      </c>
      <c r="AB383" s="73"/>
      <c r="AC383" s="74"/>
      <c r="AD383" s="80" t="s">
        <v>1215</v>
      </c>
      <c r="AE383" s="80" t="s">
        <v>1898</v>
      </c>
      <c r="AF383" s="80" t="s">
        <v>2512</v>
      </c>
      <c r="AG383" s="80" t="s">
        <v>3068</v>
      </c>
      <c r="AH383" s="80" t="s">
        <v>3627</v>
      </c>
      <c r="AI383" s="80">
        <v>59711</v>
      </c>
      <c r="AJ383" s="80">
        <v>30</v>
      </c>
      <c r="AK383" s="80">
        <v>253</v>
      </c>
      <c r="AL383" s="80">
        <v>16</v>
      </c>
      <c r="AM383" s="80" t="s">
        <v>4098</v>
      </c>
      <c r="AN383" s="96" t="str">
        <f>HYPERLINK("https://www.youtube.com/watch?v=8uZqwPDGP_U")</f>
        <v>https://www.youtube.com/watch?v=8uZqwPDGP_U</v>
      </c>
      <c r="AO383" s="80" t="e">
        <f>REPLACE(INDEX(GroupVertices[Group],MATCH(Vertices[[#This Row],[Vertex]],GroupVertices[Vertex],0)),1,1,"")</f>
        <v>#N/A</v>
      </c>
      <c r="AP383" s="48"/>
      <c r="AQ383" s="49"/>
      <c r="AR383" s="48"/>
      <c r="AS383" s="49"/>
      <c r="AT383" s="48"/>
      <c r="AU383" s="49"/>
      <c r="AV383" s="48"/>
      <c r="AW383" s="49"/>
      <c r="AX383" s="48"/>
      <c r="AY383" s="48"/>
      <c r="AZ383" s="48"/>
      <c r="BA383" s="48"/>
      <c r="BB383" s="48"/>
      <c r="BC383" s="2"/>
      <c r="BD383" s="3"/>
      <c r="BE383" s="3"/>
      <c r="BF383" s="3"/>
      <c r="BG383" s="3"/>
    </row>
    <row r="384" spans="1:59" ht="15">
      <c r="A384" s="66" t="s">
        <v>700</v>
      </c>
      <c r="B384" s="67" t="s">
        <v>4461</v>
      </c>
      <c r="C384" s="67"/>
      <c r="D384" s="68">
        <v>751.6836779669288</v>
      </c>
      <c r="E384" s="70"/>
      <c r="F384" s="97" t="str">
        <f>HYPERLINK("https://i.ytimg.com/vi/RKpIs88Nwzw/default.jpg")</f>
        <v>https://i.ytimg.com/vi/RKpIs88Nwzw/default.jpg</v>
      </c>
      <c r="G384" s="120" t="s">
        <v>52</v>
      </c>
      <c r="H384" s="71" t="s">
        <v>1441</v>
      </c>
      <c r="I384" s="72"/>
      <c r="J384" s="72" t="s">
        <v>159</v>
      </c>
      <c r="K384" s="71" t="s">
        <v>1441</v>
      </c>
      <c r="L384" s="75">
        <v>213.72340425531914</v>
      </c>
      <c r="M384" s="76">
        <v>9852.376953125</v>
      </c>
      <c r="N384" s="76">
        <v>2806.910400390625</v>
      </c>
      <c r="O384" s="77"/>
      <c r="P384" s="78"/>
      <c r="Q384" s="78"/>
      <c r="R384" s="82"/>
      <c r="S384" s="48"/>
      <c r="T384" s="48"/>
      <c r="U384" s="49"/>
      <c r="V384" s="49"/>
      <c r="W384" s="49"/>
      <c r="X384" s="49"/>
      <c r="Y384" s="49"/>
      <c r="Z384" s="49"/>
      <c r="AA384" s="73">
        <v>384</v>
      </c>
      <c r="AB384" s="73"/>
      <c r="AC384" s="74"/>
      <c r="AD384" s="80" t="s">
        <v>1441</v>
      </c>
      <c r="AE384" s="80" t="s">
        <v>2098</v>
      </c>
      <c r="AF384" s="80" t="s">
        <v>2689</v>
      </c>
      <c r="AG384" s="80" t="s">
        <v>3223</v>
      </c>
      <c r="AH384" s="80" t="s">
        <v>3853</v>
      </c>
      <c r="AI384" s="80">
        <v>56894</v>
      </c>
      <c r="AJ384" s="80">
        <v>23</v>
      </c>
      <c r="AK384" s="80">
        <v>213</v>
      </c>
      <c r="AL384" s="80">
        <v>16</v>
      </c>
      <c r="AM384" s="80" t="s">
        <v>4098</v>
      </c>
      <c r="AN384" s="96" t="str">
        <f>HYPERLINK("https://www.youtube.com/watch?v=RKpIs88Nwzw")</f>
        <v>https://www.youtube.com/watch?v=RKpIs88Nwzw</v>
      </c>
      <c r="AO384" s="80" t="e">
        <f>REPLACE(INDEX(GroupVertices[Group],MATCH(Vertices[[#This Row],[Vertex]],GroupVertices[Vertex],0)),1,1,"")</f>
        <v>#N/A</v>
      </c>
      <c r="AP384" s="48"/>
      <c r="AQ384" s="49"/>
      <c r="AR384" s="48"/>
      <c r="AS384" s="49"/>
      <c r="AT384" s="48"/>
      <c r="AU384" s="49"/>
      <c r="AV384" s="48"/>
      <c r="AW384" s="49"/>
      <c r="AX384" s="48"/>
      <c r="AY384" s="48"/>
      <c r="AZ384" s="48"/>
      <c r="BA384" s="48"/>
      <c r="BB384" s="48"/>
      <c r="BC384" s="2"/>
      <c r="BD384" s="3"/>
      <c r="BE384" s="3"/>
      <c r="BF384" s="3"/>
      <c r="BG384" s="3"/>
    </row>
    <row r="385" spans="1:59" ht="15">
      <c r="A385" s="66" t="s">
        <v>341</v>
      </c>
      <c r="B385" s="67" t="s">
        <v>4461</v>
      </c>
      <c r="C385" s="67"/>
      <c r="D385" s="68">
        <v>543.8709292457997</v>
      </c>
      <c r="E385" s="70"/>
      <c r="F385" s="97" t="str">
        <f>HYPERLINK("https://i.ytimg.com/vi/IIBOT3SjJZE/default.jpg")</f>
        <v>https://i.ytimg.com/vi/IIBOT3SjJZE/default.jpg</v>
      </c>
      <c r="G385" s="120" t="s">
        <v>52</v>
      </c>
      <c r="H385" s="71" t="s">
        <v>1044</v>
      </c>
      <c r="I385" s="72"/>
      <c r="J385" s="72" t="s">
        <v>159</v>
      </c>
      <c r="K385" s="71" t="s">
        <v>1044</v>
      </c>
      <c r="L385" s="75">
        <v>213.72340425531914</v>
      </c>
      <c r="M385" s="76">
        <v>7407.73681640625</v>
      </c>
      <c r="N385" s="76">
        <v>1524.657470703125</v>
      </c>
      <c r="O385" s="77"/>
      <c r="P385" s="78"/>
      <c r="Q385" s="78"/>
      <c r="R385" s="82"/>
      <c r="S385" s="48"/>
      <c r="T385" s="48"/>
      <c r="U385" s="49"/>
      <c r="V385" s="49"/>
      <c r="W385" s="49"/>
      <c r="X385" s="49"/>
      <c r="Y385" s="49"/>
      <c r="Z385" s="49"/>
      <c r="AA385" s="73">
        <v>385</v>
      </c>
      <c r="AB385" s="73"/>
      <c r="AC385" s="74"/>
      <c r="AD385" s="80" t="s">
        <v>1044</v>
      </c>
      <c r="AE385" s="80" t="s">
        <v>1756</v>
      </c>
      <c r="AF385" s="80" t="s">
        <v>2385</v>
      </c>
      <c r="AG385" s="80" t="s">
        <v>2968</v>
      </c>
      <c r="AH385" s="80" t="s">
        <v>3459</v>
      </c>
      <c r="AI385" s="80">
        <v>5475</v>
      </c>
      <c r="AJ385" s="80">
        <v>5</v>
      </c>
      <c r="AK385" s="80">
        <v>19</v>
      </c>
      <c r="AL385" s="80">
        <v>16</v>
      </c>
      <c r="AM385" s="80" t="s">
        <v>4098</v>
      </c>
      <c r="AN385" s="96" t="str">
        <f>HYPERLINK("https://www.youtube.com/watch?v=IIBOT3SjJZE")</f>
        <v>https://www.youtube.com/watch?v=IIBOT3SjJZE</v>
      </c>
      <c r="AO385" s="80" t="e">
        <f>REPLACE(INDEX(GroupVertices[Group],MATCH(Vertices[[#This Row],[Vertex]],GroupVertices[Vertex],0)),1,1,"")</f>
        <v>#N/A</v>
      </c>
      <c r="AP385" s="48"/>
      <c r="AQ385" s="49"/>
      <c r="AR385" s="48"/>
      <c r="AS385" s="49"/>
      <c r="AT385" s="48"/>
      <c r="AU385" s="49"/>
      <c r="AV385" s="48"/>
      <c r="AW385" s="49"/>
      <c r="AX385" s="48"/>
      <c r="AY385" s="48"/>
      <c r="AZ385" s="48"/>
      <c r="BA385" s="48"/>
      <c r="BB385" s="48"/>
      <c r="BC385" s="2"/>
      <c r="BD385" s="3"/>
      <c r="BE385" s="3"/>
      <c r="BF385" s="3"/>
      <c r="BG385" s="3"/>
    </row>
    <row r="386" spans="1:59" ht="15">
      <c r="A386" s="66" t="s">
        <v>453</v>
      </c>
      <c r="B386" s="67" t="s">
        <v>4461</v>
      </c>
      <c r="C386" s="67"/>
      <c r="D386" s="68">
        <v>543.7735925899467</v>
      </c>
      <c r="E386" s="70"/>
      <c r="F386" s="97" t="str">
        <f>HYPERLINK("https://i.ytimg.com/vi/hEp6jq8Qy2A/default_live.jpg")</f>
        <v>https://i.ytimg.com/vi/hEp6jq8Qy2A/default_live.jpg</v>
      </c>
      <c r="G386" s="120" t="s">
        <v>52</v>
      </c>
      <c r="H386" s="71" t="s">
        <v>1164</v>
      </c>
      <c r="I386" s="72"/>
      <c r="J386" s="72" t="s">
        <v>159</v>
      </c>
      <c r="K386" s="71" t="s">
        <v>1164</v>
      </c>
      <c r="L386" s="75">
        <v>213.72340425531914</v>
      </c>
      <c r="M386" s="76">
        <v>3071.147705078125</v>
      </c>
      <c r="N386" s="76">
        <v>1852.4151611328125</v>
      </c>
      <c r="O386" s="77"/>
      <c r="P386" s="78"/>
      <c r="Q386" s="78"/>
      <c r="R386" s="82"/>
      <c r="S386" s="48"/>
      <c r="T386" s="48"/>
      <c r="U386" s="49"/>
      <c r="V386" s="49"/>
      <c r="W386" s="49"/>
      <c r="X386" s="49"/>
      <c r="Y386" s="49"/>
      <c r="Z386" s="49"/>
      <c r="AA386" s="73">
        <v>386</v>
      </c>
      <c r="AB386" s="73"/>
      <c r="AC386" s="74"/>
      <c r="AD386" s="80" t="s">
        <v>1164</v>
      </c>
      <c r="AE386" s="80" t="s">
        <v>1164</v>
      </c>
      <c r="AF386" s="80"/>
      <c r="AG386" s="80" t="s">
        <v>3031</v>
      </c>
      <c r="AH386" s="80" t="s">
        <v>3577</v>
      </c>
      <c r="AI386" s="80">
        <v>5469</v>
      </c>
      <c r="AJ386" s="80">
        <v>0</v>
      </c>
      <c r="AK386" s="80">
        <v>636</v>
      </c>
      <c r="AL386" s="80">
        <v>16</v>
      </c>
      <c r="AM386" s="80" t="s">
        <v>4098</v>
      </c>
      <c r="AN386" s="96" t="str">
        <f>HYPERLINK("https://www.youtube.com/watch?v=hEp6jq8Qy2A")</f>
        <v>https://www.youtube.com/watch?v=hEp6jq8Qy2A</v>
      </c>
      <c r="AO386" s="80" t="e">
        <f>REPLACE(INDEX(GroupVertices[Group],MATCH(Vertices[[#This Row],[Vertex]],GroupVertices[Vertex],0)),1,1,"")</f>
        <v>#N/A</v>
      </c>
      <c r="AP386" s="48"/>
      <c r="AQ386" s="49"/>
      <c r="AR386" s="48"/>
      <c r="AS386" s="49"/>
      <c r="AT386" s="48"/>
      <c r="AU386" s="49"/>
      <c r="AV386" s="48"/>
      <c r="AW386" s="49"/>
      <c r="AX386" s="48"/>
      <c r="AY386" s="48"/>
      <c r="AZ386" s="48"/>
      <c r="BA386" s="48"/>
      <c r="BB386" s="48"/>
      <c r="BC386" s="2"/>
      <c r="BD386" s="3"/>
      <c r="BE386" s="3"/>
      <c r="BF386" s="3"/>
      <c r="BG386" s="3"/>
    </row>
    <row r="387" spans="1:59" ht="15">
      <c r="A387" s="66" t="s">
        <v>432</v>
      </c>
      <c r="B387" s="67" t="s">
        <v>4461</v>
      </c>
      <c r="C387" s="67"/>
      <c r="D387" s="68">
        <v>769.1185981790741</v>
      </c>
      <c r="E387" s="70"/>
      <c r="F387" s="97" t="str">
        <f>HYPERLINK("https://i.ytimg.com/vi/-ltUZ6YXwK8/default.jpg")</f>
        <v>https://i.ytimg.com/vi/-ltUZ6YXwK8/default.jpg</v>
      </c>
      <c r="G387" s="120" t="s">
        <v>52</v>
      </c>
      <c r="H387" s="71" t="s">
        <v>1140</v>
      </c>
      <c r="I387" s="72"/>
      <c r="J387" s="72" t="s">
        <v>159</v>
      </c>
      <c r="K387" s="71" t="s">
        <v>1140</v>
      </c>
      <c r="L387" s="75">
        <v>213.72340425531914</v>
      </c>
      <c r="M387" s="76">
        <v>9519.1259765625</v>
      </c>
      <c r="N387" s="76">
        <v>5000.505859375</v>
      </c>
      <c r="O387" s="77"/>
      <c r="P387" s="78"/>
      <c r="Q387" s="78"/>
      <c r="R387" s="82"/>
      <c r="S387" s="48"/>
      <c r="T387" s="48"/>
      <c r="U387" s="49"/>
      <c r="V387" s="49"/>
      <c r="W387" s="49"/>
      <c r="X387" s="49"/>
      <c r="Y387" s="49"/>
      <c r="Z387" s="49"/>
      <c r="AA387" s="73">
        <v>387</v>
      </c>
      <c r="AB387" s="73"/>
      <c r="AC387" s="74"/>
      <c r="AD387" s="80" t="s">
        <v>1140</v>
      </c>
      <c r="AE387" s="80"/>
      <c r="AF387" s="80" t="s">
        <v>2455</v>
      </c>
      <c r="AG387" s="80" t="s">
        <v>3021</v>
      </c>
      <c r="AH387" s="80" t="s">
        <v>3553</v>
      </c>
      <c r="AI387" s="80">
        <v>69241</v>
      </c>
      <c r="AJ387" s="80">
        <v>14</v>
      </c>
      <c r="AK387" s="80">
        <v>139</v>
      </c>
      <c r="AL387" s="80">
        <v>15</v>
      </c>
      <c r="AM387" s="80" t="s">
        <v>4098</v>
      </c>
      <c r="AN387" s="96" t="str">
        <f>HYPERLINK("https://www.youtube.com/watch?v=-ltUZ6YXwK8")</f>
        <v>https://www.youtube.com/watch?v=-ltUZ6YXwK8</v>
      </c>
      <c r="AO387" s="80" t="e">
        <f>REPLACE(INDEX(GroupVertices[Group],MATCH(Vertices[[#This Row],[Vertex]],GroupVertices[Vertex],0)),1,1,"")</f>
        <v>#N/A</v>
      </c>
      <c r="AP387" s="48"/>
      <c r="AQ387" s="49"/>
      <c r="AR387" s="48"/>
      <c r="AS387" s="49"/>
      <c r="AT387" s="48"/>
      <c r="AU387" s="49"/>
      <c r="AV387" s="48"/>
      <c r="AW387" s="49"/>
      <c r="AX387" s="48"/>
      <c r="AY387" s="48"/>
      <c r="AZ387" s="48"/>
      <c r="BA387" s="48"/>
      <c r="BB387" s="48"/>
      <c r="BC387" s="2"/>
      <c r="BD387" s="3"/>
      <c r="BE387" s="3"/>
      <c r="BF387" s="3"/>
      <c r="BG387" s="3"/>
    </row>
    <row r="388" spans="1:59" ht="15">
      <c r="A388" s="66" t="s">
        <v>413</v>
      </c>
      <c r="B388" s="67" t="s">
        <v>4461</v>
      </c>
      <c r="C388" s="67"/>
      <c r="D388" s="68">
        <v>670.9128503265546</v>
      </c>
      <c r="E388" s="70"/>
      <c r="F388" s="97" t="str">
        <f>HYPERLINK("https://i.ytimg.com/vi/XOMN5mn2FkY/default.jpg")</f>
        <v>https://i.ytimg.com/vi/XOMN5mn2FkY/default.jpg</v>
      </c>
      <c r="G388" s="120" t="s">
        <v>52</v>
      </c>
      <c r="H388" s="71" t="s">
        <v>1121</v>
      </c>
      <c r="I388" s="72"/>
      <c r="J388" s="72" t="s">
        <v>159</v>
      </c>
      <c r="K388" s="71" t="s">
        <v>1121</v>
      </c>
      <c r="L388" s="75">
        <v>213.72340425531914</v>
      </c>
      <c r="M388" s="76">
        <v>9280.05859375</v>
      </c>
      <c r="N388" s="76">
        <v>4548.33984375</v>
      </c>
      <c r="O388" s="77"/>
      <c r="P388" s="78"/>
      <c r="Q388" s="78"/>
      <c r="R388" s="82"/>
      <c r="S388" s="48"/>
      <c r="T388" s="48"/>
      <c r="U388" s="49"/>
      <c r="V388" s="49"/>
      <c r="W388" s="49"/>
      <c r="X388" s="49"/>
      <c r="Y388" s="49"/>
      <c r="Z388" s="49"/>
      <c r="AA388" s="73">
        <v>388</v>
      </c>
      <c r="AB388" s="73"/>
      <c r="AC388" s="74"/>
      <c r="AD388" s="80" t="s">
        <v>1121</v>
      </c>
      <c r="AE388" s="80" t="s">
        <v>1818</v>
      </c>
      <c r="AF388" s="80" t="s">
        <v>2439</v>
      </c>
      <c r="AG388" s="80" t="s">
        <v>3004</v>
      </c>
      <c r="AH388" s="80" t="s">
        <v>3534</v>
      </c>
      <c r="AI388" s="80">
        <v>22904</v>
      </c>
      <c r="AJ388" s="80">
        <v>0</v>
      </c>
      <c r="AK388" s="80">
        <v>44</v>
      </c>
      <c r="AL388" s="80">
        <v>15</v>
      </c>
      <c r="AM388" s="80" t="s">
        <v>4098</v>
      </c>
      <c r="AN388" s="96" t="str">
        <f>HYPERLINK("https://www.youtube.com/watch?v=XOMN5mn2FkY")</f>
        <v>https://www.youtube.com/watch?v=XOMN5mn2FkY</v>
      </c>
      <c r="AO388" s="80" t="e">
        <f>REPLACE(INDEX(GroupVertices[Group],MATCH(Vertices[[#This Row],[Vertex]],GroupVertices[Vertex],0)),1,1,"")</f>
        <v>#N/A</v>
      </c>
      <c r="AP388" s="48"/>
      <c r="AQ388" s="49"/>
      <c r="AR388" s="48"/>
      <c r="AS388" s="49"/>
      <c r="AT388" s="48"/>
      <c r="AU388" s="49"/>
      <c r="AV388" s="48"/>
      <c r="AW388" s="49"/>
      <c r="AX388" s="48"/>
      <c r="AY388" s="48"/>
      <c r="AZ388" s="48"/>
      <c r="BA388" s="48"/>
      <c r="BB388" s="48"/>
      <c r="BC388" s="2"/>
      <c r="BD388" s="3"/>
      <c r="BE388" s="3"/>
      <c r="BF388" s="3"/>
      <c r="BG388" s="3"/>
    </row>
    <row r="389" spans="1:59" ht="15">
      <c r="A389" s="66" t="s">
        <v>325</v>
      </c>
      <c r="B389" s="67" t="s">
        <v>4461</v>
      </c>
      <c r="C389" s="67"/>
      <c r="D389" s="68">
        <v>651.735609444215</v>
      </c>
      <c r="E389" s="70"/>
      <c r="F389" s="97" t="str">
        <f>HYPERLINK("https://i.ytimg.com/vi/KRQpijZtCOk/default.jpg")</f>
        <v>https://i.ytimg.com/vi/KRQpijZtCOk/default.jpg</v>
      </c>
      <c r="G389" s="120" t="s">
        <v>52</v>
      </c>
      <c r="H389" s="71" t="s">
        <v>1026</v>
      </c>
      <c r="I389" s="72"/>
      <c r="J389" s="72" t="s">
        <v>159</v>
      </c>
      <c r="K389" s="71" t="s">
        <v>1026</v>
      </c>
      <c r="L389" s="75">
        <v>213.72340425531914</v>
      </c>
      <c r="M389" s="76">
        <v>6044.7275390625</v>
      </c>
      <c r="N389" s="76">
        <v>2349.413818359375</v>
      </c>
      <c r="O389" s="77"/>
      <c r="P389" s="78"/>
      <c r="Q389" s="78"/>
      <c r="R389" s="82"/>
      <c r="S389" s="48"/>
      <c r="T389" s="48"/>
      <c r="U389" s="49"/>
      <c r="V389" s="49"/>
      <c r="W389" s="49"/>
      <c r="X389" s="49"/>
      <c r="Y389" s="49"/>
      <c r="Z389" s="49"/>
      <c r="AA389" s="73">
        <v>389</v>
      </c>
      <c r="AB389" s="73"/>
      <c r="AC389" s="74"/>
      <c r="AD389" s="80" t="s">
        <v>1026</v>
      </c>
      <c r="AE389" s="80"/>
      <c r="AF389" s="80"/>
      <c r="AG389" s="80" t="s">
        <v>2955</v>
      </c>
      <c r="AH389" s="80" t="s">
        <v>3441</v>
      </c>
      <c r="AI389" s="80">
        <v>18454</v>
      </c>
      <c r="AJ389" s="80">
        <v>8</v>
      </c>
      <c r="AK389" s="80">
        <v>43</v>
      </c>
      <c r="AL389" s="80">
        <v>15</v>
      </c>
      <c r="AM389" s="80" t="s">
        <v>4098</v>
      </c>
      <c r="AN389" s="96" t="str">
        <f>HYPERLINK("https://www.youtube.com/watch?v=KRQpijZtCOk")</f>
        <v>https://www.youtube.com/watch?v=KRQpijZtCOk</v>
      </c>
      <c r="AO389" s="80" t="e">
        <f>REPLACE(INDEX(GroupVertices[Group],MATCH(Vertices[[#This Row],[Vertex]],GroupVertices[Vertex],0)),1,1,"")</f>
        <v>#N/A</v>
      </c>
      <c r="AP389" s="48"/>
      <c r="AQ389" s="49"/>
      <c r="AR389" s="48"/>
      <c r="AS389" s="49"/>
      <c r="AT389" s="48"/>
      <c r="AU389" s="49"/>
      <c r="AV389" s="48"/>
      <c r="AW389" s="49"/>
      <c r="AX389" s="48"/>
      <c r="AY389" s="48"/>
      <c r="AZ389" s="48"/>
      <c r="BA389" s="48"/>
      <c r="BB389" s="48"/>
      <c r="BC389" s="2"/>
      <c r="BD389" s="3"/>
      <c r="BE389" s="3"/>
      <c r="BF389" s="3"/>
      <c r="BG389" s="3"/>
    </row>
    <row r="390" spans="1:59" ht="15">
      <c r="A390" s="66" t="s">
        <v>471</v>
      </c>
      <c r="B390" s="67" t="s">
        <v>4461</v>
      </c>
      <c r="C390" s="67"/>
      <c r="D390" s="68">
        <v>507.97460756427034</v>
      </c>
      <c r="E390" s="70"/>
      <c r="F390" s="97" t="str">
        <f>HYPERLINK("https://i.ytimg.com/vi/5Jy_mhm_wAE/default_live.jpg")</f>
        <v>https://i.ytimg.com/vi/5Jy_mhm_wAE/default_live.jpg</v>
      </c>
      <c r="G390" s="120" t="s">
        <v>52</v>
      </c>
      <c r="H390" s="71" t="s">
        <v>1182</v>
      </c>
      <c r="I390" s="72"/>
      <c r="J390" s="72" t="s">
        <v>159</v>
      </c>
      <c r="K390" s="71" t="s">
        <v>1182</v>
      </c>
      <c r="L390" s="75">
        <v>213.72340425531914</v>
      </c>
      <c r="M390" s="76">
        <v>3035.026123046875</v>
      </c>
      <c r="N390" s="76">
        <v>1479.8963623046875</v>
      </c>
      <c r="O390" s="77"/>
      <c r="P390" s="78"/>
      <c r="Q390" s="78"/>
      <c r="R390" s="82"/>
      <c r="S390" s="48"/>
      <c r="T390" s="48"/>
      <c r="U390" s="49"/>
      <c r="V390" s="49"/>
      <c r="W390" s="49"/>
      <c r="X390" s="49"/>
      <c r="Y390" s="49"/>
      <c r="Z390" s="49"/>
      <c r="AA390" s="73">
        <v>390</v>
      </c>
      <c r="AB390" s="73"/>
      <c r="AC390" s="74"/>
      <c r="AD390" s="80" t="s">
        <v>1182</v>
      </c>
      <c r="AE390" s="80" t="s">
        <v>1871</v>
      </c>
      <c r="AF390" s="80"/>
      <c r="AG390" s="80" t="s">
        <v>3048</v>
      </c>
      <c r="AH390" s="80" t="s">
        <v>3595</v>
      </c>
      <c r="AI390" s="80">
        <v>3654</v>
      </c>
      <c r="AJ390" s="80">
        <v>0</v>
      </c>
      <c r="AK390" s="80">
        <v>394</v>
      </c>
      <c r="AL390" s="80">
        <v>15</v>
      </c>
      <c r="AM390" s="80" t="s">
        <v>4098</v>
      </c>
      <c r="AN390" s="96" t="str">
        <f>HYPERLINK("https://www.youtube.com/watch?v=5Jy_mhm_wAE")</f>
        <v>https://www.youtube.com/watch?v=5Jy_mhm_wAE</v>
      </c>
      <c r="AO390" s="80" t="e">
        <f>REPLACE(INDEX(GroupVertices[Group],MATCH(Vertices[[#This Row],[Vertex]],GroupVertices[Vertex],0)),1,1,"")</f>
        <v>#N/A</v>
      </c>
      <c r="AP390" s="48"/>
      <c r="AQ390" s="49"/>
      <c r="AR390" s="48"/>
      <c r="AS390" s="49"/>
      <c r="AT390" s="48"/>
      <c r="AU390" s="49"/>
      <c r="AV390" s="48"/>
      <c r="AW390" s="49"/>
      <c r="AX390" s="48"/>
      <c r="AY390" s="48"/>
      <c r="AZ390" s="48"/>
      <c r="BA390" s="48"/>
      <c r="BB390" s="48"/>
      <c r="BC390" s="2"/>
      <c r="BD390" s="3"/>
      <c r="BE390" s="3"/>
      <c r="BF390" s="3"/>
      <c r="BG390" s="3"/>
    </row>
    <row r="391" spans="1:59" ht="15">
      <c r="A391" s="66" t="s">
        <v>722</v>
      </c>
      <c r="B391" s="67" t="s">
        <v>4461</v>
      </c>
      <c r="C391" s="67"/>
      <c r="D391" s="68">
        <v>812.4212364367932</v>
      </c>
      <c r="E391" s="70"/>
      <c r="F391" s="97" t="str">
        <f>HYPERLINK("https://i.ytimg.com/vi/vBmBy8vchCw/default.jpg")</f>
        <v>https://i.ytimg.com/vi/vBmBy8vchCw/default.jpg</v>
      </c>
      <c r="G391" s="120" t="s">
        <v>52</v>
      </c>
      <c r="H391" s="71" t="s">
        <v>1463</v>
      </c>
      <c r="I391" s="72"/>
      <c r="J391" s="72" t="s">
        <v>159</v>
      </c>
      <c r="K391" s="71" t="s">
        <v>1463</v>
      </c>
      <c r="L391" s="75">
        <v>213.72340425531914</v>
      </c>
      <c r="M391" s="76">
        <v>6826.63525390625</v>
      </c>
      <c r="N391" s="76">
        <v>8495.9013671875</v>
      </c>
      <c r="O391" s="77"/>
      <c r="P391" s="78"/>
      <c r="Q391" s="78"/>
      <c r="R391" s="82"/>
      <c r="S391" s="48"/>
      <c r="T391" s="48"/>
      <c r="U391" s="49"/>
      <c r="V391" s="49"/>
      <c r="W391" s="49"/>
      <c r="X391" s="49"/>
      <c r="Y391" s="49"/>
      <c r="Z391" s="49"/>
      <c r="AA391" s="73">
        <v>391</v>
      </c>
      <c r="AB391" s="73"/>
      <c r="AC391" s="74"/>
      <c r="AD391" s="80" t="s">
        <v>1463</v>
      </c>
      <c r="AE391" s="80" t="s">
        <v>2120</v>
      </c>
      <c r="AF391" s="80" t="s">
        <v>2710</v>
      </c>
      <c r="AG391" s="80" t="s">
        <v>3238</v>
      </c>
      <c r="AH391" s="80" t="s">
        <v>3876</v>
      </c>
      <c r="AI391" s="80">
        <v>112775</v>
      </c>
      <c r="AJ391" s="80">
        <v>157</v>
      </c>
      <c r="AK391" s="80">
        <v>525</v>
      </c>
      <c r="AL391" s="80">
        <v>14</v>
      </c>
      <c r="AM391" s="80" t="s">
        <v>4098</v>
      </c>
      <c r="AN391" s="96" t="str">
        <f>HYPERLINK("https://www.youtube.com/watch?v=vBmBy8vchCw")</f>
        <v>https://www.youtube.com/watch?v=vBmBy8vchCw</v>
      </c>
      <c r="AO391" s="80" t="e">
        <f>REPLACE(INDEX(GroupVertices[Group],MATCH(Vertices[[#This Row],[Vertex]],GroupVertices[Vertex],0)),1,1,"")</f>
        <v>#N/A</v>
      </c>
      <c r="AP391" s="48"/>
      <c r="AQ391" s="49"/>
      <c r="AR391" s="48"/>
      <c r="AS391" s="49"/>
      <c r="AT391" s="48"/>
      <c r="AU391" s="49"/>
      <c r="AV391" s="48"/>
      <c r="AW391" s="49"/>
      <c r="AX391" s="48"/>
      <c r="AY391" s="48"/>
      <c r="AZ391" s="48"/>
      <c r="BA391" s="48"/>
      <c r="BB391" s="48"/>
      <c r="BC391" s="2"/>
      <c r="BD391" s="3"/>
      <c r="BE391" s="3"/>
      <c r="BF391" s="3"/>
      <c r="BG391" s="3"/>
    </row>
    <row r="392" spans="1:59" ht="15">
      <c r="A392" s="66" t="s">
        <v>925</v>
      </c>
      <c r="B392" s="67" t="s">
        <v>4461</v>
      </c>
      <c r="C392" s="67"/>
      <c r="D392" s="68">
        <v>743.3346981811166</v>
      </c>
      <c r="E392" s="70"/>
      <c r="F392" s="97" t="str">
        <f>HYPERLINK("https://i.ytimg.com/vi/O4PXqpv8TAw/default.jpg")</f>
        <v>https://i.ytimg.com/vi/O4PXqpv8TAw/default.jpg</v>
      </c>
      <c r="G392" s="120" t="s">
        <v>52</v>
      </c>
      <c r="H392" s="71" t="s">
        <v>1663</v>
      </c>
      <c r="I392" s="72"/>
      <c r="J392" s="72" t="s">
        <v>159</v>
      </c>
      <c r="K392" s="71" t="s">
        <v>1663</v>
      </c>
      <c r="L392" s="75">
        <v>213.72340425531914</v>
      </c>
      <c r="M392" s="76">
        <v>1300.31298828125</v>
      </c>
      <c r="N392" s="76">
        <v>4969.62548828125</v>
      </c>
      <c r="O392" s="77"/>
      <c r="P392" s="78"/>
      <c r="Q392" s="78"/>
      <c r="R392" s="82"/>
      <c r="S392" s="48"/>
      <c r="T392" s="48"/>
      <c r="U392" s="49"/>
      <c r="V392" s="49"/>
      <c r="W392" s="49"/>
      <c r="X392" s="49"/>
      <c r="Y392" s="49"/>
      <c r="Z392" s="49"/>
      <c r="AA392" s="73">
        <v>392</v>
      </c>
      <c r="AB392" s="73"/>
      <c r="AC392" s="74"/>
      <c r="AD392" s="80" t="s">
        <v>1663</v>
      </c>
      <c r="AE392" s="80" t="s">
        <v>2298</v>
      </c>
      <c r="AF392" s="80" t="s">
        <v>2879</v>
      </c>
      <c r="AG392" s="80" t="s">
        <v>3362</v>
      </c>
      <c r="AH392" s="80" t="s">
        <v>4079</v>
      </c>
      <c r="AI392" s="80">
        <v>51787</v>
      </c>
      <c r="AJ392" s="80">
        <v>0</v>
      </c>
      <c r="AK392" s="80">
        <v>528</v>
      </c>
      <c r="AL392" s="80">
        <v>13</v>
      </c>
      <c r="AM392" s="80" t="s">
        <v>4098</v>
      </c>
      <c r="AN392" s="96" t="str">
        <f>HYPERLINK("https://www.youtube.com/watch?v=O4PXqpv8TAw")</f>
        <v>https://www.youtube.com/watch?v=O4PXqpv8TAw</v>
      </c>
      <c r="AO392" s="80" t="e">
        <f>REPLACE(INDEX(GroupVertices[Group],MATCH(Vertices[[#This Row],[Vertex]],GroupVertices[Vertex],0)),1,1,"")</f>
        <v>#N/A</v>
      </c>
      <c r="AP392" s="48"/>
      <c r="AQ392" s="49"/>
      <c r="AR392" s="48"/>
      <c r="AS392" s="49"/>
      <c r="AT392" s="48"/>
      <c r="AU392" s="49"/>
      <c r="AV392" s="48"/>
      <c r="AW392" s="49"/>
      <c r="AX392" s="48"/>
      <c r="AY392" s="48"/>
      <c r="AZ392" s="48"/>
      <c r="BA392" s="48"/>
      <c r="BB392" s="48"/>
      <c r="BC392" s="2"/>
      <c r="BD392" s="3"/>
      <c r="BE392" s="3"/>
      <c r="BF392" s="3"/>
      <c r="BG392" s="3"/>
    </row>
    <row r="393" spans="1:59" ht="15">
      <c r="A393" s="66" t="s">
        <v>307</v>
      </c>
      <c r="B393" s="67" t="s">
        <v>4461</v>
      </c>
      <c r="C393" s="67"/>
      <c r="D393" s="68">
        <v>707.3137157143956</v>
      </c>
      <c r="E393" s="70"/>
      <c r="F393" s="97" t="str">
        <f>HYPERLINK("https://i.ytimg.com/vi/PONAp7NQZoI/default.jpg")</f>
        <v>https://i.ytimg.com/vi/PONAp7NQZoI/default.jpg</v>
      </c>
      <c r="G393" s="120" t="s">
        <v>52</v>
      </c>
      <c r="H393" s="71" t="s">
        <v>1006</v>
      </c>
      <c r="I393" s="72"/>
      <c r="J393" s="72" t="s">
        <v>159</v>
      </c>
      <c r="K393" s="71" t="s">
        <v>1006</v>
      </c>
      <c r="L393" s="75">
        <v>213.72340425531914</v>
      </c>
      <c r="M393" s="76">
        <v>7779.7724609375</v>
      </c>
      <c r="N393" s="76">
        <v>9800.466796875</v>
      </c>
      <c r="O393" s="77"/>
      <c r="P393" s="78"/>
      <c r="Q393" s="78"/>
      <c r="R393" s="82"/>
      <c r="S393" s="48"/>
      <c r="T393" s="48"/>
      <c r="U393" s="49"/>
      <c r="V393" s="49"/>
      <c r="W393" s="49"/>
      <c r="X393" s="49"/>
      <c r="Y393" s="49"/>
      <c r="Z393" s="49"/>
      <c r="AA393" s="73">
        <v>393</v>
      </c>
      <c r="AB393" s="73"/>
      <c r="AC393" s="74"/>
      <c r="AD393" s="80" t="s">
        <v>1006</v>
      </c>
      <c r="AE393" s="80" t="s">
        <v>1726</v>
      </c>
      <c r="AF393" s="80" t="s">
        <v>2359</v>
      </c>
      <c r="AG393" s="80" t="s">
        <v>2935</v>
      </c>
      <c r="AH393" s="80" t="s">
        <v>3421</v>
      </c>
      <c r="AI393" s="80">
        <v>34514</v>
      </c>
      <c r="AJ393" s="80">
        <v>6</v>
      </c>
      <c r="AK393" s="80">
        <v>41</v>
      </c>
      <c r="AL393" s="80">
        <v>13</v>
      </c>
      <c r="AM393" s="80" t="s">
        <v>4098</v>
      </c>
      <c r="AN393" s="96" t="str">
        <f>HYPERLINK("https://www.youtube.com/watch?v=PONAp7NQZoI")</f>
        <v>https://www.youtube.com/watch?v=PONAp7NQZoI</v>
      </c>
      <c r="AO393" s="80" t="e">
        <f>REPLACE(INDEX(GroupVertices[Group],MATCH(Vertices[[#This Row],[Vertex]],GroupVertices[Vertex],0)),1,1,"")</f>
        <v>#N/A</v>
      </c>
      <c r="AP393" s="48"/>
      <c r="AQ393" s="49"/>
      <c r="AR393" s="48"/>
      <c r="AS393" s="49"/>
      <c r="AT393" s="48"/>
      <c r="AU393" s="49"/>
      <c r="AV393" s="48"/>
      <c r="AW393" s="49"/>
      <c r="AX393" s="48"/>
      <c r="AY393" s="48"/>
      <c r="AZ393" s="48"/>
      <c r="BA393" s="48"/>
      <c r="BB393" s="48"/>
      <c r="BC393" s="2"/>
      <c r="BD393" s="3"/>
      <c r="BE393" s="3"/>
      <c r="BF393" s="3"/>
      <c r="BG393" s="3"/>
    </row>
    <row r="394" spans="1:59" ht="15">
      <c r="A394" s="66" t="s">
        <v>823</v>
      </c>
      <c r="B394" s="67" t="s">
        <v>4461</v>
      </c>
      <c r="C394" s="67"/>
      <c r="D394" s="68">
        <v>654.9803218388802</v>
      </c>
      <c r="E394" s="70"/>
      <c r="F394" s="97" t="str">
        <f>HYPERLINK("https://i.ytimg.com/vi/gRE05iouRHE/default.jpg")</f>
        <v>https://i.ytimg.com/vi/gRE05iouRHE/default.jpg</v>
      </c>
      <c r="G394" s="120" t="s">
        <v>52</v>
      </c>
      <c r="H394" s="71" t="s">
        <v>1562</v>
      </c>
      <c r="I394" s="72"/>
      <c r="J394" s="72" t="s">
        <v>159</v>
      </c>
      <c r="K394" s="71" t="s">
        <v>1562</v>
      </c>
      <c r="L394" s="75">
        <v>213.72340425531914</v>
      </c>
      <c r="M394" s="76">
        <v>1643.7928466796875</v>
      </c>
      <c r="N394" s="76">
        <v>589.1878662109375</v>
      </c>
      <c r="O394" s="77"/>
      <c r="P394" s="78"/>
      <c r="Q394" s="78"/>
      <c r="R394" s="82"/>
      <c r="S394" s="48"/>
      <c r="T394" s="48"/>
      <c r="U394" s="49"/>
      <c r="V394" s="49"/>
      <c r="W394" s="49"/>
      <c r="X394" s="49"/>
      <c r="Y394" s="49"/>
      <c r="Z394" s="49"/>
      <c r="AA394" s="73">
        <v>394</v>
      </c>
      <c r="AB394" s="73"/>
      <c r="AC394" s="74"/>
      <c r="AD394" s="80" t="s">
        <v>1562</v>
      </c>
      <c r="AE394" s="80" t="s">
        <v>2209</v>
      </c>
      <c r="AF394" s="80" t="s">
        <v>2794</v>
      </c>
      <c r="AG394" s="80" t="s">
        <v>3307</v>
      </c>
      <c r="AH394" s="80" t="s">
        <v>3977</v>
      </c>
      <c r="AI394" s="80">
        <v>19141</v>
      </c>
      <c r="AJ394" s="80">
        <v>96</v>
      </c>
      <c r="AK394" s="80">
        <v>258</v>
      </c>
      <c r="AL394" s="80">
        <v>13</v>
      </c>
      <c r="AM394" s="80" t="s">
        <v>4098</v>
      </c>
      <c r="AN394" s="96" t="str">
        <f>HYPERLINK("https://www.youtube.com/watch?v=gRE05iouRHE")</f>
        <v>https://www.youtube.com/watch?v=gRE05iouRHE</v>
      </c>
      <c r="AO394" s="80" t="e">
        <f>REPLACE(INDEX(GroupVertices[Group],MATCH(Vertices[[#This Row],[Vertex]],GroupVertices[Vertex],0)),1,1,"")</f>
        <v>#N/A</v>
      </c>
      <c r="AP394" s="48"/>
      <c r="AQ394" s="49"/>
      <c r="AR394" s="48"/>
      <c r="AS394" s="49"/>
      <c r="AT394" s="48"/>
      <c r="AU394" s="49"/>
      <c r="AV394" s="48"/>
      <c r="AW394" s="49"/>
      <c r="AX394" s="48"/>
      <c r="AY394" s="48"/>
      <c r="AZ394" s="48"/>
      <c r="BA394" s="48"/>
      <c r="BB394" s="48"/>
      <c r="BC394" s="2"/>
      <c r="BD394" s="3"/>
      <c r="BE394" s="3"/>
      <c r="BF394" s="3"/>
      <c r="BG394" s="3"/>
    </row>
    <row r="395" spans="1:59" ht="15">
      <c r="A395" s="66" t="s">
        <v>271</v>
      </c>
      <c r="B395" s="67" t="s">
        <v>4461</v>
      </c>
      <c r="C395" s="67"/>
      <c r="D395" s="68">
        <v>648.8312370135371</v>
      </c>
      <c r="E395" s="70"/>
      <c r="F395" s="97" t="str">
        <f>HYPERLINK("https://i.ytimg.com/vi/nOIZnYLlPBo/default.jpg")</f>
        <v>https://i.ytimg.com/vi/nOIZnYLlPBo/default.jpg</v>
      </c>
      <c r="G395" s="120" t="s">
        <v>52</v>
      </c>
      <c r="H395" s="71" t="s">
        <v>966</v>
      </c>
      <c r="I395" s="72"/>
      <c r="J395" s="72" t="s">
        <v>159</v>
      </c>
      <c r="K395" s="71" t="s">
        <v>966</v>
      </c>
      <c r="L395" s="75">
        <v>213.72340425531914</v>
      </c>
      <c r="M395" s="76">
        <v>5931.60400390625</v>
      </c>
      <c r="N395" s="76">
        <v>9483.787109375</v>
      </c>
      <c r="O395" s="77"/>
      <c r="P395" s="78"/>
      <c r="Q395" s="78"/>
      <c r="R395" s="82"/>
      <c r="S395" s="48"/>
      <c r="T395" s="48"/>
      <c r="U395" s="49"/>
      <c r="V395" s="49"/>
      <c r="W395" s="49"/>
      <c r="X395" s="49"/>
      <c r="Y395" s="49"/>
      <c r="Z395" s="49"/>
      <c r="AA395" s="73">
        <v>395</v>
      </c>
      <c r="AB395" s="73"/>
      <c r="AC395" s="74"/>
      <c r="AD395" s="80" t="s">
        <v>966</v>
      </c>
      <c r="AE395" s="80" t="s">
        <v>1690</v>
      </c>
      <c r="AF395" s="80"/>
      <c r="AG395" s="80" t="s">
        <v>2902</v>
      </c>
      <c r="AH395" s="80" t="s">
        <v>3381</v>
      </c>
      <c r="AI395" s="80">
        <v>17860</v>
      </c>
      <c r="AJ395" s="80">
        <v>32</v>
      </c>
      <c r="AK395" s="80">
        <v>293</v>
      </c>
      <c r="AL395" s="80">
        <v>13</v>
      </c>
      <c r="AM395" s="80" t="s">
        <v>4098</v>
      </c>
      <c r="AN395" s="96" t="str">
        <f>HYPERLINK("https://www.youtube.com/watch?v=nOIZnYLlPBo")</f>
        <v>https://www.youtube.com/watch?v=nOIZnYLlPBo</v>
      </c>
      <c r="AO395" s="80" t="e">
        <f>REPLACE(INDEX(GroupVertices[Group],MATCH(Vertices[[#This Row],[Vertex]],GroupVertices[Vertex],0)),1,1,"")</f>
        <v>#N/A</v>
      </c>
      <c r="AP395" s="48"/>
      <c r="AQ395" s="49"/>
      <c r="AR395" s="48"/>
      <c r="AS395" s="49"/>
      <c r="AT395" s="48"/>
      <c r="AU395" s="49"/>
      <c r="AV395" s="48"/>
      <c r="AW395" s="49"/>
      <c r="AX395" s="48"/>
      <c r="AY395" s="48"/>
      <c r="AZ395" s="48"/>
      <c r="BA395" s="48"/>
      <c r="BB395" s="48"/>
      <c r="BC395" s="2"/>
      <c r="BD395" s="3"/>
      <c r="BE395" s="3"/>
      <c r="BF395" s="3"/>
      <c r="BG395" s="3"/>
    </row>
    <row r="396" spans="1:59" ht="15">
      <c r="A396" s="66" t="s">
        <v>709</v>
      </c>
      <c r="B396" s="67" t="s">
        <v>4461</v>
      </c>
      <c r="C396" s="67"/>
      <c r="D396" s="68">
        <v>841.1790335761873</v>
      </c>
      <c r="E396" s="70"/>
      <c r="F396" s="97" t="str">
        <f>HYPERLINK("https://i.ytimg.com/vi/P3-vxoTrXjo/default.jpg")</f>
        <v>https://i.ytimg.com/vi/P3-vxoTrXjo/default.jpg</v>
      </c>
      <c r="G396" s="120" t="s">
        <v>52</v>
      </c>
      <c r="H396" s="71" t="s">
        <v>1450</v>
      </c>
      <c r="I396" s="72"/>
      <c r="J396" s="72" t="s">
        <v>159</v>
      </c>
      <c r="K396" s="71" t="s">
        <v>1450</v>
      </c>
      <c r="L396" s="75">
        <v>213.72340425531914</v>
      </c>
      <c r="M396" s="76">
        <v>7377.5546875</v>
      </c>
      <c r="N396" s="76">
        <v>6747.32373046875</v>
      </c>
      <c r="O396" s="77"/>
      <c r="P396" s="78"/>
      <c r="Q396" s="78"/>
      <c r="R396" s="82"/>
      <c r="S396" s="48"/>
      <c r="T396" s="48"/>
      <c r="U396" s="49"/>
      <c r="V396" s="49"/>
      <c r="W396" s="49"/>
      <c r="X396" s="49"/>
      <c r="Y396" s="49"/>
      <c r="Z396" s="49"/>
      <c r="AA396" s="73">
        <v>396</v>
      </c>
      <c r="AB396" s="73"/>
      <c r="AC396" s="74"/>
      <c r="AD396" s="80" t="s">
        <v>1450</v>
      </c>
      <c r="AE396" s="80" t="s">
        <v>2108</v>
      </c>
      <c r="AF396" s="80" t="s">
        <v>2698</v>
      </c>
      <c r="AG396" s="80" t="s">
        <v>3229</v>
      </c>
      <c r="AH396" s="80" t="s">
        <v>3863</v>
      </c>
      <c r="AI396" s="80">
        <v>155921</v>
      </c>
      <c r="AJ396" s="80">
        <v>56</v>
      </c>
      <c r="AK396" s="80">
        <v>500</v>
      </c>
      <c r="AL396" s="80">
        <v>12</v>
      </c>
      <c r="AM396" s="80" t="s">
        <v>4098</v>
      </c>
      <c r="AN396" s="96" t="str">
        <f>HYPERLINK("https://www.youtube.com/watch?v=P3-vxoTrXjo")</f>
        <v>https://www.youtube.com/watch?v=P3-vxoTrXjo</v>
      </c>
      <c r="AO396" s="80" t="e">
        <f>REPLACE(INDEX(GroupVertices[Group],MATCH(Vertices[[#This Row],[Vertex]],GroupVertices[Vertex],0)),1,1,"")</f>
        <v>#N/A</v>
      </c>
      <c r="AP396" s="48"/>
      <c r="AQ396" s="49"/>
      <c r="AR396" s="48"/>
      <c r="AS396" s="49"/>
      <c r="AT396" s="48"/>
      <c r="AU396" s="49"/>
      <c r="AV396" s="48"/>
      <c r="AW396" s="49"/>
      <c r="AX396" s="48"/>
      <c r="AY396" s="48"/>
      <c r="AZ396" s="48"/>
      <c r="BA396" s="48"/>
      <c r="BB396" s="48"/>
      <c r="BC396" s="2"/>
      <c r="BD396" s="3"/>
      <c r="BE396" s="3"/>
      <c r="BF396" s="3"/>
      <c r="BG396" s="3"/>
    </row>
    <row r="397" spans="1:59" ht="15">
      <c r="A397" s="66" t="s">
        <v>929</v>
      </c>
      <c r="B397" s="67" t="s">
        <v>4461</v>
      </c>
      <c r="C397" s="67"/>
      <c r="D397" s="68">
        <v>770.4698084747365</v>
      </c>
      <c r="E397" s="70"/>
      <c r="F397" s="97" t="str">
        <f>HYPERLINK("https://i.ytimg.com/vi/81BdxdPAoO4/default.jpg")</f>
        <v>https://i.ytimg.com/vi/81BdxdPAoO4/default.jpg</v>
      </c>
      <c r="G397" s="120" t="s">
        <v>52</v>
      </c>
      <c r="H397" s="71" t="s">
        <v>1667</v>
      </c>
      <c r="I397" s="72"/>
      <c r="J397" s="72" t="s">
        <v>159</v>
      </c>
      <c r="K397" s="71" t="s">
        <v>1667</v>
      </c>
      <c r="L397" s="75">
        <v>213.72340425531914</v>
      </c>
      <c r="M397" s="76">
        <v>2154.896728515625</v>
      </c>
      <c r="N397" s="76">
        <v>3496.026123046875</v>
      </c>
      <c r="O397" s="77"/>
      <c r="P397" s="78"/>
      <c r="Q397" s="78"/>
      <c r="R397" s="82"/>
      <c r="S397" s="48"/>
      <c r="T397" s="48"/>
      <c r="U397" s="49"/>
      <c r="V397" s="49"/>
      <c r="W397" s="49"/>
      <c r="X397" s="49"/>
      <c r="Y397" s="49"/>
      <c r="Z397" s="49"/>
      <c r="AA397" s="73">
        <v>397</v>
      </c>
      <c r="AB397" s="73"/>
      <c r="AC397" s="74"/>
      <c r="AD397" s="80" t="s">
        <v>1667</v>
      </c>
      <c r="AE397" s="80" t="s">
        <v>2302</v>
      </c>
      <c r="AF397" s="80" t="s">
        <v>2883</v>
      </c>
      <c r="AG397" s="80" t="s">
        <v>3364</v>
      </c>
      <c r="AH397" s="80" t="s">
        <v>4083</v>
      </c>
      <c r="AI397" s="80">
        <v>70303</v>
      </c>
      <c r="AJ397" s="80">
        <v>4</v>
      </c>
      <c r="AK397" s="80">
        <v>259</v>
      </c>
      <c r="AL397" s="80">
        <v>12</v>
      </c>
      <c r="AM397" s="80" t="s">
        <v>4098</v>
      </c>
      <c r="AN397" s="96" t="str">
        <f>HYPERLINK("https://www.youtube.com/watch?v=81BdxdPAoO4")</f>
        <v>https://www.youtube.com/watch?v=81BdxdPAoO4</v>
      </c>
      <c r="AO397" s="80" t="e">
        <f>REPLACE(INDEX(GroupVertices[Group],MATCH(Vertices[[#This Row],[Vertex]],GroupVertices[Vertex],0)),1,1,"")</f>
        <v>#N/A</v>
      </c>
      <c r="AP397" s="48"/>
      <c r="AQ397" s="49"/>
      <c r="AR397" s="48"/>
      <c r="AS397" s="49"/>
      <c r="AT397" s="48"/>
      <c r="AU397" s="49"/>
      <c r="AV397" s="48"/>
      <c r="AW397" s="49"/>
      <c r="AX397" s="48"/>
      <c r="AY397" s="48"/>
      <c r="AZ397" s="48"/>
      <c r="BA397" s="48"/>
      <c r="BB397" s="48"/>
      <c r="BC397" s="2"/>
      <c r="BD397" s="3"/>
      <c r="BE397" s="3"/>
      <c r="BF397" s="3"/>
      <c r="BG397" s="3"/>
    </row>
    <row r="398" spans="1:59" ht="15">
      <c r="A398" s="66" t="s">
        <v>476</v>
      </c>
      <c r="B398" s="67" t="s">
        <v>4461</v>
      </c>
      <c r="C398" s="67"/>
      <c r="D398" s="68">
        <v>769.8768930286939</v>
      </c>
      <c r="E398" s="70"/>
      <c r="F398" s="97" t="str">
        <f>HYPERLINK("https://i.ytimg.com/vi/uVX5-N504xQ/default.jpg")</f>
        <v>https://i.ytimg.com/vi/uVX5-N504xQ/default.jpg</v>
      </c>
      <c r="G398" s="120" t="s">
        <v>52</v>
      </c>
      <c r="H398" s="71" t="s">
        <v>1187</v>
      </c>
      <c r="I398" s="72"/>
      <c r="J398" s="72" t="s">
        <v>159</v>
      </c>
      <c r="K398" s="71" t="s">
        <v>1187</v>
      </c>
      <c r="L398" s="75">
        <v>213.72340425531914</v>
      </c>
      <c r="M398" s="76">
        <v>3747.689453125</v>
      </c>
      <c r="N398" s="76">
        <v>2688.04541015625</v>
      </c>
      <c r="O398" s="77"/>
      <c r="P398" s="78"/>
      <c r="Q398" s="78"/>
      <c r="R398" s="82"/>
      <c r="S398" s="48"/>
      <c r="T398" s="48"/>
      <c r="U398" s="49"/>
      <c r="V398" s="49"/>
      <c r="W398" s="49"/>
      <c r="X398" s="49"/>
      <c r="Y398" s="49"/>
      <c r="Z398" s="49"/>
      <c r="AA398" s="73">
        <v>398</v>
      </c>
      <c r="AB398" s="73"/>
      <c r="AC398" s="74"/>
      <c r="AD398" s="80" t="s">
        <v>1187</v>
      </c>
      <c r="AE398" s="80" t="s">
        <v>1874</v>
      </c>
      <c r="AF398" s="80" t="s">
        <v>2488</v>
      </c>
      <c r="AG398" s="80" t="s">
        <v>2958</v>
      </c>
      <c r="AH398" s="80" t="s">
        <v>3599</v>
      </c>
      <c r="AI398" s="80">
        <v>69835</v>
      </c>
      <c r="AJ398" s="80">
        <v>21</v>
      </c>
      <c r="AK398" s="80">
        <v>386</v>
      </c>
      <c r="AL398" s="80">
        <v>12</v>
      </c>
      <c r="AM398" s="80" t="s">
        <v>4098</v>
      </c>
      <c r="AN398" s="96" t="str">
        <f>HYPERLINK("https://www.youtube.com/watch?v=uVX5-N504xQ")</f>
        <v>https://www.youtube.com/watch?v=uVX5-N504xQ</v>
      </c>
      <c r="AO398" s="80" t="e">
        <f>REPLACE(INDEX(GroupVertices[Group],MATCH(Vertices[[#This Row],[Vertex]],GroupVertices[Vertex],0)),1,1,"")</f>
        <v>#N/A</v>
      </c>
      <c r="AP398" s="48"/>
      <c r="AQ398" s="49"/>
      <c r="AR398" s="48"/>
      <c r="AS398" s="49"/>
      <c r="AT398" s="48"/>
      <c r="AU398" s="49"/>
      <c r="AV398" s="48"/>
      <c r="AW398" s="49"/>
      <c r="AX398" s="48"/>
      <c r="AY398" s="48"/>
      <c r="AZ398" s="48"/>
      <c r="BA398" s="48"/>
      <c r="BB398" s="48"/>
      <c r="BC398" s="2"/>
      <c r="BD398" s="3"/>
      <c r="BE398" s="3"/>
      <c r="BF398" s="3"/>
      <c r="BG398" s="3"/>
    </row>
    <row r="399" spans="1:59" ht="15">
      <c r="A399" s="66" t="s">
        <v>519</v>
      </c>
      <c r="B399" s="67" t="s">
        <v>4461</v>
      </c>
      <c r="C399" s="67"/>
      <c r="D399" s="68">
        <v>746.5861679871082</v>
      </c>
      <c r="E399" s="70"/>
      <c r="F399" s="97" t="str">
        <f>HYPERLINK("https://i.ytimg.com/vi/Zf9yBzuVoxQ/default.jpg")</f>
        <v>https://i.ytimg.com/vi/Zf9yBzuVoxQ/default.jpg</v>
      </c>
      <c r="G399" s="120" t="s">
        <v>52</v>
      </c>
      <c r="H399" s="71" t="s">
        <v>1250</v>
      </c>
      <c r="I399" s="72"/>
      <c r="J399" s="72" t="s">
        <v>159</v>
      </c>
      <c r="K399" s="71" t="s">
        <v>1250</v>
      </c>
      <c r="L399" s="75">
        <v>213.72340425531914</v>
      </c>
      <c r="M399" s="76">
        <v>9827.060546875</v>
      </c>
      <c r="N399" s="76">
        <v>8923.5947265625</v>
      </c>
      <c r="O399" s="77"/>
      <c r="P399" s="78"/>
      <c r="Q399" s="78"/>
      <c r="R399" s="82"/>
      <c r="S399" s="48"/>
      <c r="T399" s="48"/>
      <c r="U399" s="49"/>
      <c r="V399" s="49"/>
      <c r="W399" s="49"/>
      <c r="X399" s="49"/>
      <c r="Y399" s="49"/>
      <c r="Z399" s="49"/>
      <c r="AA399" s="73">
        <v>399</v>
      </c>
      <c r="AB399" s="73"/>
      <c r="AC399" s="74"/>
      <c r="AD399" s="80" t="s">
        <v>1250</v>
      </c>
      <c r="AE399" s="80" t="s">
        <v>1931</v>
      </c>
      <c r="AF399" s="80" t="s">
        <v>2538</v>
      </c>
      <c r="AG399" s="80" t="s">
        <v>3087</v>
      </c>
      <c r="AH399" s="80" t="s">
        <v>3662</v>
      </c>
      <c r="AI399" s="80">
        <v>53719</v>
      </c>
      <c r="AJ399" s="80">
        <v>27</v>
      </c>
      <c r="AK399" s="80">
        <v>251</v>
      </c>
      <c r="AL399" s="80">
        <v>12</v>
      </c>
      <c r="AM399" s="80" t="s">
        <v>4098</v>
      </c>
      <c r="AN399" s="96" t="str">
        <f>HYPERLINK("https://www.youtube.com/watch?v=Zf9yBzuVoxQ")</f>
        <v>https://www.youtube.com/watch?v=Zf9yBzuVoxQ</v>
      </c>
      <c r="AO399" s="80" t="e">
        <f>REPLACE(INDEX(GroupVertices[Group],MATCH(Vertices[[#This Row],[Vertex]],GroupVertices[Vertex],0)),1,1,"")</f>
        <v>#N/A</v>
      </c>
      <c r="AP399" s="48"/>
      <c r="AQ399" s="49"/>
      <c r="AR399" s="48"/>
      <c r="AS399" s="49"/>
      <c r="AT399" s="48"/>
      <c r="AU399" s="49"/>
      <c r="AV399" s="48"/>
      <c r="AW399" s="49"/>
      <c r="AX399" s="48"/>
      <c r="AY399" s="48"/>
      <c r="AZ399" s="48"/>
      <c r="BA399" s="48"/>
      <c r="BB399" s="48"/>
      <c r="BC399" s="2"/>
      <c r="BD399" s="3"/>
      <c r="BE399" s="3"/>
      <c r="BF399" s="3"/>
      <c r="BG399" s="3"/>
    </row>
    <row r="400" spans="1:59" ht="15">
      <c r="A400" s="66" t="s">
        <v>937</v>
      </c>
      <c r="B400" s="67" t="s">
        <v>4461</v>
      </c>
      <c r="C400" s="67"/>
      <c r="D400" s="68">
        <v>735.7051492969996</v>
      </c>
      <c r="E400" s="70"/>
      <c r="F400" s="97" t="str">
        <f>HYPERLINK("https://i.ytimg.com/vi/Yn3VV9emiCs/default.jpg")</f>
        <v>https://i.ytimg.com/vi/Yn3VV9emiCs/default.jpg</v>
      </c>
      <c r="G400" s="120" t="s">
        <v>52</v>
      </c>
      <c r="H400" s="71" t="s">
        <v>1675</v>
      </c>
      <c r="I400" s="72"/>
      <c r="J400" s="72" t="s">
        <v>159</v>
      </c>
      <c r="K400" s="71" t="s">
        <v>1675</v>
      </c>
      <c r="L400" s="75">
        <v>213.72340425531914</v>
      </c>
      <c r="M400" s="76">
        <v>2311.047119140625</v>
      </c>
      <c r="N400" s="76">
        <v>3755.472900390625</v>
      </c>
      <c r="O400" s="77"/>
      <c r="P400" s="78"/>
      <c r="Q400" s="78"/>
      <c r="R400" s="82"/>
      <c r="S400" s="48"/>
      <c r="T400" s="48"/>
      <c r="U400" s="49"/>
      <c r="V400" s="49"/>
      <c r="W400" s="49"/>
      <c r="X400" s="49"/>
      <c r="Y400" s="49"/>
      <c r="Z400" s="49"/>
      <c r="AA400" s="73">
        <v>400</v>
      </c>
      <c r="AB400" s="73"/>
      <c r="AC400" s="74"/>
      <c r="AD400" s="80" t="s">
        <v>1675</v>
      </c>
      <c r="AE400" s="80" t="s">
        <v>2309</v>
      </c>
      <c r="AF400" s="80" t="s">
        <v>2889</v>
      </c>
      <c r="AG400" s="80" t="s">
        <v>3176</v>
      </c>
      <c r="AH400" s="80" t="s">
        <v>4091</v>
      </c>
      <c r="AI400" s="80">
        <v>47522</v>
      </c>
      <c r="AJ400" s="80">
        <v>30</v>
      </c>
      <c r="AK400" s="80">
        <v>133</v>
      </c>
      <c r="AL400" s="80">
        <v>12</v>
      </c>
      <c r="AM400" s="80" t="s">
        <v>4098</v>
      </c>
      <c r="AN400" s="96" t="str">
        <f>HYPERLINK("https://www.youtube.com/watch?v=Yn3VV9emiCs")</f>
        <v>https://www.youtube.com/watch?v=Yn3VV9emiCs</v>
      </c>
      <c r="AO400" s="80" t="e">
        <f>REPLACE(INDEX(GroupVertices[Group],MATCH(Vertices[[#This Row],[Vertex]],GroupVertices[Vertex],0)),1,1,"")</f>
        <v>#N/A</v>
      </c>
      <c r="AP400" s="48"/>
      <c r="AQ400" s="49"/>
      <c r="AR400" s="48"/>
      <c r="AS400" s="49"/>
      <c r="AT400" s="48"/>
      <c r="AU400" s="49"/>
      <c r="AV400" s="48"/>
      <c r="AW400" s="49"/>
      <c r="AX400" s="48"/>
      <c r="AY400" s="48"/>
      <c r="AZ400" s="48"/>
      <c r="BA400" s="48"/>
      <c r="BB400" s="48"/>
      <c r="BC400" s="2"/>
      <c r="BD400" s="3"/>
      <c r="BE400" s="3"/>
      <c r="BF400" s="3"/>
      <c r="BG400" s="3"/>
    </row>
    <row r="401" spans="1:59" ht="15">
      <c r="A401" s="66" t="s">
        <v>865</v>
      </c>
      <c r="B401" s="67" t="s">
        <v>4461</v>
      </c>
      <c r="C401" s="67"/>
      <c r="D401" s="68">
        <v>729.2359349017156</v>
      </c>
      <c r="E401" s="70"/>
      <c r="F401" s="97" t="str">
        <f>HYPERLINK("https://i.ytimg.com/vi/CA-InkV0CTM/default.jpg")</f>
        <v>https://i.ytimg.com/vi/CA-InkV0CTM/default.jpg</v>
      </c>
      <c r="G401" s="120" t="s">
        <v>52</v>
      </c>
      <c r="H401" s="71" t="s">
        <v>1604</v>
      </c>
      <c r="I401" s="72"/>
      <c r="J401" s="72" t="s">
        <v>159</v>
      </c>
      <c r="K401" s="71" t="s">
        <v>1604</v>
      </c>
      <c r="L401" s="75">
        <v>213.72340425531914</v>
      </c>
      <c r="M401" s="76">
        <v>994.2907104492188</v>
      </c>
      <c r="N401" s="76">
        <v>5701.98095703125</v>
      </c>
      <c r="O401" s="77"/>
      <c r="P401" s="78"/>
      <c r="Q401" s="78"/>
      <c r="R401" s="82"/>
      <c r="S401" s="48"/>
      <c r="T401" s="48"/>
      <c r="U401" s="49"/>
      <c r="V401" s="49"/>
      <c r="W401" s="49"/>
      <c r="X401" s="49"/>
      <c r="Y401" s="49"/>
      <c r="Z401" s="49"/>
      <c r="AA401" s="73">
        <v>401</v>
      </c>
      <c r="AB401" s="73"/>
      <c r="AC401" s="74"/>
      <c r="AD401" s="80" t="s">
        <v>1604</v>
      </c>
      <c r="AE401" s="80" t="s">
        <v>2245</v>
      </c>
      <c r="AF401" s="80" t="s">
        <v>2827</v>
      </c>
      <c r="AG401" s="80" t="s">
        <v>3324</v>
      </c>
      <c r="AH401" s="80" t="s">
        <v>4019</v>
      </c>
      <c r="AI401" s="80">
        <v>44182</v>
      </c>
      <c r="AJ401" s="80">
        <v>5</v>
      </c>
      <c r="AK401" s="80">
        <v>177</v>
      </c>
      <c r="AL401" s="80">
        <v>12</v>
      </c>
      <c r="AM401" s="80" t="s">
        <v>4098</v>
      </c>
      <c r="AN401" s="96" t="str">
        <f>HYPERLINK("https://www.youtube.com/watch?v=CA-InkV0CTM")</f>
        <v>https://www.youtube.com/watch?v=CA-InkV0CTM</v>
      </c>
      <c r="AO401" s="80" t="e">
        <f>REPLACE(INDEX(GroupVertices[Group],MATCH(Vertices[[#This Row],[Vertex]],GroupVertices[Vertex],0)),1,1,"")</f>
        <v>#N/A</v>
      </c>
      <c r="AP401" s="48"/>
      <c r="AQ401" s="49"/>
      <c r="AR401" s="48"/>
      <c r="AS401" s="49"/>
      <c r="AT401" s="48"/>
      <c r="AU401" s="49"/>
      <c r="AV401" s="48"/>
      <c r="AW401" s="49"/>
      <c r="AX401" s="48"/>
      <c r="AY401" s="48"/>
      <c r="AZ401" s="48"/>
      <c r="BA401" s="48"/>
      <c r="BB401" s="48"/>
      <c r="BC401" s="2"/>
      <c r="BD401" s="3"/>
      <c r="BE401" s="3"/>
      <c r="BF401" s="3"/>
      <c r="BG401" s="3"/>
    </row>
    <row r="402" spans="1:59" ht="15">
      <c r="A402" s="66" t="s">
        <v>767</v>
      </c>
      <c r="B402" s="67" t="s">
        <v>4461</v>
      </c>
      <c r="C402" s="67"/>
      <c r="D402" s="68">
        <v>686.2578828536086</v>
      </c>
      <c r="E402" s="70"/>
      <c r="F402" s="97" t="str">
        <f>HYPERLINK("https://i.ytimg.com/vi/t2QrgeWTXEw/default.jpg")</f>
        <v>https://i.ytimg.com/vi/t2QrgeWTXEw/default.jpg</v>
      </c>
      <c r="G402" s="120" t="s">
        <v>52</v>
      </c>
      <c r="H402" s="71" t="s">
        <v>1507</v>
      </c>
      <c r="I402" s="72"/>
      <c r="J402" s="72" t="s">
        <v>159</v>
      </c>
      <c r="K402" s="71" t="s">
        <v>1507</v>
      </c>
      <c r="L402" s="75">
        <v>213.72340425531914</v>
      </c>
      <c r="M402" s="76">
        <v>3382.057861328125</v>
      </c>
      <c r="N402" s="76">
        <v>8938.537109375</v>
      </c>
      <c r="O402" s="77"/>
      <c r="P402" s="78"/>
      <c r="Q402" s="78"/>
      <c r="R402" s="82"/>
      <c r="S402" s="48"/>
      <c r="T402" s="48"/>
      <c r="U402" s="49"/>
      <c r="V402" s="49"/>
      <c r="W402" s="49"/>
      <c r="X402" s="49"/>
      <c r="Y402" s="49"/>
      <c r="Z402" s="49"/>
      <c r="AA402" s="73">
        <v>402</v>
      </c>
      <c r="AB402" s="73"/>
      <c r="AC402" s="74"/>
      <c r="AD402" s="80" t="s">
        <v>1507</v>
      </c>
      <c r="AE402" s="80" t="s">
        <v>2158</v>
      </c>
      <c r="AF402" s="80" t="s">
        <v>2744</v>
      </c>
      <c r="AG402" s="80" t="s">
        <v>3268</v>
      </c>
      <c r="AH402" s="80" t="s">
        <v>3921</v>
      </c>
      <c r="AI402" s="80">
        <v>27226</v>
      </c>
      <c r="AJ402" s="80">
        <v>0</v>
      </c>
      <c r="AK402" s="80">
        <v>35</v>
      </c>
      <c r="AL402" s="80">
        <v>12</v>
      </c>
      <c r="AM402" s="80" t="s">
        <v>4098</v>
      </c>
      <c r="AN402" s="96" t="str">
        <f>HYPERLINK("https://www.youtube.com/watch?v=t2QrgeWTXEw")</f>
        <v>https://www.youtube.com/watch?v=t2QrgeWTXEw</v>
      </c>
      <c r="AO402" s="80" t="e">
        <f>REPLACE(INDEX(GroupVertices[Group],MATCH(Vertices[[#This Row],[Vertex]],GroupVertices[Vertex],0)),1,1,"")</f>
        <v>#N/A</v>
      </c>
      <c r="AP402" s="48"/>
      <c r="AQ402" s="49"/>
      <c r="AR402" s="48"/>
      <c r="AS402" s="49"/>
      <c r="AT402" s="48"/>
      <c r="AU402" s="49"/>
      <c r="AV402" s="48"/>
      <c r="AW402" s="49"/>
      <c r="AX402" s="48"/>
      <c r="AY402" s="48"/>
      <c r="AZ402" s="48"/>
      <c r="BA402" s="48"/>
      <c r="BB402" s="48"/>
      <c r="BC402" s="2"/>
      <c r="BD402" s="3"/>
      <c r="BE402" s="3"/>
      <c r="BF402" s="3"/>
      <c r="BG402" s="3"/>
    </row>
    <row r="403" spans="1:59" ht="15">
      <c r="A403" s="66" t="s">
        <v>492</v>
      </c>
      <c r="B403" s="67" t="s">
        <v>4461</v>
      </c>
      <c r="C403" s="67"/>
      <c r="D403" s="68">
        <v>686.0816397299001</v>
      </c>
      <c r="E403" s="70"/>
      <c r="F403" s="97" t="str">
        <f>HYPERLINK("https://i.ytimg.com/vi/95p3cVkqYHQ/default.jpg")</f>
        <v>https://i.ytimg.com/vi/95p3cVkqYHQ/default.jpg</v>
      </c>
      <c r="G403" s="120" t="s">
        <v>52</v>
      </c>
      <c r="H403" s="71" t="s">
        <v>1208</v>
      </c>
      <c r="I403" s="72"/>
      <c r="J403" s="72" t="s">
        <v>159</v>
      </c>
      <c r="K403" s="71" t="s">
        <v>1208</v>
      </c>
      <c r="L403" s="75">
        <v>213.72340425531914</v>
      </c>
      <c r="M403" s="76">
        <v>6469.50390625</v>
      </c>
      <c r="N403" s="76">
        <v>1829.0936279296875</v>
      </c>
      <c r="O403" s="77"/>
      <c r="P403" s="78"/>
      <c r="Q403" s="78"/>
      <c r="R403" s="82"/>
      <c r="S403" s="48"/>
      <c r="T403" s="48"/>
      <c r="U403" s="49"/>
      <c r="V403" s="49"/>
      <c r="W403" s="49"/>
      <c r="X403" s="49"/>
      <c r="Y403" s="49"/>
      <c r="Z403" s="49"/>
      <c r="AA403" s="73">
        <v>403</v>
      </c>
      <c r="AB403" s="73"/>
      <c r="AC403" s="74"/>
      <c r="AD403" s="80" t="s">
        <v>1208</v>
      </c>
      <c r="AE403" s="80" t="s">
        <v>1892</v>
      </c>
      <c r="AF403" s="80" t="s">
        <v>2506</v>
      </c>
      <c r="AG403" s="80" t="s">
        <v>3062</v>
      </c>
      <c r="AH403" s="80" t="s">
        <v>3620</v>
      </c>
      <c r="AI403" s="80">
        <v>27172</v>
      </c>
      <c r="AJ403" s="80">
        <v>34</v>
      </c>
      <c r="AK403" s="80">
        <v>261</v>
      </c>
      <c r="AL403" s="80">
        <v>12</v>
      </c>
      <c r="AM403" s="80" t="s">
        <v>4098</v>
      </c>
      <c r="AN403" s="96" t="str">
        <f>HYPERLINK("https://www.youtube.com/watch?v=95p3cVkqYHQ")</f>
        <v>https://www.youtube.com/watch?v=95p3cVkqYHQ</v>
      </c>
      <c r="AO403" s="80" t="e">
        <f>REPLACE(INDEX(GroupVertices[Group],MATCH(Vertices[[#This Row],[Vertex]],GroupVertices[Vertex],0)),1,1,"")</f>
        <v>#N/A</v>
      </c>
      <c r="AP403" s="48"/>
      <c r="AQ403" s="49"/>
      <c r="AR403" s="48"/>
      <c r="AS403" s="49"/>
      <c r="AT403" s="48"/>
      <c r="AU403" s="49"/>
      <c r="AV403" s="48"/>
      <c r="AW403" s="49"/>
      <c r="AX403" s="48"/>
      <c r="AY403" s="48"/>
      <c r="AZ403" s="48"/>
      <c r="BA403" s="48"/>
      <c r="BB403" s="48"/>
      <c r="BC403" s="2"/>
      <c r="BD403" s="3"/>
      <c r="BE403" s="3"/>
      <c r="BF403" s="3"/>
      <c r="BG403" s="3"/>
    </row>
    <row r="404" spans="1:59" ht="15">
      <c r="A404" s="66" t="s">
        <v>540</v>
      </c>
      <c r="B404" s="67" t="s">
        <v>4461</v>
      </c>
      <c r="C404" s="67"/>
      <c r="D404" s="68">
        <v>671.4114241055336</v>
      </c>
      <c r="E404" s="70"/>
      <c r="F404" s="97" t="str">
        <f>HYPERLINK("https://i.ytimg.com/vi/kJ4Gn8-AmNk/default.jpg")</f>
        <v>https://i.ytimg.com/vi/kJ4Gn8-AmNk/default.jpg</v>
      </c>
      <c r="G404" s="120" t="s">
        <v>52</v>
      </c>
      <c r="H404" s="71" t="s">
        <v>1272</v>
      </c>
      <c r="I404" s="72"/>
      <c r="J404" s="72" t="s">
        <v>159</v>
      </c>
      <c r="K404" s="71" t="s">
        <v>1272</v>
      </c>
      <c r="L404" s="75">
        <v>213.72340425531914</v>
      </c>
      <c r="M404" s="76">
        <v>3752.633056640625</v>
      </c>
      <c r="N404" s="76">
        <v>6597.0537109375</v>
      </c>
      <c r="O404" s="77"/>
      <c r="P404" s="78"/>
      <c r="Q404" s="78"/>
      <c r="R404" s="82"/>
      <c r="S404" s="48"/>
      <c r="T404" s="48"/>
      <c r="U404" s="49"/>
      <c r="V404" s="49"/>
      <c r="W404" s="49"/>
      <c r="X404" s="49"/>
      <c r="Y404" s="49"/>
      <c r="Z404" s="49"/>
      <c r="AA404" s="73">
        <v>404</v>
      </c>
      <c r="AB404" s="73"/>
      <c r="AC404" s="74"/>
      <c r="AD404" s="80" t="s">
        <v>1272</v>
      </c>
      <c r="AE404" s="80" t="s">
        <v>1947</v>
      </c>
      <c r="AF404" s="80" t="s">
        <v>2557</v>
      </c>
      <c r="AG404" s="80" t="s">
        <v>3106</v>
      </c>
      <c r="AH404" s="80" t="s">
        <v>3684</v>
      </c>
      <c r="AI404" s="80">
        <v>23033</v>
      </c>
      <c r="AJ404" s="80">
        <v>4</v>
      </c>
      <c r="AK404" s="80">
        <v>33</v>
      </c>
      <c r="AL404" s="80">
        <v>12</v>
      </c>
      <c r="AM404" s="80" t="s">
        <v>4098</v>
      </c>
      <c r="AN404" s="96" t="str">
        <f>HYPERLINK("https://www.youtube.com/watch?v=kJ4Gn8-AmNk")</f>
        <v>https://www.youtube.com/watch?v=kJ4Gn8-AmNk</v>
      </c>
      <c r="AO404" s="80" t="e">
        <f>REPLACE(INDEX(GroupVertices[Group],MATCH(Vertices[[#This Row],[Vertex]],GroupVertices[Vertex],0)),1,1,"")</f>
        <v>#N/A</v>
      </c>
      <c r="AP404" s="48"/>
      <c r="AQ404" s="49"/>
      <c r="AR404" s="48"/>
      <c r="AS404" s="49"/>
      <c r="AT404" s="48"/>
      <c r="AU404" s="49"/>
      <c r="AV404" s="48"/>
      <c r="AW404" s="49"/>
      <c r="AX404" s="48"/>
      <c r="AY404" s="48"/>
      <c r="AZ404" s="48"/>
      <c r="BA404" s="48"/>
      <c r="BB404" s="48"/>
      <c r="BC404" s="2"/>
      <c r="BD404" s="3"/>
      <c r="BE404" s="3"/>
      <c r="BF404" s="3"/>
      <c r="BG404" s="3"/>
    </row>
    <row r="405" spans="1:59" ht="15">
      <c r="A405" s="66" t="s">
        <v>263</v>
      </c>
      <c r="B405" s="67" t="s">
        <v>4461</v>
      </c>
      <c r="C405" s="67"/>
      <c r="D405" s="68">
        <v>639.4506589112916</v>
      </c>
      <c r="E405" s="70"/>
      <c r="F405" s="97" t="str">
        <f>HYPERLINK("https://i.ytimg.com/vi/DwYmCDB8SQU/default.jpg")</f>
        <v>https://i.ytimg.com/vi/DwYmCDB8SQU/default.jpg</v>
      </c>
      <c r="G405" s="120" t="s">
        <v>52</v>
      </c>
      <c r="H405" s="71" t="s">
        <v>958</v>
      </c>
      <c r="I405" s="72"/>
      <c r="J405" s="72" t="s">
        <v>159</v>
      </c>
      <c r="K405" s="71" t="s">
        <v>958</v>
      </c>
      <c r="L405" s="75">
        <v>213.72340425531914</v>
      </c>
      <c r="M405" s="76">
        <v>6409.49169921875</v>
      </c>
      <c r="N405" s="76">
        <v>9186.3349609375</v>
      </c>
      <c r="O405" s="77"/>
      <c r="P405" s="78"/>
      <c r="Q405" s="78"/>
      <c r="R405" s="82"/>
      <c r="S405" s="48"/>
      <c r="T405" s="48"/>
      <c r="U405" s="49"/>
      <c r="V405" s="49"/>
      <c r="W405" s="49"/>
      <c r="X405" s="49"/>
      <c r="Y405" s="49"/>
      <c r="Z405" s="49"/>
      <c r="AA405" s="73">
        <v>405</v>
      </c>
      <c r="AB405" s="73"/>
      <c r="AC405" s="74"/>
      <c r="AD405" s="80" t="s">
        <v>958</v>
      </c>
      <c r="AE405" s="80" t="s">
        <v>1683</v>
      </c>
      <c r="AF405" s="80" t="s">
        <v>2317</v>
      </c>
      <c r="AG405" s="80" t="s">
        <v>2896</v>
      </c>
      <c r="AH405" s="80" t="s">
        <v>3373</v>
      </c>
      <c r="AI405" s="80">
        <v>16069</v>
      </c>
      <c r="AJ405" s="80">
        <v>14</v>
      </c>
      <c r="AK405" s="80">
        <v>127</v>
      </c>
      <c r="AL405" s="80">
        <v>12</v>
      </c>
      <c r="AM405" s="80" t="s">
        <v>4098</v>
      </c>
      <c r="AN405" s="96" t="str">
        <f>HYPERLINK("https://www.youtube.com/watch?v=DwYmCDB8SQU")</f>
        <v>https://www.youtube.com/watch?v=DwYmCDB8SQU</v>
      </c>
      <c r="AO405" s="80" t="e">
        <f>REPLACE(INDEX(GroupVertices[Group],MATCH(Vertices[[#This Row],[Vertex]],GroupVertices[Vertex],0)),1,1,"")</f>
        <v>#N/A</v>
      </c>
      <c r="AP405" s="48"/>
      <c r="AQ405" s="49"/>
      <c r="AR405" s="48"/>
      <c r="AS405" s="49"/>
      <c r="AT405" s="48"/>
      <c r="AU405" s="49"/>
      <c r="AV405" s="48"/>
      <c r="AW405" s="49"/>
      <c r="AX405" s="48"/>
      <c r="AY405" s="48"/>
      <c r="AZ405" s="48"/>
      <c r="BA405" s="48"/>
      <c r="BB405" s="48"/>
      <c r="BC405" s="2"/>
      <c r="BD405" s="3"/>
      <c r="BE405" s="3"/>
      <c r="BF405" s="3"/>
      <c r="BG405" s="3"/>
    </row>
    <row r="406" spans="1:59" ht="15">
      <c r="A406" s="66" t="s">
        <v>437</v>
      </c>
      <c r="B406" s="67" t="s">
        <v>4461</v>
      </c>
      <c r="C406" s="67"/>
      <c r="D406" s="68">
        <v>732.1452950560076</v>
      </c>
      <c r="E406" s="70"/>
      <c r="F406" s="97" t="str">
        <f>HYPERLINK("https://i.ytimg.com/vi/ziCxFIU0yZY/default.jpg")</f>
        <v>https://i.ytimg.com/vi/ziCxFIU0yZY/default.jpg</v>
      </c>
      <c r="G406" s="120" t="s">
        <v>52</v>
      </c>
      <c r="H406" s="71" t="s">
        <v>1145</v>
      </c>
      <c r="I406" s="72"/>
      <c r="J406" s="72" t="s">
        <v>159</v>
      </c>
      <c r="K406" s="71" t="s">
        <v>1145</v>
      </c>
      <c r="L406" s="75">
        <v>213.72340425531914</v>
      </c>
      <c r="M406" s="76">
        <v>9244.4677734375</v>
      </c>
      <c r="N406" s="76">
        <v>5810.74951171875</v>
      </c>
      <c r="O406" s="77"/>
      <c r="P406" s="78"/>
      <c r="Q406" s="78"/>
      <c r="R406" s="82"/>
      <c r="S406" s="48"/>
      <c r="T406" s="48"/>
      <c r="U406" s="49"/>
      <c r="V406" s="49"/>
      <c r="W406" s="49"/>
      <c r="X406" s="49"/>
      <c r="Y406" s="49"/>
      <c r="Z406" s="49"/>
      <c r="AA406" s="73">
        <v>406</v>
      </c>
      <c r="AB406" s="73"/>
      <c r="AC406" s="74"/>
      <c r="AD406" s="80" t="s">
        <v>1145</v>
      </c>
      <c r="AE406" s="80" t="s">
        <v>1837</v>
      </c>
      <c r="AF406" s="80"/>
      <c r="AG406" s="80" t="s">
        <v>3024</v>
      </c>
      <c r="AH406" s="80" t="s">
        <v>3558</v>
      </c>
      <c r="AI406" s="80">
        <v>45654</v>
      </c>
      <c r="AJ406" s="80">
        <v>34</v>
      </c>
      <c r="AK406" s="80">
        <v>311</v>
      </c>
      <c r="AL406" s="80">
        <v>11</v>
      </c>
      <c r="AM406" s="80" t="s">
        <v>4098</v>
      </c>
      <c r="AN406" s="96" t="str">
        <f>HYPERLINK("https://www.youtube.com/watch?v=ziCxFIU0yZY")</f>
        <v>https://www.youtube.com/watch?v=ziCxFIU0yZY</v>
      </c>
      <c r="AO406" s="80" t="e">
        <f>REPLACE(INDEX(GroupVertices[Group],MATCH(Vertices[[#This Row],[Vertex]],GroupVertices[Vertex],0)),1,1,"")</f>
        <v>#N/A</v>
      </c>
      <c r="AP406" s="48"/>
      <c r="AQ406" s="49"/>
      <c r="AR406" s="48"/>
      <c r="AS406" s="49"/>
      <c r="AT406" s="48"/>
      <c r="AU406" s="49"/>
      <c r="AV406" s="48"/>
      <c r="AW406" s="49"/>
      <c r="AX406" s="48"/>
      <c r="AY406" s="48"/>
      <c r="AZ406" s="48"/>
      <c r="BA406" s="48"/>
      <c r="BB406" s="48"/>
      <c r="BC406" s="2"/>
      <c r="BD406" s="3"/>
      <c r="BE406" s="3"/>
      <c r="BF406" s="3"/>
      <c r="BG406" s="3"/>
    </row>
    <row r="407" spans="1:59" ht="15">
      <c r="A407" s="66" t="s">
        <v>436</v>
      </c>
      <c r="B407" s="67" t="s">
        <v>4461</v>
      </c>
      <c r="C407" s="67"/>
      <c r="D407" s="68">
        <v>729.012631704001</v>
      </c>
      <c r="E407" s="70"/>
      <c r="F407" s="97" t="str">
        <f>HYPERLINK("https://i.ytimg.com/vi/uGxfFiCL0ag/default.jpg")</f>
        <v>https://i.ytimg.com/vi/uGxfFiCL0ag/default.jpg</v>
      </c>
      <c r="G407" s="120" t="s">
        <v>52</v>
      </c>
      <c r="H407" s="71" t="s">
        <v>1144</v>
      </c>
      <c r="I407" s="72"/>
      <c r="J407" s="72" t="s">
        <v>159</v>
      </c>
      <c r="K407" s="71" t="s">
        <v>1144</v>
      </c>
      <c r="L407" s="75">
        <v>213.72340425531914</v>
      </c>
      <c r="M407" s="76">
        <v>8444.9345703125</v>
      </c>
      <c r="N407" s="76">
        <v>3893.06103515625</v>
      </c>
      <c r="O407" s="77"/>
      <c r="P407" s="78"/>
      <c r="Q407" s="78"/>
      <c r="R407" s="82"/>
      <c r="S407" s="48"/>
      <c r="T407" s="48"/>
      <c r="U407" s="49"/>
      <c r="V407" s="49"/>
      <c r="W407" s="49"/>
      <c r="X407" s="49"/>
      <c r="Y407" s="49"/>
      <c r="Z407" s="49"/>
      <c r="AA407" s="73">
        <v>407</v>
      </c>
      <c r="AB407" s="73"/>
      <c r="AC407" s="74"/>
      <c r="AD407" s="80" t="s">
        <v>1144</v>
      </c>
      <c r="AE407" s="80" t="s">
        <v>1836</v>
      </c>
      <c r="AF407" s="80" t="s">
        <v>2459</v>
      </c>
      <c r="AG407" s="80" t="s">
        <v>3023</v>
      </c>
      <c r="AH407" s="80" t="s">
        <v>3557</v>
      </c>
      <c r="AI407" s="80">
        <v>44071</v>
      </c>
      <c r="AJ407" s="80">
        <v>12</v>
      </c>
      <c r="AK407" s="80">
        <v>31</v>
      </c>
      <c r="AL407" s="80">
        <v>11</v>
      </c>
      <c r="AM407" s="80" t="s">
        <v>4098</v>
      </c>
      <c r="AN407" s="96" t="str">
        <f>HYPERLINK("https://www.youtube.com/watch?v=uGxfFiCL0ag")</f>
        <v>https://www.youtube.com/watch?v=uGxfFiCL0ag</v>
      </c>
      <c r="AO407" s="80" t="e">
        <f>REPLACE(INDEX(GroupVertices[Group],MATCH(Vertices[[#This Row],[Vertex]],GroupVertices[Vertex],0)),1,1,"")</f>
        <v>#N/A</v>
      </c>
      <c r="AP407" s="48"/>
      <c r="AQ407" s="49"/>
      <c r="AR407" s="48"/>
      <c r="AS407" s="49"/>
      <c r="AT407" s="48"/>
      <c r="AU407" s="49"/>
      <c r="AV407" s="48"/>
      <c r="AW407" s="49"/>
      <c r="AX407" s="48"/>
      <c r="AY407" s="48"/>
      <c r="AZ407" s="48"/>
      <c r="BA407" s="48"/>
      <c r="BB407" s="48"/>
      <c r="BC407" s="2"/>
      <c r="BD407" s="3"/>
      <c r="BE407" s="3"/>
      <c r="BF407" s="3"/>
      <c r="BG407" s="3"/>
    </row>
    <row r="408" spans="1:59" ht="15">
      <c r="A408" s="66" t="s">
        <v>295</v>
      </c>
      <c r="B408" s="67" t="s">
        <v>4461</v>
      </c>
      <c r="C408" s="67"/>
      <c r="D408" s="68">
        <v>708.6234570181265</v>
      </c>
      <c r="E408" s="70"/>
      <c r="F408" s="97" t="str">
        <f>HYPERLINK("https://i.ytimg.com/vi/k1kLCB7AZbM/default.jpg")</f>
        <v>https://i.ytimg.com/vi/k1kLCB7AZbM/default.jpg</v>
      </c>
      <c r="G408" s="120" t="s">
        <v>52</v>
      </c>
      <c r="H408" s="71" t="s">
        <v>993</v>
      </c>
      <c r="I408" s="72"/>
      <c r="J408" s="72" t="s">
        <v>159</v>
      </c>
      <c r="K408" s="71" t="s">
        <v>993</v>
      </c>
      <c r="L408" s="75">
        <v>213.72340425531914</v>
      </c>
      <c r="M408" s="76">
        <v>2919.028564453125</v>
      </c>
      <c r="N408" s="76">
        <v>7291.64599609375</v>
      </c>
      <c r="O408" s="77"/>
      <c r="P408" s="78"/>
      <c r="Q408" s="78"/>
      <c r="R408" s="82"/>
      <c r="S408" s="48"/>
      <c r="T408" s="48"/>
      <c r="U408" s="49"/>
      <c r="V408" s="49"/>
      <c r="W408" s="49"/>
      <c r="X408" s="49"/>
      <c r="Y408" s="49"/>
      <c r="Z408" s="49"/>
      <c r="AA408" s="73">
        <v>408</v>
      </c>
      <c r="AB408" s="73"/>
      <c r="AC408" s="74"/>
      <c r="AD408" s="80" t="s">
        <v>993</v>
      </c>
      <c r="AE408" s="80" t="s">
        <v>1716</v>
      </c>
      <c r="AF408" s="80" t="s">
        <v>2348</v>
      </c>
      <c r="AG408" s="80" t="s">
        <v>2923</v>
      </c>
      <c r="AH408" s="80" t="s">
        <v>3408</v>
      </c>
      <c r="AI408" s="80">
        <v>35027</v>
      </c>
      <c r="AJ408" s="80">
        <v>18</v>
      </c>
      <c r="AK408" s="80">
        <v>630</v>
      </c>
      <c r="AL408" s="80">
        <v>11</v>
      </c>
      <c r="AM408" s="80" t="s">
        <v>4098</v>
      </c>
      <c r="AN408" s="96" t="str">
        <f>HYPERLINK("https://www.youtube.com/watch?v=k1kLCB7AZbM")</f>
        <v>https://www.youtube.com/watch?v=k1kLCB7AZbM</v>
      </c>
      <c r="AO408" s="80" t="e">
        <f>REPLACE(INDEX(GroupVertices[Group],MATCH(Vertices[[#This Row],[Vertex]],GroupVertices[Vertex],0)),1,1,"")</f>
        <v>#N/A</v>
      </c>
      <c r="AP408" s="48"/>
      <c r="AQ408" s="49"/>
      <c r="AR408" s="48"/>
      <c r="AS408" s="49"/>
      <c r="AT408" s="48"/>
      <c r="AU408" s="49"/>
      <c r="AV408" s="48"/>
      <c r="AW408" s="49"/>
      <c r="AX408" s="48"/>
      <c r="AY408" s="48"/>
      <c r="AZ408" s="48"/>
      <c r="BA408" s="48"/>
      <c r="BB408" s="48"/>
      <c r="BC408" s="2"/>
      <c r="BD408" s="3"/>
      <c r="BE408" s="3"/>
      <c r="BF408" s="3"/>
      <c r="BG408" s="3"/>
    </row>
    <row r="409" spans="1:59" ht="15">
      <c r="A409" s="66" t="s">
        <v>687</v>
      </c>
      <c r="B409" s="67" t="s">
        <v>4461</v>
      </c>
      <c r="C409" s="67"/>
      <c r="D409" s="68">
        <v>704.3134637006456</v>
      </c>
      <c r="E409" s="70"/>
      <c r="F409" s="97" t="str">
        <f>HYPERLINK("https://i.ytimg.com/vi/XjfMN4VpXjs/default.jpg")</f>
        <v>https://i.ytimg.com/vi/XjfMN4VpXjs/default.jpg</v>
      </c>
      <c r="G409" s="120" t="s">
        <v>52</v>
      </c>
      <c r="H409" s="71" t="s">
        <v>1428</v>
      </c>
      <c r="I409" s="72"/>
      <c r="J409" s="72" t="s">
        <v>159</v>
      </c>
      <c r="K409" s="71" t="s">
        <v>1428</v>
      </c>
      <c r="L409" s="75">
        <v>213.72340425531914</v>
      </c>
      <c r="M409" s="76">
        <v>9726.158203125</v>
      </c>
      <c r="N409" s="76">
        <v>3019.7470703125</v>
      </c>
      <c r="O409" s="77"/>
      <c r="P409" s="78"/>
      <c r="Q409" s="78"/>
      <c r="R409" s="82"/>
      <c r="S409" s="48"/>
      <c r="T409" s="48"/>
      <c r="U409" s="49"/>
      <c r="V409" s="49"/>
      <c r="W409" s="49"/>
      <c r="X409" s="49"/>
      <c r="Y409" s="49"/>
      <c r="Z409" s="49"/>
      <c r="AA409" s="73">
        <v>409</v>
      </c>
      <c r="AB409" s="73"/>
      <c r="AC409" s="74"/>
      <c r="AD409" s="80" t="s">
        <v>1428</v>
      </c>
      <c r="AE409" s="80" t="s">
        <v>2086</v>
      </c>
      <c r="AF409" s="80" t="s">
        <v>2677</v>
      </c>
      <c r="AG409" s="80" t="s">
        <v>3207</v>
      </c>
      <c r="AH409" s="80" t="s">
        <v>3840</v>
      </c>
      <c r="AI409" s="80">
        <v>33367</v>
      </c>
      <c r="AJ409" s="80">
        <v>64</v>
      </c>
      <c r="AK409" s="80">
        <v>419</v>
      </c>
      <c r="AL409" s="80">
        <v>11</v>
      </c>
      <c r="AM409" s="80" t="s">
        <v>4098</v>
      </c>
      <c r="AN409" s="96" t="str">
        <f>HYPERLINK("https://www.youtube.com/watch?v=XjfMN4VpXjs")</f>
        <v>https://www.youtube.com/watch?v=XjfMN4VpXjs</v>
      </c>
      <c r="AO409" s="80" t="e">
        <f>REPLACE(INDEX(GroupVertices[Group],MATCH(Vertices[[#This Row],[Vertex]],GroupVertices[Vertex],0)),1,1,"")</f>
        <v>#N/A</v>
      </c>
      <c r="AP409" s="48"/>
      <c r="AQ409" s="49"/>
      <c r="AR409" s="48"/>
      <c r="AS409" s="49"/>
      <c r="AT409" s="48"/>
      <c r="AU409" s="49"/>
      <c r="AV409" s="48"/>
      <c r="AW409" s="49"/>
      <c r="AX409" s="48"/>
      <c r="AY409" s="48"/>
      <c r="AZ409" s="48"/>
      <c r="BA409" s="48"/>
      <c r="BB409" s="48"/>
      <c r="BC409" s="2"/>
      <c r="BD409" s="3"/>
      <c r="BE409" s="3"/>
      <c r="BF409" s="3"/>
      <c r="BG409" s="3"/>
    </row>
    <row r="410" spans="1:59" ht="15">
      <c r="A410" s="66" t="s">
        <v>651</v>
      </c>
      <c r="B410" s="67" t="s">
        <v>4461</v>
      </c>
      <c r="C410" s="67"/>
      <c r="D410" s="68">
        <v>690.9290307332228</v>
      </c>
      <c r="E410" s="70"/>
      <c r="F410" s="97" t="str">
        <f>HYPERLINK("https://i.ytimg.com/vi/aO601yUYcSI/default.jpg")</f>
        <v>https://i.ytimg.com/vi/aO601yUYcSI/default.jpg</v>
      </c>
      <c r="G410" s="120" t="s">
        <v>52</v>
      </c>
      <c r="H410" s="71" t="s">
        <v>1391</v>
      </c>
      <c r="I410" s="72"/>
      <c r="J410" s="72" t="s">
        <v>159</v>
      </c>
      <c r="K410" s="71" t="s">
        <v>1391</v>
      </c>
      <c r="L410" s="75">
        <v>213.72340425531914</v>
      </c>
      <c r="M410" s="76">
        <v>2881.302978515625</v>
      </c>
      <c r="N410" s="76">
        <v>2542.042724609375</v>
      </c>
      <c r="O410" s="77"/>
      <c r="P410" s="78"/>
      <c r="Q410" s="78"/>
      <c r="R410" s="82"/>
      <c r="S410" s="48"/>
      <c r="T410" s="48"/>
      <c r="U410" s="49"/>
      <c r="V410" s="49"/>
      <c r="W410" s="49"/>
      <c r="X410" s="49"/>
      <c r="Y410" s="49"/>
      <c r="Z410" s="49"/>
      <c r="AA410" s="73">
        <v>410</v>
      </c>
      <c r="AB410" s="73"/>
      <c r="AC410" s="74"/>
      <c r="AD410" s="80" t="s">
        <v>1391</v>
      </c>
      <c r="AE410" s="80"/>
      <c r="AF410" s="80" t="s">
        <v>2649</v>
      </c>
      <c r="AG410" s="80" t="s">
        <v>3185</v>
      </c>
      <c r="AH410" s="80" t="s">
        <v>3803</v>
      </c>
      <c r="AI410" s="80">
        <v>28697</v>
      </c>
      <c r="AJ410" s="80">
        <v>9</v>
      </c>
      <c r="AK410" s="80">
        <v>44</v>
      </c>
      <c r="AL410" s="80">
        <v>11</v>
      </c>
      <c r="AM410" s="80" t="s">
        <v>4098</v>
      </c>
      <c r="AN410" s="96" t="str">
        <f>HYPERLINK("https://www.youtube.com/watch?v=aO601yUYcSI")</f>
        <v>https://www.youtube.com/watch?v=aO601yUYcSI</v>
      </c>
      <c r="AO410" s="80" t="e">
        <f>REPLACE(INDEX(GroupVertices[Group],MATCH(Vertices[[#This Row],[Vertex]],GroupVertices[Vertex],0)),1,1,"")</f>
        <v>#N/A</v>
      </c>
      <c r="AP410" s="48"/>
      <c r="AQ410" s="49"/>
      <c r="AR410" s="48"/>
      <c r="AS410" s="49"/>
      <c r="AT410" s="48"/>
      <c r="AU410" s="49"/>
      <c r="AV410" s="48"/>
      <c r="AW410" s="49"/>
      <c r="AX410" s="48"/>
      <c r="AY410" s="48"/>
      <c r="AZ410" s="48"/>
      <c r="BA410" s="48"/>
      <c r="BB410" s="48"/>
      <c r="BC410" s="2"/>
      <c r="BD410" s="3"/>
      <c r="BE410" s="3"/>
      <c r="BF410" s="3"/>
      <c r="BG410" s="3"/>
    </row>
    <row r="411" spans="1:59" ht="15">
      <c r="A411" s="66" t="s">
        <v>936</v>
      </c>
      <c r="B411" s="67" t="s">
        <v>4461</v>
      </c>
      <c r="C411" s="67"/>
      <c r="D411" s="68">
        <v>677.4344429357141</v>
      </c>
      <c r="E411" s="70"/>
      <c r="F411" s="97" t="str">
        <f>HYPERLINK("https://i.ytimg.com/vi/6b0t2cT7Vmc/default.jpg")</f>
        <v>https://i.ytimg.com/vi/6b0t2cT7Vmc/default.jpg</v>
      </c>
      <c r="G411" s="120" t="s">
        <v>52</v>
      </c>
      <c r="H411" s="71" t="s">
        <v>1674</v>
      </c>
      <c r="I411" s="72"/>
      <c r="J411" s="72" t="s">
        <v>159</v>
      </c>
      <c r="K411" s="71" t="s">
        <v>1674</v>
      </c>
      <c r="L411" s="75">
        <v>213.72340425531914</v>
      </c>
      <c r="M411" s="76">
        <v>2128.70263671875</v>
      </c>
      <c r="N411" s="76">
        <v>4195.74755859375</v>
      </c>
      <c r="O411" s="77"/>
      <c r="P411" s="78"/>
      <c r="Q411" s="78"/>
      <c r="R411" s="82"/>
      <c r="S411" s="48"/>
      <c r="T411" s="48"/>
      <c r="U411" s="49"/>
      <c r="V411" s="49"/>
      <c r="W411" s="49"/>
      <c r="X411" s="49"/>
      <c r="Y411" s="49"/>
      <c r="Z411" s="49"/>
      <c r="AA411" s="73">
        <v>411</v>
      </c>
      <c r="AB411" s="73"/>
      <c r="AC411" s="74"/>
      <c r="AD411" s="80" t="s">
        <v>1674</v>
      </c>
      <c r="AE411" s="80" t="s">
        <v>2308</v>
      </c>
      <c r="AF411" s="80" t="s">
        <v>2888</v>
      </c>
      <c r="AG411" s="80" t="s">
        <v>3368</v>
      </c>
      <c r="AH411" s="80" t="s">
        <v>4090</v>
      </c>
      <c r="AI411" s="80">
        <v>24650</v>
      </c>
      <c r="AJ411" s="80">
        <v>9</v>
      </c>
      <c r="AK411" s="80">
        <v>137</v>
      </c>
      <c r="AL411" s="80">
        <v>11</v>
      </c>
      <c r="AM411" s="80" t="s">
        <v>4098</v>
      </c>
      <c r="AN411" s="96" t="str">
        <f>HYPERLINK("https://www.youtube.com/watch?v=6b0t2cT7Vmc")</f>
        <v>https://www.youtube.com/watch?v=6b0t2cT7Vmc</v>
      </c>
      <c r="AO411" s="80" t="e">
        <f>REPLACE(INDEX(GroupVertices[Group],MATCH(Vertices[[#This Row],[Vertex]],GroupVertices[Vertex],0)),1,1,"")</f>
        <v>#N/A</v>
      </c>
      <c r="AP411" s="48"/>
      <c r="AQ411" s="49"/>
      <c r="AR411" s="48"/>
      <c r="AS411" s="49"/>
      <c r="AT411" s="48"/>
      <c r="AU411" s="49"/>
      <c r="AV411" s="48"/>
      <c r="AW411" s="49"/>
      <c r="AX411" s="48"/>
      <c r="AY411" s="48"/>
      <c r="AZ411" s="48"/>
      <c r="BA411" s="48"/>
      <c r="BB411" s="48"/>
      <c r="BC411" s="2"/>
      <c r="BD411" s="3"/>
      <c r="BE411" s="3"/>
      <c r="BF411" s="3"/>
      <c r="BG411" s="3"/>
    </row>
    <row r="412" spans="1:59" ht="15">
      <c r="A412" s="66" t="s">
        <v>296</v>
      </c>
      <c r="B412" s="67" t="s">
        <v>4461</v>
      </c>
      <c r="C412" s="67"/>
      <c r="D412" s="68">
        <v>671.9455312011518</v>
      </c>
      <c r="E412" s="70"/>
      <c r="F412" s="97" t="str">
        <f>HYPERLINK("https://i.ytimg.com/vi/ZmxEt_OgVpg/default.jpg")</f>
        <v>https://i.ytimg.com/vi/ZmxEt_OgVpg/default.jpg</v>
      </c>
      <c r="G412" s="120" t="s">
        <v>52</v>
      </c>
      <c r="H412" s="71" t="s">
        <v>994</v>
      </c>
      <c r="I412" s="72"/>
      <c r="J412" s="72" t="s">
        <v>159</v>
      </c>
      <c r="K412" s="71" t="s">
        <v>994</v>
      </c>
      <c r="L412" s="75">
        <v>213.72340425531914</v>
      </c>
      <c r="M412" s="76">
        <v>2898.7734375</v>
      </c>
      <c r="N412" s="76">
        <v>6982.083984375</v>
      </c>
      <c r="O412" s="77"/>
      <c r="P412" s="78"/>
      <c r="Q412" s="78"/>
      <c r="R412" s="82"/>
      <c r="S412" s="48"/>
      <c r="T412" s="48"/>
      <c r="U412" s="49"/>
      <c r="V412" s="49"/>
      <c r="W412" s="49"/>
      <c r="X412" s="49"/>
      <c r="Y412" s="49"/>
      <c r="Z412" s="49"/>
      <c r="AA412" s="73">
        <v>412</v>
      </c>
      <c r="AB412" s="73"/>
      <c r="AC412" s="74"/>
      <c r="AD412" s="80" t="s">
        <v>994</v>
      </c>
      <c r="AE412" s="80" t="s">
        <v>1717</v>
      </c>
      <c r="AF412" s="80" t="s">
        <v>2349</v>
      </c>
      <c r="AG412" s="80" t="s">
        <v>2924</v>
      </c>
      <c r="AH412" s="80" t="s">
        <v>3409</v>
      </c>
      <c r="AI412" s="80">
        <v>23172</v>
      </c>
      <c r="AJ412" s="80">
        <v>14</v>
      </c>
      <c r="AK412" s="80">
        <v>43</v>
      </c>
      <c r="AL412" s="80">
        <v>11</v>
      </c>
      <c r="AM412" s="80" t="s">
        <v>4098</v>
      </c>
      <c r="AN412" s="96" t="str">
        <f>HYPERLINK("https://www.youtube.com/watch?v=ZmxEt_OgVpg")</f>
        <v>https://www.youtube.com/watch?v=ZmxEt_OgVpg</v>
      </c>
      <c r="AO412" s="80" t="e">
        <f>REPLACE(INDEX(GroupVertices[Group],MATCH(Vertices[[#This Row],[Vertex]],GroupVertices[Vertex],0)),1,1,"")</f>
        <v>#N/A</v>
      </c>
      <c r="AP412" s="48"/>
      <c r="AQ412" s="49"/>
      <c r="AR412" s="48"/>
      <c r="AS412" s="49"/>
      <c r="AT412" s="48"/>
      <c r="AU412" s="49"/>
      <c r="AV412" s="48"/>
      <c r="AW412" s="49"/>
      <c r="AX412" s="48"/>
      <c r="AY412" s="48"/>
      <c r="AZ412" s="48"/>
      <c r="BA412" s="48"/>
      <c r="BB412" s="48"/>
      <c r="BC412" s="2"/>
      <c r="BD412" s="3"/>
      <c r="BE412" s="3"/>
      <c r="BF412" s="3"/>
      <c r="BG412" s="3"/>
    </row>
    <row r="413" spans="1:59" ht="15">
      <c r="A413" s="66" t="s">
        <v>332</v>
      </c>
      <c r="B413" s="67" t="s">
        <v>4461</v>
      </c>
      <c r="C413" s="67"/>
      <c r="D413" s="68">
        <v>642.7847410138347</v>
      </c>
      <c r="E413" s="70"/>
      <c r="F413" s="97" t="str">
        <f>HYPERLINK("https://i.ytimg.com/vi/l_xvLNE-IIA/default.jpg")</f>
        <v>https://i.ytimg.com/vi/l_xvLNE-IIA/default.jpg</v>
      </c>
      <c r="G413" s="120" t="s">
        <v>52</v>
      </c>
      <c r="H413" s="71" t="s">
        <v>1034</v>
      </c>
      <c r="I413" s="72"/>
      <c r="J413" s="72" t="s">
        <v>159</v>
      </c>
      <c r="K413" s="71" t="s">
        <v>1034</v>
      </c>
      <c r="L413" s="75">
        <v>213.72340425531914</v>
      </c>
      <c r="M413" s="76">
        <v>7644.2216796875</v>
      </c>
      <c r="N413" s="76">
        <v>3683.87646484375</v>
      </c>
      <c r="O413" s="77"/>
      <c r="P413" s="78"/>
      <c r="Q413" s="78"/>
      <c r="R413" s="82"/>
      <c r="S413" s="48"/>
      <c r="T413" s="48"/>
      <c r="U413" s="49"/>
      <c r="V413" s="49"/>
      <c r="W413" s="49"/>
      <c r="X413" s="49"/>
      <c r="Y413" s="49"/>
      <c r="Z413" s="49"/>
      <c r="AA413" s="73">
        <v>413</v>
      </c>
      <c r="AB413" s="73"/>
      <c r="AC413" s="74"/>
      <c r="AD413" s="80" t="s">
        <v>1034</v>
      </c>
      <c r="AE413" s="80" t="s">
        <v>1747</v>
      </c>
      <c r="AF413" s="80" t="s">
        <v>2377</v>
      </c>
      <c r="AG413" s="80" t="s">
        <v>2962</v>
      </c>
      <c r="AH413" s="80" t="s">
        <v>3449</v>
      </c>
      <c r="AI413" s="80">
        <v>16684</v>
      </c>
      <c r="AJ413" s="80">
        <v>20</v>
      </c>
      <c r="AK413" s="80">
        <v>98</v>
      </c>
      <c r="AL413" s="80">
        <v>11</v>
      </c>
      <c r="AM413" s="80" t="s">
        <v>4098</v>
      </c>
      <c r="AN413" s="96" t="str">
        <f>HYPERLINK("https://www.youtube.com/watch?v=l_xvLNE-IIA")</f>
        <v>https://www.youtube.com/watch?v=l_xvLNE-IIA</v>
      </c>
      <c r="AO413" s="80" t="e">
        <f>REPLACE(INDEX(GroupVertices[Group],MATCH(Vertices[[#This Row],[Vertex]],GroupVertices[Vertex],0)),1,1,"")</f>
        <v>#N/A</v>
      </c>
      <c r="AP413" s="48"/>
      <c r="AQ413" s="49"/>
      <c r="AR413" s="48"/>
      <c r="AS413" s="49"/>
      <c r="AT413" s="48"/>
      <c r="AU413" s="49"/>
      <c r="AV413" s="48"/>
      <c r="AW413" s="49"/>
      <c r="AX413" s="48"/>
      <c r="AY413" s="48"/>
      <c r="AZ413" s="48"/>
      <c r="BA413" s="48"/>
      <c r="BB413" s="48"/>
      <c r="BC413" s="2"/>
      <c r="BD413" s="3"/>
      <c r="BE413" s="3"/>
      <c r="BF413" s="3"/>
      <c r="BG413" s="3"/>
    </row>
    <row r="414" spans="1:59" ht="15">
      <c r="A414" s="66" t="s">
        <v>689</v>
      </c>
      <c r="B414" s="67" t="s">
        <v>4461</v>
      </c>
      <c r="C414" s="67"/>
      <c r="D414" s="68">
        <v>626.8591427390746</v>
      </c>
      <c r="E414" s="70"/>
      <c r="F414" s="97" t="str">
        <f>HYPERLINK("https://i.ytimg.com/vi/cWS_0EDuVVQ/default.jpg")</f>
        <v>https://i.ytimg.com/vi/cWS_0EDuVVQ/default.jpg</v>
      </c>
      <c r="G414" s="120" t="s">
        <v>52</v>
      </c>
      <c r="H414" s="71" t="s">
        <v>1430</v>
      </c>
      <c r="I414" s="72"/>
      <c r="J414" s="72" t="s">
        <v>159</v>
      </c>
      <c r="K414" s="71" t="s">
        <v>1430</v>
      </c>
      <c r="L414" s="75">
        <v>213.72340425531914</v>
      </c>
      <c r="M414" s="76">
        <v>8692.8984375</v>
      </c>
      <c r="N414" s="76">
        <v>3080.731201171875</v>
      </c>
      <c r="O414" s="77"/>
      <c r="P414" s="78"/>
      <c r="Q414" s="78"/>
      <c r="R414" s="82"/>
      <c r="S414" s="48"/>
      <c r="T414" s="48"/>
      <c r="U414" s="49"/>
      <c r="V414" s="49"/>
      <c r="W414" s="49"/>
      <c r="X414" s="49"/>
      <c r="Y414" s="49"/>
      <c r="Z414" s="49"/>
      <c r="AA414" s="73">
        <v>414</v>
      </c>
      <c r="AB414" s="73"/>
      <c r="AC414" s="74"/>
      <c r="AD414" s="80" t="s">
        <v>1430</v>
      </c>
      <c r="AE414" s="80" t="s">
        <v>2088</v>
      </c>
      <c r="AF414" s="80" t="s">
        <v>2679</v>
      </c>
      <c r="AG414" s="80" t="s">
        <v>3215</v>
      </c>
      <c r="AH414" s="80" t="s">
        <v>3842</v>
      </c>
      <c r="AI414" s="80">
        <v>13944</v>
      </c>
      <c r="AJ414" s="80">
        <v>17</v>
      </c>
      <c r="AK414" s="80">
        <v>63</v>
      </c>
      <c r="AL414" s="80">
        <v>11</v>
      </c>
      <c r="AM414" s="80" t="s">
        <v>4098</v>
      </c>
      <c r="AN414" s="96" t="str">
        <f>HYPERLINK("https://www.youtube.com/watch?v=cWS_0EDuVVQ")</f>
        <v>https://www.youtube.com/watch?v=cWS_0EDuVVQ</v>
      </c>
      <c r="AO414" s="80" t="e">
        <f>REPLACE(INDEX(GroupVertices[Group],MATCH(Vertices[[#This Row],[Vertex]],GroupVertices[Vertex],0)),1,1,"")</f>
        <v>#N/A</v>
      </c>
      <c r="AP414" s="48"/>
      <c r="AQ414" s="49"/>
      <c r="AR414" s="48"/>
      <c r="AS414" s="49"/>
      <c r="AT414" s="48"/>
      <c r="AU414" s="49"/>
      <c r="AV414" s="48"/>
      <c r="AW414" s="49"/>
      <c r="AX414" s="48"/>
      <c r="AY414" s="48"/>
      <c r="AZ414" s="48"/>
      <c r="BA414" s="48"/>
      <c r="BB414" s="48"/>
      <c r="BC414" s="2"/>
      <c r="BD414" s="3"/>
      <c r="BE414" s="3"/>
      <c r="BF414" s="3"/>
      <c r="BG414" s="3"/>
    </row>
    <row r="415" spans="1:59" ht="15">
      <c r="A415" s="66" t="s">
        <v>680</v>
      </c>
      <c r="B415" s="67" t="s">
        <v>4461</v>
      </c>
      <c r="C415" s="67"/>
      <c r="D415" s="68">
        <v>622.0252266341702</v>
      </c>
      <c r="E415" s="70"/>
      <c r="F415" s="97" t="str">
        <f>HYPERLINK("https://i.ytimg.com/vi/b0884Xak6So/default.jpg")</f>
        <v>https://i.ytimg.com/vi/b0884Xak6So/default.jpg</v>
      </c>
      <c r="G415" s="120" t="s">
        <v>52</v>
      </c>
      <c r="H415" s="71" t="s">
        <v>1421</v>
      </c>
      <c r="I415" s="72"/>
      <c r="J415" s="72" t="s">
        <v>159</v>
      </c>
      <c r="K415" s="71" t="s">
        <v>1421</v>
      </c>
      <c r="L415" s="75">
        <v>213.72340425531914</v>
      </c>
      <c r="M415" s="76">
        <v>8508.2177734375</v>
      </c>
      <c r="N415" s="76">
        <v>3423.04150390625</v>
      </c>
      <c r="O415" s="77"/>
      <c r="P415" s="78"/>
      <c r="Q415" s="78"/>
      <c r="R415" s="82"/>
      <c r="S415" s="48"/>
      <c r="T415" s="48"/>
      <c r="U415" s="49"/>
      <c r="V415" s="49"/>
      <c r="W415" s="49"/>
      <c r="X415" s="49"/>
      <c r="Y415" s="49"/>
      <c r="Z415" s="49"/>
      <c r="AA415" s="73">
        <v>415</v>
      </c>
      <c r="AB415" s="73"/>
      <c r="AC415" s="74"/>
      <c r="AD415" s="80" t="s">
        <v>1421</v>
      </c>
      <c r="AE415" s="80" t="s">
        <v>2080</v>
      </c>
      <c r="AF415" s="80" t="s">
        <v>2670</v>
      </c>
      <c r="AG415" s="80" t="s">
        <v>3208</v>
      </c>
      <c r="AH415" s="80" t="s">
        <v>3833</v>
      </c>
      <c r="AI415" s="80">
        <v>13205</v>
      </c>
      <c r="AJ415" s="80">
        <v>33</v>
      </c>
      <c r="AK415" s="80">
        <v>67</v>
      </c>
      <c r="AL415" s="80">
        <v>11</v>
      </c>
      <c r="AM415" s="80" t="s">
        <v>4098</v>
      </c>
      <c r="AN415" s="96" t="str">
        <f>HYPERLINK("https://www.youtube.com/watch?v=b0884Xak6So")</f>
        <v>https://www.youtube.com/watch?v=b0884Xak6So</v>
      </c>
      <c r="AO415" s="80" t="e">
        <f>REPLACE(INDEX(GroupVertices[Group],MATCH(Vertices[[#This Row],[Vertex]],GroupVertices[Vertex],0)),1,1,"")</f>
        <v>#N/A</v>
      </c>
      <c r="AP415" s="48"/>
      <c r="AQ415" s="49"/>
      <c r="AR415" s="48"/>
      <c r="AS415" s="49"/>
      <c r="AT415" s="48"/>
      <c r="AU415" s="49"/>
      <c r="AV415" s="48"/>
      <c r="AW415" s="49"/>
      <c r="AX415" s="48"/>
      <c r="AY415" s="48"/>
      <c r="AZ415" s="48"/>
      <c r="BA415" s="48"/>
      <c r="BB415" s="48"/>
      <c r="BC415" s="2"/>
      <c r="BD415" s="3"/>
      <c r="BE415" s="3"/>
      <c r="BF415" s="3"/>
      <c r="BG415" s="3"/>
    </row>
    <row r="416" spans="1:59" ht="15">
      <c r="A416" s="66" t="s">
        <v>289</v>
      </c>
      <c r="B416" s="67" t="s">
        <v>4461</v>
      </c>
      <c r="C416" s="67"/>
      <c r="D416" s="68">
        <v>828.9726867026652</v>
      </c>
      <c r="E416" s="70"/>
      <c r="F416" s="97" t="str">
        <f>HYPERLINK("https://i.ytimg.com/vi/2NxZu99bpb4/default.jpg")</f>
        <v>https://i.ytimg.com/vi/2NxZu99bpb4/default.jpg</v>
      </c>
      <c r="G416" s="120" t="s">
        <v>52</v>
      </c>
      <c r="H416" s="71" t="s">
        <v>986</v>
      </c>
      <c r="I416" s="72"/>
      <c r="J416" s="72" t="s">
        <v>159</v>
      </c>
      <c r="K416" s="71" t="s">
        <v>986</v>
      </c>
      <c r="L416" s="75">
        <v>213.72340425531914</v>
      </c>
      <c r="M416" s="76">
        <v>5693.80224609375</v>
      </c>
      <c r="N416" s="76">
        <v>6894.23974609375</v>
      </c>
      <c r="O416" s="77"/>
      <c r="P416" s="78"/>
      <c r="Q416" s="78"/>
      <c r="R416" s="82"/>
      <c r="S416" s="48"/>
      <c r="T416" s="48"/>
      <c r="U416" s="49"/>
      <c r="V416" s="49"/>
      <c r="W416" s="49"/>
      <c r="X416" s="49"/>
      <c r="Y416" s="49"/>
      <c r="Z416" s="49"/>
      <c r="AA416" s="73">
        <v>416</v>
      </c>
      <c r="AB416" s="73"/>
      <c r="AC416" s="74"/>
      <c r="AD416" s="80" t="s">
        <v>986</v>
      </c>
      <c r="AE416" s="80" t="s">
        <v>1709</v>
      </c>
      <c r="AF416" s="80" t="s">
        <v>2341</v>
      </c>
      <c r="AG416" s="80" t="s">
        <v>2918</v>
      </c>
      <c r="AH416" s="80" t="s">
        <v>3401</v>
      </c>
      <c r="AI416" s="80">
        <v>135890</v>
      </c>
      <c r="AJ416" s="80">
        <v>41</v>
      </c>
      <c r="AK416" s="80">
        <v>414</v>
      </c>
      <c r="AL416" s="80">
        <v>10</v>
      </c>
      <c r="AM416" s="80" t="s">
        <v>4098</v>
      </c>
      <c r="AN416" s="96" t="str">
        <f>HYPERLINK("https://www.youtube.com/watch?v=2NxZu99bpb4")</f>
        <v>https://www.youtube.com/watch?v=2NxZu99bpb4</v>
      </c>
      <c r="AO416" s="80" t="e">
        <f>REPLACE(INDEX(GroupVertices[Group],MATCH(Vertices[[#This Row],[Vertex]],GroupVertices[Vertex],0)),1,1,"")</f>
        <v>#N/A</v>
      </c>
      <c r="AP416" s="48"/>
      <c r="AQ416" s="49"/>
      <c r="AR416" s="48"/>
      <c r="AS416" s="49"/>
      <c r="AT416" s="48"/>
      <c r="AU416" s="49"/>
      <c r="AV416" s="48"/>
      <c r="AW416" s="49"/>
      <c r="AX416" s="48"/>
      <c r="AY416" s="48"/>
      <c r="AZ416" s="48"/>
      <c r="BA416" s="48"/>
      <c r="BB416" s="48"/>
      <c r="BC416" s="2"/>
      <c r="BD416" s="3"/>
      <c r="BE416" s="3"/>
      <c r="BF416" s="3"/>
      <c r="BG416" s="3"/>
    </row>
    <row r="417" spans="1:59" ht="15">
      <c r="A417" s="66" t="s">
        <v>589</v>
      </c>
      <c r="B417" s="67" t="s">
        <v>4461</v>
      </c>
      <c r="C417" s="67"/>
      <c r="D417" s="68">
        <v>788.0333004552758</v>
      </c>
      <c r="E417" s="70"/>
      <c r="F417" s="97" t="str">
        <f>HYPERLINK("https://i.ytimg.com/vi/U-1sTxmHE5U/default.jpg")</f>
        <v>https://i.ytimg.com/vi/U-1sTxmHE5U/default.jpg</v>
      </c>
      <c r="G417" s="120" t="s">
        <v>52</v>
      </c>
      <c r="H417" s="71" t="s">
        <v>1324</v>
      </c>
      <c r="I417" s="72"/>
      <c r="J417" s="72" t="s">
        <v>159</v>
      </c>
      <c r="K417" s="71" t="s">
        <v>1324</v>
      </c>
      <c r="L417" s="75">
        <v>213.72340425531914</v>
      </c>
      <c r="M417" s="76">
        <v>8746.935546875</v>
      </c>
      <c r="N417" s="76">
        <v>7323.01318359375</v>
      </c>
      <c r="O417" s="77"/>
      <c r="P417" s="78"/>
      <c r="Q417" s="78"/>
      <c r="R417" s="82"/>
      <c r="S417" s="48"/>
      <c r="T417" s="48"/>
      <c r="U417" s="49"/>
      <c r="V417" s="49"/>
      <c r="W417" s="49"/>
      <c r="X417" s="49"/>
      <c r="Y417" s="49"/>
      <c r="Z417" s="49"/>
      <c r="AA417" s="73">
        <v>417</v>
      </c>
      <c r="AB417" s="73"/>
      <c r="AC417" s="74"/>
      <c r="AD417" s="80" t="s">
        <v>1324</v>
      </c>
      <c r="AE417" s="80" t="s">
        <v>1991</v>
      </c>
      <c r="AF417" s="80" t="s">
        <v>2592</v>
      </c>
      <c r="AG417" s="80" t="s">
        <v>3137</v>
      </c>
      <c r="AH417" s="80" t="s">
        <v>3735</v>
      </c>
      <c r="AI417" s="80">
        <v>85684</v>
      </c>
      <c r="AJ417" s="80">
        <v>7</v>
      </c>
      <c r="AK417" s="80">
        <v>298</v>
      </c>
      <c r="AL417" s="80">
        <v>10</v>
      </c>
      <c r="AM417" s="80" t="s">
        <v>4098</v>
      </c>
      <c r="AN417" s="96" t="str">
        <f>HYPERLINK("https://www.youtube.com/watch?v=U-1sTxmHE5U")</f>
        <v>https://www.youtube.com/watch?v=U-1sTxmHE5U</v>
      </c>
      <c r="AO417" s="80" t="e">
        <f>REPLACE(INDEX(GroupVertices[Group],MATCH(Vertices[[#This Row],[Vertex]],GroupVertices[Vertex],0)),1,1,"")</f>
        <v>#N/A</v>
      </c>
      <c r="AP417" s="48"/>
      <c r="AQ417" s="49"/>
      <c r="AR417" s="48"/>
      <c r="AS417" s="49"/>
      <c r="AT417" s="48"/>
      <c r="AU417" s="49"/>
      <c r="AV417" s="48"/>
      <c r="AW417" s="49"/>
      <c r="AX417" s="48"/>
      <c r="AY417" s="48"/>
      <c r="AZ417" s="48"/>
      <c r="BA417" s="48"/>
      <c r="BB417" s="48"/>
      <c r="BC417" s="2"/>
      <c r="BD417" s="3"/>
      <c r="BE417" s="3"/>
      <c r="BF417" s="3"/>
      <c r="BG417" s="3"/>
    </row>
    <row r="418" spans="1:59" ht="15">
      <c r="A418" s="66" t="s">
        <v>276</v>
      </c>
      <c r="B418" s="67" t="s">
        <v>4461</v>
      </c>
      <c r="C418" s="67"/>
      <c r="D418" s="68">
        <v>779.9789528171317</v>
      </c>
      <c r="E418" s="70"/>
      <c r="F418" s="97" t="str">
        <f>HYPERLINK("https://i.ytimg.com/vi/I3cjbB38Z4A/default.jpg")</f>
        <v>https://i.ytimg.com/vi/I3cjbB38Z4A/default.jpg</v>
      </c>
      <c r="G418" s="120" t="s">
        <v>52</v>
      </c>
      <c r="H418" s="71" t="s">
        <v>972</v>
      </c>
      <c r="I418" s="72"/>
      <c r="J418" s="72" t="s">
        <v>159</v>
      </c>
      <c r="K418" s="71" t="s">
        <v>972</v>
      </c>
      <c r="L418" s="75">
        <v>213.72340425531914</v>
      </c>
      <c r="M418" s="76">
        <v>6294.5107421875</v>
      </c>
      <c r="N418" s="76">
        <v>4750.7353515625</v>
      </c>
      <c r="O418" s="77"/>
      <c r="P418" s="78"/>
      <c r="Q418" s="78"/>
      <c r="R418" s="82"/>
      <c r="S418" s="48"/>
      <c r="T418" s="48"/>
      <c r="U418" s="49"/>
      <c r="V418" s="49"/>
      <c r="W418" s="49"/>
      <c r="X418" s="49"/>
      <c r="Y418" s="49"/>
      <c r="Z418" s="49"/>
      <c r="AA418" s="73">
        <v>418</v>
      </c>
      <c r="AB418" s="73"/>
      <c r="AC418" s="74"/>
      <c r="AD418" s="80" t="s">
        <v>972</v>
      </c>
      <c r="AE418" s="80" t="s">
        <v>1695</v>
      </c>
      <c r="AF418" s="80" t="s">
        <v>2328</v>
      </c>
      <c r="AG418" s="80" t="s">
        <v>2906</v>
      </c>
      <c r="AH418" s="80" t="s">
        <v>3387</v>
      </c>
      <c r="AI418" s="80">
        <v>78252</v>
      </c>
      <c r="AJ418" s="80">
        <v>3</v>
      </c>
      <c r="AK418" s="80">
        <v>444</v>
      </c>
      <c r="AL418" s="80">
        <v>10</v>
      </c>
      <c r="AM418" s="80" t="s">
        <v>4098</v>
      </c>
      <c r="AN418" s="96" t="str">
        <f>HYPERLINK("https://www.youtube.com/watch?v=I3cjbB38Z4A")</f>
        <v>https://www.youtube.com/watch?v=I3cjbB38Z4A</v>
      </c>
      <c r="AO418" s="80" t="e">
        <f>REPLACE(INDEX(GroupVertices[Group],MATCH(Vertices[[#This Row],[Vertex]],GroupVertices[Vertex],0)),1,1,"")</f>
        <v>#N/A</v>
      </c>
      <c r="AP418" s="48"/>
      <c r="AQ418" s="49"/>
      <c r="AR418" s="48"/>
      <c r="AS418" s="49"/>
      <c r="AT418" s="48"/>
      <c r="AU418" s="49"/>
      <c r="AV418" s="48"/>
      <c r="AW418" s="49"/>
      <c r="AX418" s="48"/>
      <c r="AY418" s="48"/>
      <c r="AZ418" s="48"/>
      <c r="BA418" s="48"/>
      <c r="BB418" s="48"/>
      <c r="BC418" s="2"/>
      <c r="BD418" s="3"/>
      <c r="BE418" s="3"/>
      <c r="BF418" s="3"/>
      <c r="BG418" s="3"/>
    </row>
    <row r="419" spans="1:59" ht="15">
      <c r="A419" s="66" t="s">
        <v>650</v>
      </c>
      <c r="B419" s="67" t="s">
        <v>4461</v>
      </c>
      <c r="C419" s="67"/>
      <c r="D419" s="68">
        <v>711.9195277387354</v>
      </c>
      <c r="E419" s="70"/>
      <c r="F419" s="97" t="str">
        <f>HYPERLINK("https://i.ytimg.com/vi/7AtFisYXo9k/default.jpg")</f>
        <v>https://i.ytimg.com/vi/7AtFisYXo9k/default.jpg</v>
      </c>
      <c r="G419" s="120" t="s">
        <v>52</v>
      </c>
      <c r="H419" s="71" t="s">
        <v>1390</v>
      </c>
      <c r="I419" s="72"/>
      <c r="J419" s="72" t="s">
        <v>159</v>
      </c>
      <c r="K419" s="71" t="s">
        <v>1390</v>
      </c>
      <c r="L419" s="75">
        <v>213.72340425531914</v>
      </c>
      <c r="M419" s="76">
        <v>2801.613037109375</v>
      </c>
      <c r="N419" s="76">
        <v>1429.231689453125</v>
      </c>
      <c r="O419" s="77"/>
      <c r="P419" s="78"/>
      <c r="Q419" s="78"/>
      <c r="R419" s="82"/>
      <c r="S419" s="48"/>
      <c r="T419" s="48"/>
      <c r="U419" s="49"/>
      <c r="V419" s="49"/>
      <c r="W419" s="49"/>
      <c r="X419" s="49"/>
      <c r="Y419" s="49"/>
      <c r="Z419" s="49"/>
      <c r="AA419" s="73">
        <v>419</v>
      </c>
      <c r="AB419" s="73"/>
      <c r="AC419" s="74"/>
      <c r="AD419" s="80" t="s">
        <v>1390</v>
      </c>
      <c r="AE419" s="80" t="s">
        <v>2055</v>
      </c>
      <c r="AF419" s="80" t="s">
        <v>2648</v>
      </c>
      <c r="AG419" s="80" t="s">
        <v>3184</v>
      </c>
      <c r="AH419" s="80" t="s">
        <v>3802</v>
      </c>
      <c r="AI419" s="80">
        <v>36352</v>
      </c>
      <c r="AJ419" s="80">
        <v>16</v>
      </c>
      <c r="AK419" s="80">
        <v>110</v>
      </c>
      <c r="AL419" s="80">
        <v>10</v>
      </c>
      <c r="AM419" s="80" t="s">
        <v>4098</v>
      </c>
      <c r="AN419" s="96" t="str">
        <f>HYPERLINK("https://www.youtube.com/watch?v=7AtFisYXo9k")</f>
        <v>https://www.youtube.com/watch?v=7AtFisYXo9k</v>
      </c>
      <c r="AO419" s="80" t="e">
        <f>REPLACE(INDEX(GroupVertices[Group],MATCH(Vertices[[#This Row],[Vertex]],GroupVertices[Vertex],0)),1,1,"")</f>
        <v>#N/A</v>
      </c>
      <c r="AP419" s="48"/>
      <c r="AQ419" s="49"/>
      <c r="AR419" s="48"/>
      <c r="AS419" s="49"/>
      <c r="AT419" s="48"/>
      <c r="AU419" s="49"/>
      <c r="AV419" s="48"/>
      <c r="AW419" s="49"/>
      <c r="AX419" s="48"/>
      <c r="AY419" s="48"/>
      <c r="AZ419" s="48"/>
      <c r="BA419" s="48"/>
      <c r="BB419" s="48"/>
      <c r="BC419" s="2"/>
      <c r="BD419" s="3"/>
      <c r="BE419" s="3"/>
      <c r="BF419" s="3"/>
      <c r="BG419" s="3"/>
    </row>
    <row r="420" spans="1:59" ht="15">
      <c r="A420" s="66" t="s">
        <v>502</v>
      </c>
      <c r="B420" s="67" t="s">
        <v>4461</v>
      </c>
      <c r="C420" s="67"/>
      <c r="D420" s="68">
        <v>662.1752937077441</v>
      </c>
      <c r="E420" s="70"/>
      <c r="F420" s="97" t="str">
        <f>HYPERLINK("https://i.ytimg.com/vi/oVVvG035vQc/default.jpg")</f>
        <v>https://i.ytimg.com/vi/oVVvG035vQc/default.jpg</v>
      </c>
      <c r="G420" s="120" t="s">
        <v>52</v>
      </c>
      <c r="H420" s="71" t="s">
        <v>1218</v>
      </c>
      <c r="I420" s="72"/>
      <c r="J420" s="72" t="s">
        <v>159</v>
      </c>
      <c r="K420" s="71" t="s">
        <v>1218</v>
      </c>
      <c r="L420" s="75">
        <v>213.72340425531914</v>
      </c>
      <c r="M420" s="76">
        <v>6806.9609375</v>
      </c>
      <c r="N420" s="76">
        <v>209.63568115234375</v>
      </c>
      <c r="O420" s="77"/>
      <c r="P420" s="78"/>
      <c r="Q420" s="78"/>
      <c r="R420" s="82"/>
      <c r="S420" s="48"/>
      <c r="T420" s="48"/>
      <c r="U420" s="49"/>
      <c r="V420" s="49"/>
      <c r="W420" s="49"/>
      <c r="X420" s="49"/>
      <c r="Y420" s="49"/>
      <c r="Z420" s="49"/>
      <c r="AA420" s="73">
        <v>420</v>
      </c>
      <c r="AB420" s="73"/>
      <c r="AC420" s="74"/>
      <c r="AD420" s="80" t="s">
        <v>1218</v>
      </c>
      <c r="AE420" s="80" t="s">
        <v>1901</v>
      </c>
      <c r="AF420" s="80" t="s">
        <v>2515</v>
      </c>
      <c r="AG420" s="80" t="s">
        <v>3071</v>
      </c>
      <c r="AH420" s="80" t="s">
        <v>3630</v>
      </c>
      <c r="AI420" s="80">
        <v>20757</v>
      </c>
      <c r="AJ420" s="80">
        <v>42</v>
      </c>
      <c r="AK420" s="80">
        <v>144</v>
      </c>
      <c r="AL420" s="80">
        <v>10</v>
      </c>
      <c r="AM420" s="80" t="s">
        <v>4098</v>
      </c>
      <c r="AN420" s="96" t="str">
        <f>HYPERLINK("https://www.youtube.com/watch?v=oVVvG035vQc")</f>
        <v>https://www.youtube.com/watch?v=oVVvG035vQc</v>
      </c>
      <c r="AO420" s="80" t="e">
        <f>REPLACE(INDEX(GroupVertices[Group],MATCH(Vertices[[#This Row],[Vertex]],GroupVertices[Vertex],0)),1,1,"")</f>
        <v>#N/A</v>
      </c>
      <c r="AP420" s="48"/>
      <c r="AQ420" s="49"/>
      <c r="AR420" s="48"/>
      <c r="AS420" s="49"/>
      <c r="AT420" s="48"/>
      <c r="AU420" s="49"/>
      <c r="AV420" s="48"/>
      <c r="AW420" s="49"/>
      <c r="AX420" s="48"/>
      <c r="AY420" s="48"/>
      <c r="AZ420" s="48"/>
      <c r="BA420" s="48"/>
      <c r="BB420" s="48"/>
      <c r="BC420" s="2"/>
      <c r="BD420" s="3"/>
      <c r="BE420" s="3"/>
      <c r="BF420" s="3"/>
      <c r="BG420" s="3"/>
    </row>
    <row r="421" spans="1:59" ht="15">
      <c r="A421" s="66" t="s">
        <v>465</v>
      </c>
      <c r="B421" s="67" t="s">
        <v>4461</v>
      </c>
      <c r="C421" s="67"/>
      <c r="D421" s="68">
        <v>620.6840854374273</v>
      </c>
      <c r="E421" s="70"/>
      <c r="F421" s="97" t="str">
        <f>HYPERLINK("https://i.ytimg.com/vi/izV5Ole2F14/default_live.jpg")</f>
        <v>https://i.ytimg.com/vi/izV5Ole2F14/default_live.jpg</v>
      </c>
      <c r="G421" s="120" t="s">
        <v>52</v>
      </c>
      <c r="H421" s="71" t="s">
        <v>1176</v>
      </c>
      <c r="I421" s="72"/>
      <c r="J421" s="72" t="s">
        <v>159</v>
      </c>
      <c r="K421" s="71" t="s">
        <v>1176</v>
      </c>
      <c r="L421" s="75">
        <v>213.72340425531914</v>
      </c>
      <c r="M421" s="76">
        <v>3025.175048828125</v>
      </c>
      <c r="N421" s="76">
        <v>1672.841552734375</v>
      </c>
      <c r="O421" s="77"/>
      <c r="P421" s="78"/>
      <c r="Q421" s="78"/>
      <c r="R421" s="82"/>
      <c r="S421" s="48"/>
      <c r="T421" s="48"/>
      <c r="U421" s="49"/>
      <c r="V421" s="49"/>
      <c r="W421" s="49"/>
      <c r="X421" s="49"/>
      <c r="Y421" s="49"/>
      <c r="Z421" s="49"/>
      <c r="AA421" s="73">
        <v>421</v>
      </c>
      <c r="AB421" s="73"/>
      <c r="AC421" s="74"/>
      <c r="AD421" s="80" t="s">
        <v>1176</v>
      </c>
      <c r="AE421" s="80" t="s">
        <v>1865</v>
      </c>
      <c r="AF421" s="80" t="s">
        <v>2482</v>
      </c>
      <c r="AG421" s="80" t="s">
        <v>3043</v>
      </c>
      <c r="AH421" s="80" t="s">
        <v>3589</v>
      </c>
      <c r="AI421" s="80">
        <v>13007</v>
      </c>
      <c r="AJ421" s="80">
        <v>0</v>
      </c>
      <c r="AK421" s="80">
        <v>2043</v>
      </c>
      <c r="AL421" s="80">
        <v>10</v>
      </c>
      <c r="AM421" s="80" t="s">
        <v>4098</v>
      </c>
      <c r="AN421" s="96" t="str">
        <f>HYPERLINK("https://www.youtube.com/watch?v=izV5Ole2F14")</f>
        <v>https://www.youtube.com/watch?v=izV5Ole2F14</v>
      </c>
      <c r="AO421" s="80" t="e">
        <f>REPLACE(INDEX(GroupVertices[Group],MATCH(Vertices[[#This Row],[Vertex]],GroupVertices[Vertex],0)),1,1,"")</f>
        <v>#N/A</v>
      </c>
      <c r="AP421" s="48"/>
      <c r="AQ421" s="49"/>
      <c r="AR421" s="48"/>
      <c r="AS421" s="49"/>
      <c r="AT421" s="48"/>
      <c r="AU421" s="49"/>
      <c r="AV421" s="48"/>
      <c r="AW421" s="49"/>
      <c r="AX421" s="48"/>
      <c r="AY421" s="48"/>
      <c r="AZ421" s="48"/>
      <c r="BA421" s="48"/>
      <c r="BB421" s="48"/>
      <c r="BC421" s="2"/>
      <c r="BD421" s="3"/>
      <c r="BE421" s="3"/>
      <c r="BF421" s="3"/>
      <c r="BG421" s="3"/>
    </row>
    <row r="422" spans="1:59" ht="15">
      <c r="A422" s="66" t="s">
        <v>496</v>
      </c>
      <c r="B422" s="67" t="s">
        <v>4461</v>
      </c>
      <c r="C422" s="67"/>
      <c r="D422" s="68">
        <v>598.1061215575434</v>
      </c>
      <c r="E422" s="70"/>
      <c r="F422" s="97" t="str">
        <f>HYPERLINK("https://i.ytimg.com/vi/1lroCm-5-vE/default.jpg")</f>
        <v>https://i.ytimg.com/vi/1lroCm-5-vE/default.jpg</v>
      </c>
      <c r="G422" s="120" t="s">
        <v>52</v>
      </c>
      <c r="H422" s="71" t="s">
        <v>1212</v>
      </c>
      <c r="I422" s="72"/>
      <c r="J422" s="72" t="s">
        <v>159</v>
      </c>
      <c r="K422" s="71" t="s">
        <v>1212</v>
      </c>
      <c r="L422" s="75">
        <v>213.72340425531914</v>
      </c>
      <c r="M422" s="76">
        <v>6273.2578125</v>
      </c>
      <c r="N422" s="76">
        <v>1804.1580810546875</v>
      </c>
      <c r="O422" s="77"/>
      <c r="P422" s="78"/>
      <c r="Q422" s="78"/>
      <c r="R422" s="82"/>
      <c r="S422" s="48"/>
      <c r="T422" s="48"/>
      <c r="U422" s="49"/>
      <c r="V422" s="49"/>
      <c r="W422" s="49"/>
      <c r="X422" s="49"/>
      <c r="Y422" s="49"/>
      <c r="Z422" s="49"/>
      <c r="AA422" s="73">
        <v>422</v>
      </c>
      <c r="AB422" s="73"/>
      <c r="AC422" s="74"/>
      <c r="AD422" s="80" t="s">
        <v>1212</v>
      </c>
      <c r="AE422" s="80" t="s">
        <v>1896</v>
      </c>
      <c r="AF422" s="80" t="s">
        <v>2510</v>
      </c>
      <c r="AG422" s="80" t="s">
        <v>3065</v>
      </c>
      <c r="AH422" s="80" t="s">
        <v>3624</v>
      </c>
      <c r="AI422" s="80">
        <v>10086</v>
      </c>
      <c r="AJ422" s="80">
        <v>14</v>
      </c>
      <c r="AK422" s="80">
        <v>21</v>
      </c>
      <c r="AL422" s="80">
        <v>10</v>
      </c>
      <c r="AM422" s="80" t="s">
        <v>4098</v>
      </c>
      <c r="AN422" s="96" t="str">
        <f>HYPERLINK("https://www.youtube.com/watch?v=1lroCm-5-vE")</f>
        <v>https://www.youtube.com/watch?v=1lroCm-5-vE</v>
      </c>
      <c r="AO422" s="80" t="e">
        <f>REPLACE(INDEX(GroupVertices[Group],MATCH(Vertices[[#This Row],[Vertex]],GroupVertices[Vertex],0)),1,1,"")</f>
        <v>#N/A</v>
      </c>
      <c r="AP422" s="48"/>
      <c r="AQ422" s="49"/>
      <c r="AR422" s="48"/>
      <c r="AS422" s="49"/>
      <c r="AT422" s="48"/>
      <c r="AU422" s="49"/>
      <c r="AV422" s="48"/>
      <c r="AW422" s="49"/>
      <c r="AX422" s="48"/>
      <c r="AY422" s="48"/>
      <c r="AZ422" s="48"/>
      <c r="BA422" s="48"/>
      <c r="BB422" s="48"/>
      <c r="BC422" s="2"/>
      <c r="BD422" s="3"/>
      <c r="BE422" s="3"/>
      <c r="BF422" s="3"/>
      <c r="BG422" s="3"/>
    </row>
    <row r="423" spans="1:59" ht="15">
      <c r="A423" s="66" t="s">
        <v>701</v>
      </c>
      <c r="B423" s="67" t="s">
        <v>4461</v>
      </c>
      <c r="C423" s="67"/>
      <c r="D423" s="68">
        <v>593.4813970081921</v>
      </c>
      <c r="E423" s="70"/>
      <c r="F423" s="97" t="str">
        <f>HYPERLINK("https://i.ytimg.com/vi/xKQE1OCz3hU/default.jpg")</f>
        <v>https://i.ytimg.com/vi/xKQE1OCz3hU/default.jpg</v>
      </c>
      <c r="G423" s="120" t="s">
        <v>52</v>
      </c>
      <c r="H423" s="71" t="s">
        <v>1442</v>
      </c>
      <c r="I423" s="72"/>
      <c r="J423" s="72" t="s">
        <v>159</v>
      </c>
      <c r="K423" s="71" t="s">
        <v>1442</v>
      </c>
      <c r="L423" s="75">
        <v>213.72340425531914</v>
      </c>
      <c r="M423" s="76">
        <v>7915.009765625</v>
      </c>
      <c r="N423" s="76">
        <v>3198.2294921875</v>
      </c>
      <c r="O423" s="77"/>
      <c r="P423" s="78"/>
      <c r="Q423" s="78"/>
      <c r="R423" s="82"/>
      <c r="S423" s="48"/>
      <c r="T423" s="48"/>
      <c r="U423" s="49"/>
      <c r="V423" s="49"/>
      <c r="W423" s="49"/>
      <c r="X423" s="49"/>
      <c r="Y423" s="49"/>
      <c r="Z423" s="49"/>
      <c r="AA423" s="73">
        <v>423</v>
      </c>
      <c r="AB423" s="73"/>
      <c r="AC423" s="74"/>
      <c r="AD423" s="80" t="s">
        <v>1442</v>
      </c>
      <c r="AE423" s="80" t="s">
        <v>2099</v>
      </c>
      <c r="AF423" s="80" t="s">
        <v>2690</v>
      </c>
      <c r="AG423" s="80" t="s">
        <v>3200</v>
      </c>
      <c r="AH423" s="80" t="s">
        <v>3854</v>
      </c>
      <c r="AI423" s="80">
        <v>9574</v>
      </c>
      <c r="AJ423" s="80">
        <v>18</v>
      </c>
      <c r="AK423" s="80">
        <v>168</v>
      </c>
      <c r="AL423" s="80">
        <v>10</v>
      </c>
      <c r="AM423" s="80" t="s">
        <v>4098</v>
      </c>
      <c r="AN423" s="96" t="str">
        <f>HYPERLINK("https://www.youtube.com/watch?v=xKQE1OCz3hU")</f>
        <v>https://www.youtube.com/watch?v=xKQE1OCz3hU</v>
      </c>
      <c r="AO423" s="80" t="e">
        <f>REPLACE(INDEX(GroupVertices[Group],MATCH(Vertices[[#This Row],[Vertex]],GroupVertices[Vertex],0)),1,1,"")</f>
        <v>#N/A</v>
      </c>
      <c r="AP423" s="48"/>
      <c r="AQ423" s="49"/>
      <c r="AR423" s="48"/>
      <c r="AS423" s="49"/>
      <c r="AT423" s="48"/>
      <c r="AU423" s="49"/>
      <c r="AV423" s="48"/>
      <c r="AW423" s="49"/>
      <c r="AX423" s="48"/>
      <c r="AY423" s="48"/>
      <c r="AZ423" s="48"/>
      <c r="BA423" s="48"/>
      <c r="BB423" s="48"/>
      <c r="BC423" s="2"/>
      <c r="BD423" s="3"/>
      <c r="BE423" s="3"/>
      <c r="BF423" s="3"/>
      <c r="BG423" s="3"/>
    </row>
    <row r="424" spans="1:59" ht="15">
      <c r="A424" s="66" t="s">
        <v>798</v>
      </c>
      <c r="B424" s="67" t="s">
        <v>4461</v>
      </c>
      <c r="C424" s="67"/>
      <c r="D424" s="68">
        <v>804.5458140552141</v>
      </c>
      <c r="E424" s="70"/>
      <c r="F424" s="97" t="str">
        <f>HYPERLINK("https://i.ytimg.com/vi/55KxiI2vWPU/default.jpg")</f>
        <v>https://i.ytimg.com/vi/55KxiI2vWPU/default.jpg</v>
      </c>
      <c r="G424" s="120" t="s">
        <v>52</v>
      </c>
      <c r="H424" s="71" t="s">
        <v>1538</v>
      </c>
      <c r="I424" s="72"/>
      <c r="J424" s="72" t="s">
        <v>159</v>
      </c>
      <c r="K424" s="71" t="s">
        <v>1538</v>
      </c>
      <c r="L424" s="75">
        <v>213.72340425531914</v>
      </c>
      <c r="M424" s="76">
        <v>5338.10595703125</v>
      </c>
      <c r="N424" s="76">
        <v>7398.14794921875</v>
      </c>
      <c r="O424" s="77"/>
      <c r="P424" s="78"/>
      <c r="Q424" s="78"/>
      <c r="R424" s="82"/>
      <c r="S424" s="48"/>
      <c r="T424" s="48"/>
      <c r="U424" s="49"/>
      <c r="V424" s="49"/>
      <c r="W424" s="49"/>
      <c r="X424" s="49"/>
      <c r="Y424" s="49"/>
      <c r="Z424" s="49"/>
      <c r="AA424" s="73">
        <v>424</v>
      </c>
      <c r="AB424" s="73"/>
      <c r="AC424" s="74"/>
      <c r="AD424" s="80" t="s">
        <v>1538</v>
      </c>
      <c r="AE424" s="80" t="s">
        <v>2187</v>
      </c>
      <c r="AF424" s="80" t="s">
        <v>2773</v>
      </c>
      <c r="AG424" s="80" t="s">
        <v>3289</v>
      </c>
      <c r="AH424" s="80" t="s">
        <v>3952</v>
      </c>
      <c r="AI424" s="80">
        <v>103201</v>
      </c>
      <c r="AJ424" s="80">
        <v>11</v>
      </c>
      <c r="AK424" s="80">
        <v>294</v>
      </c>
      <c r="AL424" s="80">
        <v>9</v>
      </c>
      <c r="AM424" s="80" t="s">
        <v>4098</v>
      </c>
      <c r="AN424" s="96" t="str">
        <f>HYPERLINK("https://www.youtube.com/watch?v=55KxiI2vWPU")</f>
        <v>https://www.youtube.com/watch?v=55KxiI2vWPU</v>
      </c>
      <c r="AO424" s="80" t="e">
        <f>REPLACE(INDEX(GroupVertices[Group],MATCH(Vertices[[#This Row],[Vertex]],GroupVertices[Vertex],0)),1,1,"")</f>
        <v>#N/A</v>
      </c>
      <c r="AP424" s="48"/>
      <c r="AQ424" s="49"/>
      <c r="AR424" s="48"/>
      <c r="AS424" s="49"/>
      <c r="AT424" s="48"/>
      <c r="AU424" s="49"/>
      <c r="AV424" s="48"/>
      <c r="AW424" s="49"/>
      <c r="AX424" s="48"/>
      <c r="AY424" s="48"/>
      <c r="AZ424" s="48"/>
      <c r="BA424" s="48"/>
      <c r="BB424" s="48"/>
      <c r="BC424" s="2"/>
      <c r="BD424" s="3"/>
      <c r="BE424" s="3"/>
      <c r="BF424" s="3"/>
      <c r="BG424" s="3"/>
    </row>
    <row r="425" spans="1:59" ht="15">
      <c r="A425" s="66" t="s">
        <v>834</v>
      </c>
      <c r="B425" s="67" t="s">
        <v>4461</v>
      </c>
      <c r="C425" s="67"/>
      <c r="D425" s="68">
        <v>779.3196787104459</v>
      </c>
      <c r="E425" s="70"/>
      <c r="F425" s="97" t="str">
        <f>HYPERLINK("https://i.ytimg.com/vi/tAMmciaSpvk/default.jpg")</f>
        <v>https://i.ytimg.com/vi/tAMmciaSpvk/default.jpg</v>
      </c>
      <c r="G425" s="120" t="s">
        <v>52</v>
      </c>
      <c r="H425" s="71" t="s">
        <v>1573</v>
      </c>
      <c r="I425" s="72"/>
      <c r="J425" s="72" t="s">
        <v>159</v>
      </c>
      <c r="K425" s="71" t="s">
        <v>1573</v>
      </c>
      <c r="L425" s="75">
        <v>213.72340425531914</v>
      </c>
      <c r="M425" s="76">
        <v>116.98584747314453</v>
      </c>
      <c r="N425" s="76">
        <v>2156.943115234375</v>
      </c>
      <c r="O425" s="77"/>
      <c r="P425" s="78"/>
      <c r="Q425" s="78"/>
      <c r="R425" s="82"/>
      <c r="S425" s="48"/>
      <c r="T425" s="48"/>
      <c r="U425" s="49"/>
      <c r="V425" s="49"/>
      <c r="W425" s="49"/>
      <c r="X425" s="49"/>
      <c r="Y425" s="49"/>
      <c r="Z425" s="49"/>
      <c r="AA425" s="73">
        <v>425</v>
      </c>
      <c r="AB425" s="73"/>
      <c r="AC425" s="74"/>
      <c r="AD425" s="80" t="s">
        <v>1573</v>
      </c>
      <c r="AE425" s="80"/>
      <c r="AF425" s="80" t="s">
        <v>2803</v>
      </c>
      <c r="AG425" s="80" t="s">
        <v>3234</v>
      </c>
      <c r="AH425" s="80" t="s">
        <v>3988</v>
      </c>
      <c r="AI425" s="80">
        <v>77673</v>
      </c>
      <c r="AJ425" s="80">
        <v>12</v>
      </c>
      <c r="AK425" s="80">
        <v>106</v>
      </c>
      <c r="AL425" s="80">
        <v>9</v>
      </c>
      <c r="AM425" s="80" t="s">
        <v>4098</v>
      </c>
      <c r="AN425" s="96" t="str">
        <f>HYPERLINK("https://www.youtube.com/watch?v=tAMmciaSpvk")</f>
        <v>https://www.youtube.com/watch?v=tAMmciaSpvk</v>
      </c>
      <c r="AO425" s="80" t="e">
        <f>REPLACE(INDEX(GroupVertices[Group],MATCH(Vertices[[#This Row],[Vertex]],GroupVertices[Vertex],0)),1,1,"")</f>
        <v>#N/A</v>
      </c>
      <c r="AP425" s="48"/>
      <c r="AQ425" s="49"/>
      <c r="AR425" s="48"/>
      <c r="AS425" s="49"/>
      <c r="AT425" s="48"/>
      <c r="AU425" s="49"/>
      <c r="AV425" s="48"/>
      <c r="AW425" s="49"/>
      <c r="AX425" s="48"/>
      <c r="AY425" s="48"/>
      <c r="AZ425" s="48"/>
      <c r="BA425" s="48"/>
      <c r="BB425" s="48"/>
      <c r="BC425" s="2"/>
      <c r="BD425" s="3"/>
      <c r="BE425" s="3"/>
      <c r="BF425" s="3"/>
      <c r="BG425" s="3"/>
    </row>
    <row r="426" spans="1:59" ht="15">
      <c r="A426" s="66" t="s">
        <v>580</v>
      </c>
      <c r="B426" s="67" t="s">
        <v>4461</v>
      </c>
      <c r="C426" s="67"/>
      <c r="D426" s="68">
        <v>764.1812100032954</v>
      </c>
      <c r="E426" s="70"/>
      <c r="F426" s="97" t="str">
        <f>HYPERLINK("https://i.ytimg.com/vi/lWO35Oc_p3o/default.jpg")</f>
        <v>https://i.ytimg.com/vi/lWO35Oc_p3o/default.jpg</v>
      </c>
      <c r="G426" s="120" t="s">
        <v>52</v>
      </c>
      <c r="H426" s="71" t="s">
        <v>1315</v>
      </c>
      <c r="I426" s="72"/>
      <c r="J426" s="72" t="s">
        <v>159</v>
      </c>
      <c r="K426" s="71" t="s">
        <v>1315</v>
      </c>
      <c r="L426" s="75">
        <v>213.72340425531914</v>
      </c>
      <c r="M426" s="76">
        <v>9190.0029296875</v>
      </c>
      <c r="N426" s="76">
        <v>7673.83837890625</v>
      </c>
      <c r="O426" s="77"/>
      <c r="P426" s="78"/>
      <c r="Q426" s="78"/>
      <c r="R426" s="82"/>
      <c r="S426" s="48"/>
      <c r="T426" s="48"/>
      <c r="U426" s="49"/>
      <c r="V426" s="49"/>
      <c r="W426" s="49"/>
      <c r="X426" s="49"/>
      <c r="Y426" s="49"/>
      <c r="Z426" s="49"/>
      <c r="AA426" s="73">
        <v>426</v>
      </c>
      <c r="AB426" s="73"/>
      <c r="AC426" s="74"/>
      <c r="AD426" s="80" t="s">
        <v>1315</v>
      </c>
      <c r="AE426" s="80" t="s">
        <v>1982</v>
      </c>
      <c r="AF426" s="80" t="s">
        <v>2585</v>
      </c>
      <c r="AG426" s="80" t="s">
        <v>3129</v>
      </c>
      <c r="AH426" s="80" t="s">
        <v>3726</v>
      </c>
      <c r="AI426" s="80">
        <v>65495</v>
      </c>
      <c r="AJ426" s="80">
        <v>34</v>
      </c>
      <c r="AK426" s="80">
        <v>229</v>
      </c>
      <c r="AL426" s="80">
        <v>9</v>
      </c>
      <c r="AM426" s="80" t="s">
        <v>4098</v>
      </c>
      <c r="AN426" s="96" t="str">
        <f>HYPERLINK("https://www.youtube.com/watch?v=lWO35Oc_p3o")</f>
        <v>https://www.youtube.com/watch?v=lWO35Oc_p3o</v>
      </c>
      <c r="AO426" s="80" t="e">
        <f>REPLACE(INDEX(GroupVertices[Group],MATCH(Vertices[[#This Row],[Vertex]],GroupVertices[Vertex],0)),1,1,"")</f>
        <v>#N/A</v>
      </c>
      <c r="AP426" s="48"/>
      <c r="AQ426" s="49"/>
      <c r="AR426" s="48"/>
      <c r="AS426" s="49"/>
      <c r="AT426" s="48"/>
      <c r="AU426" s="49"/>
      <c r="AV426" s="48"/>
      <c r="AW426" s="49"/>
      <c r="AX426" s="48"/>
      <c r="AY426" s="48"/>
      <c r="AZ426" s="48"/>
      <c r="BA426" s="48"/>
      <c r="BB426" s="48"/>
      <c r="BC426" s="2"/>
      <c r="BD426" s="3"/>
      <c r="BE426" s="3"/>
      <c r="BF426" s="3"/>
      <c r="BG426" s="3"/>
    </row>
    <row r="427" spans="1:59" ht="15">
      <c r="A427" s="66" t="s">
        <v>712</v>
      </c>
      <c r="B427" s="67" t="s">
        <v>4461</v>
      </c>
      <c r="C427" s="67"/>
      <c r="D427" s="68">
        <v>740.2990337365292</v>
      </c>
      <c r="E427" s="70"/>
      <c r="F427" s="97" t="str">
        <f>HYPERLINK("https://i.ytimg.com/vi/bpyK15sj6mw/default.jpg")</f>
        <v>https://i.ytimg.com/vi/bpyK15sj6mw/default.jpg</v>
      </c>
      <c r="G427" s="120" t="s">
        <v>52</v>
      </c>
      <c r="H427" s="71" t="s">
        <v>1453</v>
      </c>
      <c r="I427" s="72"/>
      <c r="J427" s="72" t="s">
        <v>159</v>
      </c>
      <c r="K427" s="71" t="s">
        <v>1453</v>
      </c>
      <c r="L427" s="75">
        <v>213.72340425531914</v>
      </c>
      <c r="M427" s="76">
        <v>7319.083984375</v>
      </c>
      <c r="N427" s="76">
        <v>7008.001953125</v>
      </c>
      <c r="O427" s="77"/>
      <c r="P427" s="78"/>
      <c r="Q427" s="78"/>
      <c r="R427" s="82"/>
      <c r="S427" s="48"/>
      <c r="T427" s="48"/>
      <c r="U427" s="49"/>
      <c r="V427" s="49"/>
      <c r="W427" s="49"/>
      <c r="X427" s="49"/>
      <c r="Y427" s="49"/>
      <c r="Z427" s="49"/>
      <c r="AA427" s="73">
        <v>427</v>
      </c>
      <c r="AB427" s="73"/>
      <c r="AC427" s="74"/>
      <c r="AD427" s="80" t="s">
        <v>1453</v>
      </c>
      <c r="AE427" s="80" t="s">
        <v>2111</v>
      </c>
      <c r="AF427" s="80" t="s">
        <v>2700</v>
      </c>
      <c r="AG427" s="80" t="s">
        <v>3231</v>
      </c>
      <c r="AH427" s="80" t="s">
        <v>3866</v>
      </c>
      <c r="AI427" s="80">
        <v>50046</v>
      </c>
      <c r="AJ427" s="80">
        <v>9</v>
      </c>
      <c r="AK427" s="80">
        <v>90</v>
      </c>
      <c r="AL427" s="80">
        <v>9</v>
      </c>
      <c r="AM427" s="80" t="s">
        <v>4098</v>
      </c>
      <c r="AN427" s="96" t="str">
        <f>HYPERLINK("https://www.youtube.com/watch?v=bpyK15sj6mw")</f>
        <v>https://www.youtube.com/watch?v=bpyK15sj6mw</v>
      </c>
      <c r="AO427" s="80" t="e">
        <f>REPLACE(INDEX(GroupVertices[Group],MATCH(Vertices[[#This Row],[Vertex]],GroupVertices[Vertex],0)),1,1,"")</f>
        <v>#N/A</v>
      </c>
      <c r="AP427" s="48"/>
      <c r="AQ427" s="49"/>
      <c r="AR427" s="48"/>
      <c r="AS427" s="49"/>
      <c r="AT427" s="48"/>
      <c r="AU427" s="49"/>
      <c r="AV427" s="48"/>
      <c r="AW427" s="49"/>
      <c r="AX427" s="48"/>
      <c r="AY427" s="48"/>
      <c r="AZ427" s="48"/>
      <c r="BA427" s="48"/>
      <c r="BB427" s="48"/>
      <c r="BC427" s="2"/>
      <c r="BD427" s="3"/>
      <c r="BE427" s="3"/>
      <c r="BF427" s="3"/>
      <c r="BG427" s="3"/>
    </row>
    <row r="428" spans="1:59" ht="15">
      <c r="A428" s="66" t="s">
        <v>835</v>
      </c>
      <c r="B428" s="67" t="s">
        <v>4461</v>
      </c>
      <c r="C428" s="67"/>
      <c r="D428" s="68">
        <v>693.676315347963</v>
      </c>
      <c r="E428" s="70"/>
      <c r="F428" s="97" t="str">
        <f>HYPERLINK("https://i.ytimg.com/vi/jkcB3H3z36s/default.jpg")</f>
        <v>https://i.ytimg.com/vi/jkcB3H3z36s/default.jpg</v>
      </c>
      <c r="G428" s="120" t="s">
        <v>52</v>
      </c>
      <c r="H428" s="71" t="s">
        <v>1574</v>
      </c>
      <c r="I428" s="72"/>
      <c r="J428" s="72" t="s">
        <v>159</v>
      </c>
      <c r="K428" s="71" t="s">
        <v>1574</v>
      </c>
      <c r="L428" s="75">
        <v>213.72340425531914</v>
      </c>
      <c r="M428" s="76">
        <v>391.8497619628906</v>
      </c>
      <c r="N428" s="76">
        <v>3825.49609375</v>
      </c>
      <c r="O428" s="77"/>
      <c r="P428" s="78"/>
      <c r="Q428" s="78"/>
      <c r="R428" s="82"/>
      <c r="S428" s="48"/>
      <c r="T428" s="48"/>
      <c r="U428" s="49"/>
      <c r="V428" s="49"/>
      <c r="W428" s="49"/>
      <c r="X428" s="49"/>
      <c r="Y428" s="49"/>
      <c r="Z428" s="49"/>
      <c r="AA428" s="73">
        <v>428</v>
      </c>
      <c r="AB428" s="73"/>
      <c r="AC428" s="74"/>
      <c r="AD428" s="80" t="s">
        <v>1574</v>
      </c>
      <c r="AE428" s="80" t="s">
        <v>2219</v>
      </c>
      <c r="AF428" s="80" t="s">
        <v>2804</v>
      </c>
      <c r="AG428" s="80" t="s">
        <v>3054</v>
      </c>
      <c r="AH428" s="80" t="s">
        <v>3989</v>
      </c>
      <c r="AI428" s="80">
        <v>29599</v>
      </c>
      <c r="AJ428" s="80">
        <v>5</v>
      </c>
      <c r="AK428" s="80">
        <v>32</v>
      </c>
      <c r="AL428" s="80">
        <v>9</v>
      </c>
      <c r="AM428" s="80" t="s">
        <v>4098</v>
      </c>
      <c r="AN428" s="96" t="str">
        <f>HYPERLINK("https://www.youtube.com/watch?v=jkcB3H3z36s")</f>
        <v>https://www.youtube.com/watch?v=jkcB3H3z36s</v>
      </c>
      <c r="AO428" s="80" t="e">
        <f>REPLACE(INDEX(GroupVertices[Group],MATCH(Vertices[[#This Row],[Vertex]],GroupVertices[Vertex],0)),1,1,"")</f>
        <v>#N/A</v>
      </c>
      <c r="AP428" s="48"/>
      <c r="AQ428" s="49"/>
      <c r="AR428" s="48"/>
      <c r="AS428" s="49"/>
      <c r="AT428" s="48"/>
      <c r="AU428" s="49"/>
      <c r="AV428" s="48"/>
      <c r="AW428" s="49"/>
      <c r="AX428" s="48"/>
      <c r="AY428" s="48"/>
      <c r="AZ428" s="48"/>
      <c r="BA428" s="48"/>
      <c r="BB428" s="48"/>
      <c r="BC428" s="2"/>
      <c r="BD428" s="3"/>
      <c r="BE428" s="3"/>
      <c r="BF428" s="3"/>
      <c r="BG428" s="3"/>
    </row>
    <row r="429" spans="1:59" ht="15">
      <c r="A429" s="66" t="s">
        <v>699</v>
      </c>
      <c r="B429" s="67" t="s">
        <v>4461</v>
      </c>
      <c r="C429" s="67"/>
      <c r="D429" s="68">
        <v>583.5848733101788</v>
      </c>
      <c r="E429" s="70"/>
      <c r="F429" s="97" t="str">
        <f>HYPERLINK("https://i.ytimg.com/vi/qmyqzwN0nxY/default.jpg")</f>
        <v>https://i.ytimg.com/vi/qmyqzwN0nxY/default.jpg</v>
      </c>
      <c r="G429" s="120" t="s">
        <v>52</v>
      </c>
      <c r="H429" s="71" t="s">
        <v>1440</v>
      </c>
      <c r="I429" s="72"/>
      <c r="J429" s="72" t="s">
        <v>159</v>
      </c>
      <c r="K429" s="71" t="s">
        <v>1440</v>
      </c>
      <c r="L429" s="75">
        <v>213.72340425531914</v>
      </c>
      <c r="M429" s="76">
        <v>7961.1640625</v>
      </c>
      <c r="N429" s="76">
        <v>2051.21826171875</v>
      </c>
      <c r="O429" s="77"/>
      <c r="P429" s="78"/>
      <c r="Q429" s="78"/>
      <c r="R429" s="82"/>
      <c r="S429" s="48"/>
      <c r="T429" s="48"/>
      <c r="U429" s="49"/>
      <c r="V429" s="49"/>
      <c r="W429" s="49"/>
      <c r="X429" s="49"/>
      <c r="Y429" s="49"/>
      <c r="Z429" s="49"/>
      <c r="AA429" s="73">
        <v>429</v>
      </c>
      <c r="AB429" s="73"/>
      <c r="AC429" s="74"/>
      <c r="AD429" s="80" t="s">
        <v>1440</v>
      </c>
      <c r="AE429" s="80" t="s">
        <v>2097</v>
      </c>
      <c r="AF429" s="80" t="s">
        <v>2688</v>
      </c>
      <c r="AG429" s="80" t="s">
        <v>3222</v>
      </c>
      <c r="AH429" s="80" t="s">
        <v>3852</v>
      </c>
      <c r="AI429" s="80">
        <v>8564</v>
      </c>
      <c r="AJ429" s="80">
        <v>3</v>
      </c>
      <c r="AK429" s="80">
        <v>29</v>
      </c>
      <c r="AL429" s="80">
        <v>9</v>
      </c>
      <c r="AM429" s="80" t="s">
        <v>4098</v>
      </c>
      <c r="AN429" s="96" t="str">
        <f>HYPERLINK("https://www.youtube.com/watch?v=qmyqzwN0nxY")</f>
        <v>https://www.youtube.com/watch?v=qmyqzwN0nxY</v>
      </c>
      <c r="AO429" s="80" t="e">
        <f>REPLACE(INDEX(GroupVertices[Group],MATCH(Vertices[[#This Row],[Vertex]],GroupVertices[Vertex],0)),1,1,"")</f>
        <v>#N/A</v>
      </c>
      <c r="AP429" s="48"/>
      <c r="AQ429" s="49"/>
      <c r="AR429" s="48"/>
      <c r="AS429" s="49"/>
      <c r="AT429" s="48"/>
      <c r="AU429" s="49"/>
      <c r="AV429" s="48"/>
      <c r="AW429" s="49"/>
      <c r="AX429" s="48"/>
      <c r="AY429" s="48"/>
      <c r="AZ429" s="48"/>
      <c r="BA429" s="48"/>
      <c r="BB429" s="48"/>
      <c r="BC429" s="2"/>
      <c r="BD429" s="3"/>
      <c r="BE429" s="3"/>
      <c r="BF429" s="3"/>
      <c r="BG429" s="3"/>
    </row>
    <row r="430" spans="1:59" ht="15">
      <c r="A430" s="66" t="s">
        <v>759</v>
      </c>
      <c r="B430" s="67" t="s">
        <v>4461</v>
      </c>
      <c r="C430" s="67"/>
      <c r="D430" s="68">
        <v>582.9607482557049</v>
      </c>
      <c r="E430" s="70"/>
      <c r="F430" s="97" t="str">
        <f>HYPERLINK("https://i.ytimg.com/vi/0UlS1d9YKXE/default.jpg")</f>
        <v>https://i.ytimg.com/vi/0UlS1d9YKXE/default.jpg</v>
      </c>
      <c r="G430" s="120" t="s">
        <v>52</v>
      </c>
      <c r="H430" s="71" t="s">
        <v>1499</v>
      </c>
      <c r="I430" s="72"/>
      <c r="J430" s="72" t="s">
        <v>159</v>
      </c>
      <c r="K430" s="71" t="s">
        <v>1499</v>
      </c>
      <c r="L430" s="75">
        <v>213.72340425531914</v>
      </c>
      <c r="M430" s="76">
        <v>3620.169677734375</v>
      </c>
      <c r="N430" s="76">
        <v>9245.908203125</v>
      </c>
      <c r="O430" s="77"/>
      <c r="P430" s="78"/>
      <c r="Q430" s="78"/>
      <c r="R430" s="82"/>
      <c r="S430" s="48"/>
      <c r="T430" s="48"/>
      <c r="U430" s="49"/>
      <c r="V430" s="49"/>
      <c r="W430" s="49"/>
      <c r="X430" s="49"/>
      <c r="Y430" s="49"/>
      <c r="Z430" s="49"/>
      <c r="AA430" s="73">
        <v>430</v>
      </c>
      <c r="AB430" s="73"/>
      <c r="AC430" s="74"/>
      <c r="AD430" s="80" t="s">
        <v>1499</v>
      </c>
      <c r="AE430" s="80" t="s">
        <v>2152</v>
      </c>
      <c r="AF430" s="80" t="s">
        <v>2738</v>
      </c>
      <c r="AG430" s="80" t="s">
        <v>3263</v>
      </c>
      <c r="AH430" s="80" t="s">
        <v>3913</v>
      </c>
      <c r="AI430" s="80">
        <v>8504</v>
      </c>
      <c r="AJ430" s="80">
        <v>4</v>
      </c>
      <c r="AK430" s="80">
        <v>23</v>
      </c>
      <c r="AL430" s="80">
        <v>9</v>
      </c>
      <c r="AM430" s="80" t="s">
        <v>4098</v>
      </c>
      <c r="AN430" s="96" t="str">
        <f>HYPERLINK("https://www.youtube.com/watch?v=0UlS1d9YKXE")</f>
        <v>https://www.youtube.com/watch?v=0UlS1d9YKXE</v>
      </c>
      <c r="AO430" s="80" t="e">
        <f>REPLACE(INDEX(GroupVertices[Group],MATCH(Vertices[[#This Row],[Vertex]],GroupVertices[Vertex],0)),1,1,"")</f>
        <v>#N/A</v>
      </c>
      <c r="AP430" s="48"/>
      <c r="AQ430" s="49"/>
      <c r="AR430" s="48"/>
      <c r="AS430" s="49"/>
      <c r="AT430" s="48"/>
      <c r="AU430" s="49"/>
      <c r="AV430" s="48"/>
      <c r="AW430" s="49"/>
      <c r="AX430" s="48"/>
      <c r="AY430" s="48"/>
      <c r="AZ430" s="48"/>
      <c r="BA430" s="48"/>
      <c r="BB430" s="48"/>
      <c r="BC430" s="2"/>
      <c r="BD430" s="3"/>
      <c r="BE430" s="3"/>
      <c r="BF430" s="3"/>
      <c r="BG430" s="3"/>
    </row>
    <row r="431" spans="1:59" ht="15">
      <c r="A431" s="66" t="s">
        <v>670</v>
      </c>
      <c r="B431" s="67" t="s">
        <v>4461</v>
      </c>
      <c r="C431" s="67"/>
      <c r="D431" s="68">
        <v>439.1553577909598</v>
      </c>
      <c r="E431" s="70"/>
      <c r="F431" s="97" t="str">
        <f>HYPERLINK("https://i.ytimg.com/vi/XoPMoGKd-b0/default.jpg")</f>
        <v>https://i.ytimg.com/vi/XoPMoGKd-b0/default.jpg</v>
      </c>
      <c r="G431" s="120" t="s">
        <v>52</v>
      </c>
      <c r="H431" s="71" t="s">
        <v>1411</v>
      </c>
      <c r="I431" s="72"/>
      <c r="J431" s="72" t="s">
        <v>159</v>
      </c>
      <c r="K431" s="71" t="s">
        <v>1411</v>
      </c>
      <c r="L431" s="75">
        <v>213.72340425531914</v>
      </c>
      <c r="M431" s="76">
        <v>8257.1845703125</v>
      </c>
      <c r="N431" s="76">
        <v>2993.587158203125</v>
      </c>
      <c r="O431" s="77"/>
      <c r="P431" s="78"/>
      <c r="Q431" s="78"/>
      <c r="R431" s="82"/>
      <c r="S431" s="48"/>
      <c r="T431" s="48"/>
      <c r="U431" s="49"/>
      <c r="V431" s="49"/>
      <c r="W431" s="49"/>
      <c r="X431" s="49"/>
      <c r="Y431" s="49"/>
      <c r="Z431" s="49"/>
      <c r="AA431" s="73">
        <v>431</v>
      </c>
      <c r="AB431" s="73"/>
      <c r="AC431" s="74"/>
      <c r="AD431" s="80" t="s">
        <v>1411</v>
      </c>
      <c r="AE431" s="80" t="s">
        <v>2071</v>
      </c>
      <c r="AF431" s="80"/>
      <c r="AG431" s="80" t="s">
        <v>3202</v>
      </c>
      <c r="AH431" s="80" t="s">
        <v>3823</v>
      </c>
      <c r="AI431" s="80">
        <v>1683</v>
      </c>
      <c r="AJ431" s="80">
        <v>3</v>
      </c>
      <c r="AK431" s="80">
        <v>13</v>
      </c>
      <c r="AL431" s="80">
        <v>9</v>
      </c>
      <c r="AM431" s="80" t="s">
        <v>4098</v>
      </c>
      <c r="AN431" s="96" t="str">
        <f>HYPERLINK("https://www.youtube.com/watch?v=XoPMoGKd-b0")</f>
        <v>https://www.youtube.com/watch?v=XoPMoGKd-b0</v>
      </c>
      <c r="AO431" s="80" t="e">
        <f>REPLACE(INDEX(GroupVertices[Group],MATCH(Vertices[[#This Row],[Vertex]],GroupVertices[Vertex],0)),1,1,"")</f>
        <v>#N/A</v>
      </c>
      <c r="AP431" s="48"/>
      <c r="AQ431" s="49"/>
      <c r="AR431" s="48"/>
      <c r="AS431" s="49"/>
      <c r="AT431" s="48"/>
      <c r="AU431" s="49"/>
      <c r="AV431" s="48"/>
      <c r="AW431" s="49"/>
      <c r="AX431" s="48"/>
      <c r="AY431" s="48"/>
      <c r="AZ431" s="48"/>
      <c r="BA431" s="48"/>
      <c r="BB431" s="48"/>
      <c r="BC431" s="2"/>
      <c r="BD431" s="3"/>
      <c r="BE431" s="3"/>
      <c r="BF431" s="3"/>
      <c r="BG431" s="3"/>
    </row>
    <row r="432" spans="1:59" ht="15">
      <c r="A432" s="66" t="s">
        <v>334</v>
      </c>
      <c r="B432" s="67" t="s">
        <v>4461</v>
      </c>
      <c r="C432" s="67"/>
      <c r="D432" s="68">
        <v>754.8124351816693</v>
      </c>
      <c r="E432" s="70"/>
      <c r="F432" s="97" t="str">
        <f>HYPERLINK("https://i.ytimg.com/vi/K4F4m7lcPx8/default.jpg")</f>
        <v>https://i.ytimg.com/vi/K4F4m7lcPx8/default.jpg</v>
      </c>
      <c r="G432" s="120" t="s">
        <v>52</v>
      </c>
      <c r="H432" s="71" t="s">
        <v>1036</v>
      </c>
      <c r="I432" s="72"/>
      <c r="J432" s="72" t="s">
        <v>159</v>
      </c>
      <c r="K432" s="71" t="s">
        <v>1036</v>
      </c>
      <c r="L432" s="75">
        <v>213.72340425531914</v>
      </c>
      <c r="M432" s="76">
        <v>8038.1923828125</v>
      </c>
      <c r="N432" s="76">
        <v>4635.74169921875</v>
      </c>
      <c r="O432" s="77"/>
      <c r="P432" s="78"/>
      <c r="Q432" s="78"/>
      <c r="R432" s="82"/>
      <c r="S432" s="48"/>
      <c r="T432" s="48"/>
      <c r="U432" s="49"/>
      <c r="V432" s="49"/>
      <c r="W432" s="49"/>
      <c r="X432" s="49"/>
      <c r="Y432" s="49"/>
      <c r="Z432" s="49"/>
      <c r="AA432" s="73">
        <v>432</v>
      </c>
      <c r="AB432" s="73"/>
      <c r="AC432" s="74"/>
      <c r="AD432" s="80" t="s">
        <v>1036</v>
      </c>
      <c r="AE432" s="80" t="s">
        <v>1748</v>
      </c>
      <c r="AF432" s="80" t="s">
        <v>2379</v>
      </c>
      <c r="AG432" s="80" t="s">
        <v>2964</v>
      </c>
      <c r="AH432" s="80" t="s">
        <v>3451</v>
      </c>
      <c r="AI432" s="80">
        <v>58935</v>
      </c>
      <c r="AJ432" s="80">
        <v>18</v>
      </c>
      <c r="AK432" s="80">
        <v>108</v>
      </c>
      <c r="AL432" s="80">
        <v>8</v>
      </c>
      <c r="AM432" s="80" t="s">
        <v>4098</v>
      </c>
      <c r="AN432" s="96" t="str">
        <f>HYPERLINK("https://www.youtube.com/watch?v=K4F4m7lcPx8")</f>
        <v>https://www.youtube.com/watch?v=K4F4m7lcPx8</v>
      </c>
      <c r="AO432" s="80" t="e">
        <f>REPLACE(INDEX(GroupVertices[Group],MATCH(Vertices[[#This Row],[Vertex]],GroupVertices[Vertex],0)),1,1,"")</f>
        <v>#N/A</v>
      </c>
      <c r="AP432" s="48"/>
      <c r="AQ432" s="49"/>
      <c r="AR432" s="48"/>
      <c r="AS432" s="49"/>
      <c r="AT432" s="48"/>
      <c r="AU432" s="49"/>
      <c r="AV432" s="48"/>
      <c r="AW432" s="49"/>
      <c r="AX432" s="48"/>
      <c r="AY432" s="48"/>
      <c r="AZ432" s="48"/>
      <c r="BA432" s="48"/>
      <c r="BB432" s="48"/>
      <c r="BC432" s="2"/>
      <c r="BD432" s="3"/>
      <c r="BE432" s="3"/>
      <c r="BF432" s="3"/>
      <c r="BG432" s="3"/>
    </row>
    <row r="433" spans="1:59" ht="15">
      <c r="A433" s="66" t="s">
        <v>477</v>
      </c>
      <c r="B433" s="67" t="s">
        <v>4461</v>
      </c>
      <c r="C433" s="67"/>
      <c r="D433" s="68">
        <v>724.2375328608553</v>
      </c>
      <c r="E433" s="70"/>
      <c r="F433" s="97" t="str">
        <f>HYPERLINK("https://i.ytimg.com/vi/xn6Txs7b6iM/default.jpg")</f>
        <v>https://i.ytimg.com/vi/xn6Txs7b6iM/default.jpg</v>
      </c>
      <c r="G433" s="120" t="s">
        <v>52</v>
      </c>
      <c r="H433" s="71" t="s">
        <v>1188</v>
      </c>
      <c r="I433" s="72"/>
      <c r="J433" s="72" t="s">
        <v>159</v>
      </c>
      <c r="K433" s="71" t="s">
        <v>1188</v>
      </c>
      <c r="L433" s="75">
        <v>213.72340425531914</v>
      </c>
      <c r="M433" s="76">
        <v>3877.648193359375</v>
      </c>
      <c r="N433" s="76">
        <v>2296.386474609375</v>
      </c>
      <c r="O433" s="77"/>
      <c r="P433" s="78"/>
      <c r="Q433" s="78"/>
      <c r="R433" s="82"/>
      <c r="S433" s="48"/>
      <c r="T433" s="48"/>
      <c r="U433" s="49"/>
      <c r="V433" s="49"/>
      <c r="W433" s="49"/>
      <c r="X433" s="49"/>
      <c r="Y433" s="49"/>
      <c r="Z433" s="49"/>
      <c r="AA433" s="73">
        <v>433</v>
      </c>
      <c r="AB433" s="73"/>
      <c r="AC433" s="74"/>
      <c r="AD433" s="80" t="s">
        <v>1188</v>
      </c>
      <c r="AE433" s="80" t="s">
        <v>1875</v>
      </c>
      <c r="AF433" s="80" t="s">
        <v>2489</v>
      </c>
      <c r="AG433" s="80" t="s">
        <v>3050</v>
      </c>
      <c r="AH433" s="80" t="s">
        <v>3600</v>
      </c>
      <c r="AI433" s="80">
        <v>41763</v>
      </c>
      <c r="AJ433" s="80">
        <v>31</v>
      </c>
      <c r="AK433" s="80">
        <v>591</v>
      </c>
      <c r="AL433" s="80">
        <v>8</v>
      </c>
      <c r="AM433" s="80" t="s">
        <v>4098</v>
      </c>
      <c r="AN433" s="96" t="str">
        <f>HYPERLINK("https://www.youtube.com/watch?v=xn6Txs7b6iM")</f>
        <v>https://www.youtube.com/watch?v=xn6Txs7b6iM</v>
      </c>
      <c r="AO433" s="80" t="e">
        <f>REPLACE(INDEX(GroupVertices[Group],MATCH(Vertices[[#This Row],[Vertex]],GroupVertices[Vertex],0)),1,1,"")</f>
        <v>#N/A</v>
      </c>
      <c r="AP433" s="48"/>
      <c r="AQ433" s="49"/>
      <c r="AR433" s="48"/>
      <c r="AS433" s="49"/>
      <c r="AT433" s="48"/>
      <c r="AU433" s="49"/>
      <c r="AV433" s="48"/>
      <c r="AW433" s="49"/>
      <c r="AX433" s="48"/>
      <c r="AY433" s="48"/>
      <c r="AZ433" s="48"/>
      <c r="BA433" s="48"/>
      <c r="BB433" s="48"/>
      <c r="BC433" s="2"/>
      <c r="BD433" s="3"/>
      <c r="BE433" s="3"/>
      <c r="BF433" s="3"/>
      <c r="BG433" s="3"/>
    </row>
    <row r="434" spans="1:59" ht="15">
      <c r="A434" s="66" t="s">
        <v>684</v>
      </c>
      <c r="B434" s="67" t="s">
        <v>4461</v>
      </c>
      <c r="C434" s="67"/>
      <c r="D434" s="68">
        <v>721.4084027499517</v>
      </c>
      <c r="E434" s="70"/>
      <c r="F434" s="97" t="str">
        <f>HYPERLINK("https://i.ytimg.com/vi/WthFJcmGLhY/default.jpg")</f>
        <v>https://i.ytimg.com/vi/WthFJcmGLhY/default.jpg</v>
      </c>
      <c r="G434" s="120" t="s">
        <v>52</v>
      </c>
      <c r="H434" s="71" t="s">
        <v>1425</v>
      </c>
      <c r="I434" s="72"/>
      <c r="J434" s="72" t="s">
        <v>159</v>
      </c>
      <c r="K434" s="71" t="s">
        <v>1425</v>
      </c>
      <c r="L434" s="75">
        <v>213.72340425531914</v>
      </c>
      <c r="M434" s="76">
        <v>9199.509765625</v>
      </c>
      <c r="N434" s="76">
        <v>3402.17041015625</v>
      </c>
      <c r="O434" s="77"/>
      <c r="P434" s="78"/>
      <c r="Q434" s="78"/>
      <c r="R434" s="82"/>
      <c r="S434" s="48"/>
      <c r="T434" s="48"/>
      <c r="U434" s="49"/>
      <c r="V434" s="49"/>
      <c r="W434" s="49"/>
      <c r="X434" s="49"/>
      <c r="Y434" s="49"/>
      <c r="Z434" s="49"/>
      <c r="AA434" s="73">
        <v>434</v>
      </c>
      <c r="AB434" s="73"/>
      <c r="AC434" s="74"/>
      <c r="AD434" s="80" t="s">
        <v>1425</v>
      </c>
      <c r="AE434" s="80" t="s">
        <v>2083</v>
      </c>
      <c r="AF434" s="80" t="s">
        <v>2674</v>
      </c>
      <c r="AG434" s="80" t="s">
        <v>3211</v>
      </c>
      <c r="AH434" s="80" t="s">
        <v>3837</v>
      </c>
      <c r="AI434" s="80">
        <v>40453</v>
      </c>
      <c r="AJ434" s="80">
        <v>153</v>
      </c>
      <c r="AK434" s="80">
        <v>441</v>
      </c>
      <c r="AL434" s="80">
        <v>8</v>
      </c>
      <c r="AM434" s="80" t="s">
        <v>4098</v>
      </c>
      <c r="AN434" s="96" t="str">
        <f>HYPERLINK("https://www.youtube.com/watch?v=WthFJcmGLhY")</f>
        <v>https://www.youtube.com/watch?v=WthFJcmGLhY</v>
      </c>
      <c r="AO434" s="80" t="e">
        <f>REPLACE(INDEX(GroupVertices[Group],MATCH(Vertices[[#This Row],[Vertex]],GroupVertices[Vertex],0)),1,1,"")</f>
        <v>#N/A</v>
      </c>
      <c r="AP434" s="48"/>
      <c r="AQ434" s="49"/>
      <c r="AR434" s="48"/>
      <c r="AS434" s="49"/>
      <c r="AT434" s="48"/>
      <c r="AU434" s="49"/>
      <c r="AV434" s="48"/>
      <c r="AW434" s="49"/>
      <c r="AX434" s="48"/>
      <c r="AY434" s="48"/>
      <c r="AZ434" s="48"/>
      <c r="BA434" s="48"/>
      <c r="BB434" s="48"/>
      <c r="BC434" s="2"/>
      <c r="BD434" s="3"/>
      <c r="BE434" s="3"/>
      <c r="BF434" s="3"/>
      <c r="BG434" s="3"/>
    </row>
    <row r="435" spans="1:59" ht="15">
      <c r="A435" s="66" t="s">
        <v>550</v>
      </c>
      <c r="B435" s="67" t="s">
        <v>4461</v>
      </c>
      <c r="C435" s="67"/>
      <c r="D435" s="68">
        <v>718.9701329599857</v>
      </c>
      <c r="E435" s="70"/>
      <c r="F435" s="97" t="str">
        <f>HYPERLINK("https://i.ytimg.com/vi/ONV38l39PsE/default.jpg")</f>
        <v>https://i.ytimg.com/vi/ONV38l39PsE/default.jpg</v>
      </c>
      <c r="G435" s="120" t="s">
        <v>52</v>
      </c>
      <c r="H435" s="71" t="s">
        <v>1283</v>
      </c>
      <c r="I435" s="72"/>
      <c r="J435" s="72" t="s">
        <v>159</v>
      </c>
      <c r="K435" s="71" t="s">
        <v>1283</v>
      </c>
      <c r="L435" s="75">
        <v>213.72340425531914</v>
      </c>
      <c r="M435" s="76">
        <v>1813.6278076171875</v>
      </c>
      <c r="N435" s="76">
        <v>5497.6787109375</v>
      </c>
      <c r="O435" s="77"/>
      <c r="P435" s="78"/>
      <c r="Q435" s="78"/>
      <c r="R435" s="82"/>
      <c r="S435" s="48"/>
      <c r="T435" s="48"/>
      <c r="U435" s="49"/>
      <c r="V435" s="49"/>
      <c r="W435" s="49"/>
      <c r="X435" s="49"/>
      <c r="Y435" s="49"/>
      <c r="Z435" s="49"/>
      <c r="AA435" s="73">
        <v>435</v>
      </c>
      <c r="AB435" s="73"/>
      <c r="AC435" s="74"/>
      <c r="AD435" s="80" t="s">
        <v>1283</v>
      </c>
      <c r="AE435" s="80" t="s">
        <v>1957</v>
      </c>
      <c r="AF435" s="80" t="s">
        <v>2564</v>
      </c>
      <c r="AG435" s="80" t="s">
        <v>3112</v>
      </c>
      <c r="AH435" s="80" t="s">
        <v>3695</v>
      </c>
      <c r="AI435" s="80">
        <v>39357</v>
      </c>
      <c r="AJ435" s="80">
        <v>14</v>
      </c>
      <c r="AK435" s="80">
        <v>323</v>
      </c>
      <c r="AL435" s="80">
        <v>8</v>
      </c>
      <c r="AM435" s="80" t="s">
        <v>4098</v>
      </c>
      <c r="AN435" s="96" t="str">
        <f>HYPERLINK("https://www.youtube.com/watch?v=ONV38l39PsE")</f>
        <v>https://www.youtube.com/watch?v=ONV38l39PsE</v>
      </c>
      <c r="AO435" s="80" t="e">
        <f>REPLACE(INDEX(GroupVertices[Group],MATCH(Vertices[[#This Row],[Vertex]],GroupVertices[Vertex],0)),1,1,"")</f>
        <v>#N/A</v>
      </c>
      <c r="AP435" s="48"/>
      <c r="AQ435" s="49"/>
      <c r="AR435" s="48"/>
      <c r="AS435" s="49"/>
      <c r="AT435" s="48"/>
      <c r="AU435" s="49"/>
      <c r="AV435" s="48"/>
      <c r="AW435" s="49"/>
      <c r="AX435" s="48"/>
      <c r="AY435" s="48"/>
      <c r="AZ435" s="48"/>
      <c r="BA435" s="48"/>
      <c r="BB435" s="48"/>
      <c r="BC435" s="2"/>
      <c r="BD435" s="3"/>
      <c r="BE435" s="3"/>
      <c r="BF435" s="3"/>
      <c r="BG435" s="3"/>
    </row>
    <row r="436" spans="1:59" ht="15">
      <c r="A436" s="66" t="s">
        <v>475</v>
      </c>
      <c r="B436" s="67" t="s">
        <v>4461</v>
      </c>
      <c r="C436" s="67"/>
      <c r="D436" s="68">
        <v>627.0753318526074</v>
      </c>
      <c r="E436" s="70"/>
      <c r="F436" s="97" t="str">
        <f>HYPERLINK("https://i.ytimg.com/vi/REqMBNfl8L4/default.jpg")</f>
        <v>https://i.ytimg.com/vi/REqMBNfl8L4/default.jpg</v>
      </c>
      <c r="G436" s="120" t="s">
        <v>52</v>
      </c>
      <c r="H436" s="71" t="s">
        <v>1186</v>
      </c>
      <c r="I436" s="72"/>
      <c r="J436" s="72" t="s">
        <v>159</v>
      </c>
      <c r="K436" s="71" t="s">
        <v>1186</v>
      </c>
      <c r="L436" s="75">
        <v>213.72340425531914</v>
      </c>
      <c r="M436" s="76">
        <v>3353.290771484375</v>
      </c>
      <c r="N436" s="76">
        <v>2018.0289306640625</v>
      </c>
      <c r="O436" s="77"/>
      <c r="P436" s="78"/>
      <c r="Q436" s="78"/>
      <c r="R436" s="82"/>
      <c r="S436" s="48"/>
      <c r="T436" s="48"/>
      <c r="U436" s="49"/>
      <c r="V436" s="49"/>
      <c r="W436" s="49"/>
      <c r="X436" s="49"/>
      <c r="Y436" s="49"/>
      <c r="Z436" s="49"/>
      <c r="AA436" s="73">
        <v>436</v>
      </c>
      <c r="AB436" s="73"/>
      <c r="AC436" s="74"/>
      <c r="AD436" s="80" t="s">
        <v>1186</v>
      </c>
      <c r="AE436" s="80" t="s">
        <v>1873</v>
      </c>
      <c r="AF436" s="80" t="s">
        <v>2487</v>
      </c>
      <c r="AG436" s="80" t="s">
        <v>2958</v>
      </c>
      <c r="AH436" s="80" t="s">
        <v>3598</v>
      </c>
      <c r="AI436" s="80">
        <v>13978</v>
      </c>
      <c r="AJ436" s="80">
        <v>10</v>
      </c>
      <c r="AK436" s="80">
        <v>93</v>
      </c>
      <c r="AL436" s="80">
        <v>8</v>
      </c>
      <c r="AM436" s="80" t="s">
        <v>4098</v>
      </c>
      <c r="AN436" s="96" t="str">
        <f>HYPERLINK("https://www.youtube.com/watch?v=REqMBNfl8L4")</f>
        <v>https://www.youtube.com/watch?v=REqMBNfl8L4</v>
      </c>
      <c r="AO436" s="80" t="e">
        <f>REPLACE(INDEX(GroupVertices[Group],MATCH(Vertices[[#This Row],[Vertex]],GroupVertices[Vertex],0)),1,1,"")</f>
        <v>#N/A</v>
      </c>
      <c r="AP436" s="48"/>
      <c r="AQ436" s="49"/>
      <c r="AR436" s="48"/>
      <c r="AS436" s="49"/>
      <c r="AT436" s="48"/>
      <c r="AU436" s="49"/>
      <c r="AV436" s="48"/>
      <c r="AW436" s="49"/>
      <c r="AX436" s="48"/>
      <c r="AY436" s="48"/>
      <c r="AZ436" s="48"/>
      <c r="BA436" s="48"/>
      <c r="BB436" s="48"/>
      <c r="BC436" s="2"/>
      <c r="BD436" s="3"/>
      <c r="BE436" s="3"/>
      <c r="BF436" s="3"/>
      <c r="BG436" s="3"/>
    </row>
    <row r="437" spans="1:59" ht="15">
      <c r="A437" s="66" t="s">
        <v>836</v>
      </c>
      <c r="B437" s="67" t="s">
        <v>4461</v>
      </c>
      <c r="C437" s="67"/>
      <c r="D437" s="68">
        <v>619.9920838514728</v>
      </c>
      <c r="E437" s="70"/>
      <c r="F437" s="97" t="str">
        <f>HYPERLINK("https://i.ytimg.com/vi/99pUH7_L0XY/default.jpg")</f>
        <v>https://i.ytimg.com/vi/99pUH7_L0XY/default.jpg</v>
      </c>
      <c r="G437" s="120" t="s">
        <v>52</v>
      </c>
      <c r="H437" s="71" t="s">
        <v>1575</v>
      </c>
      <c r="I437" s="72"/>
      <c r="J437" s="72" t="s">
        <v>159</v>
      </c>
      <c r="K437" s="71" t="s">
        <v>1575</v>
      </c>
      <c r="L437" s="75">
        <v>213.72340425531914</v>
      </c>
      <c r="M437" s="76">
        <v>275.8040771484375</v>
      </c>
      <c r="N437" s="76">
        <v>1465.363037109375</v>
      </c>
      <c r="O437" s="77"/>
      <c r="P437" s="78"/>
      <c r="Q437" s="78"/>
      <c r="R437" s="82"/>
      <c r="S437" s="48"/>
      <c r="T437" s="48"/>
      <c r="U437" s="49"/>
      <c r="V437" s="49"/>
      <c r="W437" s="49"/>
      <c r="X437" s="49"/>
      <c r="Y437" s="49"/>
      <c r="Z437" s="49"/>
      <c r="AA437" s="73">
        <v>437</v>
      </c>
      <c r="AB437" s="73"/>
      <c r="AC437" s="74"/>
      <c r="AD437" s="80" t="s">
        <v>1575</v>
      </c>
      <c r="AE437" s="80" t="s">
        <v>2220</v>
      </c>
      <c r="AF437" s="80" t="s">
        <v>2805</v>
      </c>
      <c r="AG437" s="80" t="s">
        <v>3312</v>
      </c>
      <c r="AH437" s="80" t="s">
        <v>3990</v>
      </c>
      <c r="AI437" s="80">
        <v>12906</v>
      </c>
      <c r="AJ437" s="80">
        <v>3</v>
      </c>
      <c r="AK437" s="80">
        <v>24</v>
      </c>
      <c r="AL437" s="80">
        <v>8</v>
      </c>
      <c r="AM437" s="80" t="s">
        <v>4098</v>
      </c>
      <c r="AN437" s="96" t="str">
        <f>HYPERLINK("https://www.youtube.com/watch?v=99pUH7_L0XY")</f>
        <v>https://www.youtube.com/watch?v=99pUH7_L0XY</v>
      </c>
      <c r="AO437" s="80" t="e">
        <f>REPLACE(INDEX(GroupVertices[Group],MATCH(Vertices[[#This Row],[Vertex]],GroupVertices[Vertex],0)),1,1,"")</f>
        <v>#N/A</v>
      </c>
      <c r="AP437" s="48"/>
      <c r="AQ437" s="49"/>
      <c r="AR437" s="48"/>
      <c r="AS437" s="49"/>
      <c r="AT437" s="48"/>
      <c r="AU437" s="49"/>
      <c r="AV437" s="48"/>
      <c r="AW437" s="49"/>
      <c r="AX437" s="48"/>
      <c r="AY437" s="48"/>
      <c r="AZ437" s="48"/>
      <c r="BA437" s="48"/>
      <c r="BB437" s="48"/>
      <c r="BC437" s="2"/>
      <c r="BD437" s="3"/>
      <c r="BE437" s="3"/>
      <c r="BF437" s="3"/>
      <c r="BG437" s="3"/>
    </row>
    <row r="438" spans="1:59" ht="15">
      <c r="A438" s="66" t="s">
        <v>264</v>
      </c>
      <c r="B438" s="67" t="s">
        <v>4461</v>
      </c>
      <c r="C438" s="67"/>
      <c r="D438" s="68">
        <v>610.4218097013736</v>
      </c>
      <c r="E438" s="70"/>
      <c r="F438" s="97" t="str">
        <f>HYPERLINK("https://i.ytimg.com/vi/_m8knhgUrF4/default.jpg")</f>
        <v>https://i.ytimg.com/vi/_m8knhgUrF4/default.jpg</v>
      </c>
      <c r="G438" s="120" t="s">
        <v>52</v>
      </c>
      <c r="H438" s="71" t="s">
        <v>959</v>
      </c>
      <c r="I438" s="72"/>
      <c r="J438" s="72" t="s">
        <v>159</v>
      </c>
      <c r="K438" s="71" t="s">
        <v>959</v>
      </c>
      <c r="L438" s="75">
        <v>213.72340425531914</v>
      </c>
      <c r="M438" s="76">
        <v>6539.37841796875</v>
      </c>
      <c r="N438" s="76">
        <v>8973.521484375</v>
      </c>
      <c r="O438" s="77"/>
      <c r="P438" s="78"/>
      <c r="Q438" s="78"/>
      <c r="R438" s="82"/>
      <c r="S438" s="48"/>
      <c r="T438" s="48"/>
      <c r="U438" s="49"/>
      <c r="V438" s="49"/>
      <c r="W438" s="49"/>
      <c r="X438" s="49"/>
      <c r="Y438" s="49"/>
      <c r="Z438" s="49"/>
      <c r="AA438" s="73">
        <v>438</v>
      </c>
      <c r="AB438" s="73"/>
      <c r="AC438" s="74"/>
      <c r="AD438" s="80" t="s">
        <v>959</v>
      </c>
      <c r="AE438" s="80" t="s">
        <v>1684</v>
      </c>
      <c r="AF438" s="80" t="s">
        <v>2318</v>
      </c>
      <c r="AG438" s="80" t="s">
        <v>2897</v>
      </c>
      <c r="AH438" s="80" t="s">
        <v>3374</v>
      </c>
      <c r="AI438" s="80">
        <v>11587</v>
      </c>
      <c r="AJ438" s="80">
        <v>16</v>
      </c>
      <c r="AK438" s="80">
        <v>266</v>
      </c>
      <c r="AL438" s="80">
        <v>8</v>
      </c>
      <c r="AM438" s="80" t="s">
        <v>4098</v>
      </c>
      <c r="AN438" s="96" t="str">
        <f>HYPERLINK("https://www.youtube.com/watch?v=_m8knhgUrF4")</f>
        <v>https://www.youtube.com/watch?v=_m8knhgUrF4</v>
      </c>
      <c r="AO438" s="80" t="e">
        <f>REPLACE(INDEX(GroupVertices[Group],MATCH(Vertices[[#This Row],[Vertex]],GroupVertices[Vertex],0)),1,1,"")</f>
        <v>#N/A</v>
      </c>
      <c r="AP438" s="48"/>
      <c r="AQ438" s="49"/>
      <c r="AR438" s="48"/>
      <c r="AS438" s="49"/>
      <c r="AT438" s="48"/>
      <c r="AU438" s="49"/>
      <c r="AV438" s="48"/>
      <c r="AW438" s="49"/>
      <c r="AX438" s="48"/>
      <c r="AY438" s="48"/>
      <c r="AZ438" s="48"/>
      <c r="BA438" s="48"/>
      <c r="BB438" s="48"/>
      <c r="BC438" s="2"/>
      <c r="BD438" s="3"/>
      <c r="BE438" s="3"/>
      <c r="BF438" s="3"/>
      <c r="BG438" s="3"/>
    </row>
    <row r="439" spans="1:59" ht="15">
      <c r="A439" s="66" t="s">
        <v>640</v>
      </c>
      <c r="B439" s="67" t="s">
        <v>4461</v>
      </c>
      <c r="C439" s="67"/>
      <c r="D439" s="68">
        <v>527.8707045775805</v>
      </c>
      <c r="E439" s="70"/>
      <c r="F439" s="97" t="str">
        <f>HYPERLINK("https://i.ytimg.com/vi/10HCabcodfU/default.jpg")</f>
        <v>https://i.ytimg.com/vi/10HCabcodfU/default.jpg</v>
      </c>
      <c r="G439" s="120" t="s">
        <v>52</v>
      </c>
      <c r="H439" s="71" t="s">
        <v>1380</v>
      </c>
      <c r="I439" s="72"/>
      <c r="J439" s="72" t="s">
        <v>159</v>
      </c>
      <c r="K439" s="71" t="s">
        <v>1380</v>
      </c>
      <c r="L439" s="75">
        <v>213.72340425531914</v>
      </c>
      <c r="M439" s="76">
        <v>182.04385375976562</v>
      </c>
      <c r="N439" s="76">
        <v>6195.5107421875</v>
      </c>
      <c r="O439" s="77"/>
      <c r="P439" s="78"/>
      <c r="Q439" s="78"/>
      <c r="R439" s="82"/>
      <c r="S439" s="48"/>
      <c r="T439" s="48"/>
      <c r="U439" s="49"/>
      <c r="V439" s="49"/>
      <c r="W439" s="49"/>
      <c r="X439" s="49"/>
      <c r="Y439" s="49"/>
      <c r="Z439" s="49"/>
      <c r="AA439" s="73">
        <v>439</v>
      </c>
      <c r="AB439" s="73"/>
      <c r="AC439" s="74"/>
      <c r="AD439" s="80" t="s">
        <v>1380</v>
      </c>
      <c r="AE439" s="80" t="s">
        <v>2045</v>
      </c>
      <c r="AF439" s="80" t="s">
        <v>2639</v>
      </c>
      <c r="AG439" s="80" t="s">
        <v>3177</v>
      </c>
      <c r="AH439" s="80" t="s">
        <v>3792</v>
      </c>
      <c r="AI439" s="80">
        <v>4572</v>
      </c>
      <c r="AJ439" s="80">
        <v>0</v>
      </c>
      <c r="AK439" s="80">
        <v>13</v>
      </c>
      <c r="AL439" s="80">
        <v>8</v>
      </c>
      <c r="AM439" s="80" t="s">
        <v>4098</v>
      </c>
      <c r="AN439" s="96" t="str">
        <f>HYPERLINK("https://www.youtube.com/watch?v=10HCabcodfU")</f>
        <v>https://www.youtube.com/watch?v=10HCabcodfU</v>
      </c>
      <c r="AO439" s="80" t="e">
        <f>REPLACE(INDEX(GroupVertices[Group],MATCH(Vertices[[#This Row],[Vertex]],GroupVertices[Vertex],0)),1,1,"")</f>
        <v>#N/A</v>
      </c>
      <c r="AP439" s="48"/>
      <c r="AQ439" s="49"/>
      <c r="AR439" s="48"/>
      <c r="AS439" s="49"/>
      <c r="AT439" s="48"/>
      <c r="AU439" s="49"/>
      <c r="AV439" s="48"/>
      <c r="AW439" s="49"/>
      <c r="AX439" s="48"/>
      <c r="AY439" s="48"/>
      <c r="AZ439" s="48"/>
      <c r="BA439" s="48"/>
      <c r="BB439" s="48"/>
      <c r="BC439" s="2"/>
      <c r="BD439" s="3"/>
      <c r="BE439" s="3"/>
      <c r="BF439" s="3"/>
      <c r="BG439" s="3"/>
    </row>
    <row r="440" spans="1:59" ht="15">
      <c r="A440" s="66" t="s">
        <v>706</v>
      </c>
      <c r="B440" s="67" t="s">
        <v>4461</v>
      </c>
      <c r="C440" s="67"/>
      <c r="D440" s="68">
        <v>521.5336912099007</v>
      </c>
      <c r="E440" s="70"/>
      <c r="F440" s="97" t="str">
        <f>HYPERLINK("https://i.ytimg.com/vi/ZYLWHRa8Et4/default.jpg")</f>
        <v>https://i.ytimg.com/vi/ZYLWHRa8Et4/default.jpg</v>
      </c>
      <c r="G440" s="120" t="s">
        <v>52</v>
      </c>
      <c r="H440" s="71" t="s">
        <v>1447</v>
      </c>
      <c r="I440" s="72"/>
      <c r="J440" s="72" t="s">
        <v>159</v>
      </c>
      <c r="K440" s="71" t="s">
        <v>1447</v>
      </c>
      <c r="L440" s="75">
        <v>213.72340425531914</v>
      </c>
      <c r="M440" s="76">
        <v>7120.107421875</v>
      </c>
      <c r="N440" s="76">
        <v>6908.078125</v>
      </c>
      <c r="O440" s="77"/>
      <c r="P440" s="78"/>
      <c r="Q440" s="78"/>
      <c r="R440" s="82"/>
      <c r="S440" s="48"/>
      <c r="T440" s="48"/>
      <c r="U440" s="49"/>
      <c r="V440" s="49"/>
      <c r="W440" s="49"/>
      <c r="X440" s="49"/>
      <c r="Y440" s="49"/>
      <c r="Z440" s="49"/>
      <c r="AA440" s="73">
        <v>440</v>
      </c>
      <c r="AB440" s="73"/>
      <c r="AC440" s="74"/>
      <c r="AD440" s="80" t="s">
        <v>1447</v>
      </c>
      <c r="AE440" s="80" t="s">
        <v>2105</v>
      </c>
      <c r="AF440" s="80" t="s">
        <v>2696</v>
      </c>
      <c r="AG440" s="80" t="s">
        <v>3227</v>
      </c>
      <c r="AH440" s="80" t="s">
        <v>3860</v>
      </c>
      <c r="AI440" s="80">
        <v>4257</v>
      </c>
      <c r="AJ440" s="80">
        <v>1</v>
      </c>
      <c r="AK440" s="80">
        <v>13</v>
      </c>
      <c r="AL440" s="80">
        <v>8</v>
      </c>
      <c r="AM440" s="80" t="s">
        <v>4098</v>
      </c>
      <c r="AN440" s="96" t="str">
        <f>HYPERLINK("https://www.youtube.com/watch?v=ZYLWHRa8Et4")</f>
        <v>https://www.youtube.com/watch?v=ZYLWHRa8Et4</v>
      </c>
      <c r="AO440" s="80" t="e">
        <f>REPLACE(INDEX(GroupVertices[Group],MATCH(Vertices[[#This Row],[Vertex]],GroupVertices[Vertex],0)),1,1,"")</f>
        <v>#N/A</v>
      </c>
      <c r="AP440" s="48"/>
      <c r="AQ440" s="49"/>
      <c r="AR440" s="48"/>
      <c r="AS440" s="49"/>
      <c r="AT440" s="48"/>
      <c r="AU440" s="49"/>
      <c r="AV440" s="48"/>
      <c r="AW440" s="49"/>
      <c r="AX440" s="48"/>
      <c r="AY440" s="48"/>
      <c r="AZ440" s="48"/>
      <c r="BA440" s="48"/>
      <c r="BB440" s="48"/>
      <c r="BC440" s="2"/>
      <c r="BD440" s="3"/>
      <c r="BE440" s="3"/>
      <c r="BF440" s="3"/>
      <c r="BG440" s="3"/>
    </row>
    <row r="441" spans="1:59" ht="15">
      <c r="A441" s="66" t="s">
        <v>801</v>
      </c>
      <c r="B441" s="67" t="s">
        <v>4461</v>
      </c>
      <c r="C441" s="67"/>
      <c r="D441" s="68">
        <v>713.0478493123517</v>
      </c>
      <c r="E441" s="70"/>
      <c r="F441" s="97" t="str">
        <f>HYPERLINK("https://i.ytimg.com/vi/JBgB2eqLXnY/default.jpg")</f>
        <v>https://i.ytimg.com/vi/JBgB2eqLXnY/default.jpg</v>
      </c>
      <c r="G441" s="120" t="s">
        <v>52</v>
      </c>
      <c r="H441" s="71" t="s">
        <v>1541</v>
      </c>
      <c r="I441" s="72"/>
      <c r="J441" s="72" t="s">
        <v>159</v>
      </c>
      <c r="K441" s="71" t="s">
        <v>1541</v>
      </c>
      <c r="L441" s="75">
        <v>213.72340425531914</v>
      </c>
      <c r="M441" s="76">
        <v>5542.43408203125</v>
      </c>
      <c r="N441" s="76">
        <v>7781.7421875</v>
      </c>
      <c r="O441" s="77"/>
      <c r="P441" s="78"/>
      <c r="Q441" s="78"/>
      <c r="R441" s="82"/>
      <c r="S441" s="48"/>
      <c r="T441" s="48"/>
      <c r="U441" s="49"/>
      <c r="V441" s="49"/>
      <c r="W441" s="49"/>
      <c r="X441" s="49"/>
      <c r="Y441" s="49"/>
      <c r="Z441" s="49"/>
      <c r="AA441" s="73">
        <v>441</v>
      </c>
      <c r="AB441" s="73"/>
      <c r="AC441" s="74"/>
      <c r="AD441" s="80" t="s">
        <v>1541</v>
      </c>
      <c r="AE441" s="80" t="s">
        <v>2190</v>
      </c>
      <c r="AF441" s="80" t="s">
        <v>2776</v>
      </c>
      <c r="AG441" s="80" t="s">
        <v>3292</v>
      </c>
      <c r="AH441" s="80" t="s">
        <v>3955</v>
      </c>
      <c r="AI441" s="80">
        <v>36817</v>
      </c>
      <c r="AJ441" s="80">
        <v>46</v>
      </c>
      <c r="AK441" s="80">
        <v>328</v>
      </c>
      <c r="AL441" s="80">
        <v>7</v>
      </c>
      <c r="AM441" s="80" t="s">
        <v>4098</v>
      </c>
      <c r="AN441" s="96" t="str">
        <f>HYPERLINK("https://www.youtube.com/watch?v=JBgB2eqLXnY")</f>
        <v>https://www.youtube.com/watch?v=JBgB2eqLXnY</v>
      </c>
      <c r="AO441" s="80" t="e">
        <f>REPLACE(INDEX(GroupVertices[Group],MATCH(Vertices[[#This Row],[Vertex]],GroupVertices[Vertex],0)),1,1,"")</f>
        <v>#N/A</v>
      </c>
      <c r="AP441" s="48"/>
      <c r="AQ441" s="49"/>
      <c r="AR441" s="48"/>
      <c r="AS441" s="49"/>
      <c r="AT441" s="48"/>
      <c r="AU441" s="49"/>
      <c r="AV441" s="48"/>
      <c r="AW441" s="49"/>
      <c r="AX441" s="48"/>
      <c r="AY441" s="48"/>
      <c r="AZ441" s="48"/>
      <c r="BA441" s="48"/>
      <c r="BB441" s="48"/>
      <c r="BC441" s="2"/>
      <c r="BD441" s="3"/>
      <c r="BE441" s="3"/>
      <c r="BF441" s="3"/>
      <c r="BG441" s="3"/>
    </row>
    <row r="442" spans="1:59" ht="15">
      <c r="A442" s="66" t="s">
        <v>339</v>
      </c>
      <c r="B442" s="67" t="s">
        <v>4461</v>
      </c>
      <c r="C442" s="67"/>
      <c r="D442" s="68">
        <v>705.7412201557052</v>
      </c>
      <c r="E442" s="70"/>
      <c r="F442" s="97" t="str">
        <f>HYPERLINK("https://i.ytimg.com/vi/f5QEEU0xwQ0/default.jpg")</f>
        <v>https://i.ytimg.com/vi/f5QEEU0xwQ0/default.jpg</v>
      </c>
      <c r="G442" s="120" t="s">
        <v>52</v>
      </c>
      <c r="H442" s="71" t="s">
        <v>1042</v>
      </c>
      <c r="I442" s="72"/>
      <c r="J442" s="72" t="s">
        <v>159</v>
      </c>
      <c r="K442" s="71" t="s">
        <v>1042</v>
      </c>
      <c r="L442" s="75">
        <v>213.72340425531914</v>
      </c>
      <c r="M442" s="76">
        <v>7193.0888671875</v>
      </c>
      <c r="N442" s="76">
        <v>3438.96240234375</v>
      </c>
      <c r="O442" s="77"/>
      <c r="P442" s="78"/>
      <c r="Q442" s="78"/>
      <c r="R442" s="82"/>
      <c r="S442" s="48"/>
      <c r="T442" s="48"/>
      <c r="U442" s="49"/>
      <c r="V442" s="49"/>
      <c r="W442" s="49"/>
      <c r="X442" s="49"/>
      <c r="Y442" s="49"/>
      <c r="Z442" s="49"/>
      <c r="AA442" s="73">
        <v>442</v>
      </c>
      <c r="AB442" s="73"/>
      <c r="AC442" s="74"/>
      <c r="AD442" s="80" t="s">
        <v>1042</v>
      </c>
      <c r="AE442" s="80" t="s">
        <v>1754</v>
      </c>
      <c r="AF442" s="80" t="s">
        <v>2383</v>
      </c>
      <c r="AG442" s="80" t="s">
        <v>2969</v>
      </c>
      <c r="AH442" s="80" t="s">
        <v>3457</v>
      </c>
      <c r="AI442" s="80">
        <v>33908</v>
      </c>
      <c r="AJ442" s="80">
        <v>20</v>
      </c>
      <c r="AK442" s="80">
        <v>176</v>
      </c>
      <c r="AL442" s="80">
        <v>7</v>
      </c>
      <c r="AM442" s="80" t="s">
        <v>4098</v>
      </c>
      <c r="AN442" s="96" t="str">
        <f>HYPERLINK("https://www.youtube.com/watch?v=f5QEEU0xwQ0")</f>
        <v>https://www.youtube.com/watch?v=f5QEEU0xwQ0</v>
      </c>
      <c r="AO442" s="80" t="e">
        <f>REPLACE(INDEX(GroupVertices[Group],MATCH(Vertices[[#This Row],[Vertex]],GroupVertices[Vertex],0)),1,1,"")</f>
        <v>#N/A</v>
      </c>
      <c r="AP442" s="48"/>
      <c r="AQ442" s="49"/>
      <c r="AR442" s="48"/>
      <c r="AS442" s="49"/>
      <c r="AT442" s="48"/>
      <c r="AU442" s="49"/>
      <c r="AV442" s="48"/>
      <c r="AW442" s="49"/>
      <c r="AX442" s="48"/>
      <c r="AY442" s="48"/>
      <c r="AZ442" s="48"/>
      <c r="BA442" s="48"/>
      <c r="BB442" s="48"/>
      <c r="BC442" s="2"/>
      <c r="BD442" s="3"/>
      <c r="BE442" s="3"/>
      <c r="BF442" s="3"/>
      <c r="BG442" s="3"/>
    </row>
    <row r="443" spans="1:59" ht="15">
      <c r="A443" s="66" t="s">
        <v>376</v>
      </c>
      <c r="B443" s="67" t="s">
        <v>4461</v>
      </c>
      <c r="C443" s="67"/>
      <c r="D443" s="68">
        <v>696.2828954451388</v>
      </c>
      <c r="E443" s="70"/>
      <c r="F443" s="97" t="str">
        <f>HYPERLINK("https://i.ytimg.com/vi/WP-cbfC3j6A/default.jpg")</f>
        <v>https://i.ytimg.com/vi/WP-cbfC3j6A/default.jpg</v>
      </c>
      <c r="G443" s="120" t="s">
        <v>52</v>
      </c>
      <c r="H443" s="71" t="s">
        <v>1083</v>
      </c>
      <c r="I443" s="72"/>
      <c r="J443" s="72" t="s">
        <v>159</v>
      </c>
      <c r="K443" s="71" t="s">
        <v>1083</v>
      </c>
      <c r="L443" s="75">
        <v>213.72340425531914</v>
      </c>
      <c r="M443" s="76">
        <v>7436.07373046875</v>
      </c>
      <c r="N443" s="76">
        <v>5707.9658203125</v>
      </c>
      <c r="O443" s="77"/>
      <c r="P443" s="78"/>
      <c r="Q443" s="78"/>
      <c r="R443" s="82"/>
      <c r="S443" s="48"/>
      <c r="T443" s="48"/>
      <c r="U443" s="49"/>
      <c r="V443" s="49"/>
      <c r="W443" s="49"/>
      <c r="X443" s="49"/>
      <c r="Y443" s="49"/>
      <c r="Z443" s="49"/>
      <c r="AA443" s="73">
        <v>443</v>
      </c>
      <c r="AB443" s="73"/>
      <c r="AC443" s="74"/>
      <c r="AD443" s="80" t="s">
        <v>1083</v>
      </c>
      <c r="AE443" s="80" t="s">
        <v>1791</v>
      </c>
      <c r="AF443" s="80" t="s">
        <v>1083</v>
      </c>
      <c r="AG443" s="80" t="s">
        <v>2991</v>
      </c>
      <c r="AH443" s="80" t="s">
        <v>3496</v>
      </c>
      <c r="AI443" s="80">
        <v>30481</v>
      </c>
      <c r="AJ443" s="80">
        <v>25</v>
      </c>
      <c r="AK443" s="80">
        <v>188</v>
      </c>
      <c r="AL443" s="80">
        <v>7</v>
      </c>
      <c r="AM443" s="80" t="s">
        <v>4098</v>
      </c>
      <c r="AN443" s="96" t="str">
        <f>HYPERLINK("https://www.youtube.com/watch?v=WP-cbfC3j6A")</f>
        <v>https://www.youtube.com/watch?v=WP-cbfC3j6A</v>
      </c>
      <c r="AO443" s="80" t="e">
        <f>REPLACE(INDEX(GroupVertices[Group],MATCH(Vertices[[#This Row],[Vertex]],GroupVertices[Vertex],0)),1,1,"")</f>
        <v>#N/A</v>
      </c>
      <c r="AP443" s="48"/>
      <c r="AQ443" s="49"/>
      <c r="AR443" s="48"/>
      <c r="AS443" s="49"/>
      <c r="AT443" s="48"/>
      <c r="AU443" s="49"/>
      <c r="AV443" s="48"/>
      <c r="AW443" s="49"/>
      <c r="AX443" s="48"/>
      <c r="AY443" s="48"/>
      <c r="AZ443" s="48"/>
      <c r="BA443" s="48"/>
      <c r="BB443" s="48"/>
      <c r="BC443" s="2"/>
      <c r="BD443" s="3"/>
      <c r="BE443" s="3"/>
      <c r="BF443" s="3"/>
      <c r="BG443" s="3"/>
    </row>
    <row r="444" spans="1:59" ht="15">
      <c r="A444" s="66" t="s">
        <v>330</v>
      </c>
      <c r="B444" s="67" t="s">
        <v>4461</v>
      </c>
      <c r="C444" s="67"/>
      <c r="D444" s="68">
        <v>434.0534184321357</v>
      </c>
      <c r="E444" s="70"/>
      <c r="F444" s="97" t="str">
        <f>HYPERLINK("https://i.ytimg.com/vi/CnnrhqYC_Zg/default.jpg")</f>
        <v>https://i.ytimg.com/vi/CnnrhqYC_Zg/default.jpg</v>
      </c>
      <c r="G444" s="120" t="s">
        <v>52</v>
      </c>
      <c r="H444" s="71" t="s">
        <v>1032</v>
      </c>
      <c r="I444" s="72"/>
      <c r="J444" s="72" t="s">
        <v>159</v>
      </c>
      <c r="K444" s="71" t="s">
        <v>1032</v>
      </c>
      <c r="L444" s="75">
        <v>213.72340425531914</v>
      </c>
      <c r="M444" s="76">
        <v>7953.39453125</v>
      </c>
      <c r="N444" s="76">
        <v>4177.1328125</v>
      </c>
      <c r="O444" s="77"/>
      <c r="P444" s="78"/>
      <c r="Q444" s="78"/>
      <c r="R444" s="82"/>
      <c r="S444" s="48"/>
      <c r="T444" s="48"/>
      <c r="U444" s="49"/>
      <c r="V444" s="49"/>
      <c r="W444" s="49"/>
      <c r="X444" s="49"/>
      <c r="Y444" s="49"/>
      <c r="Z444" s="49"/>
      <c r="AA444" s="73">
        <v>444</v>
      </c>
      <c r="AB444" s="73"/>
      <c r="AC444" s="74"/>
      <c r="AD444" s="80" t="s">
        <v>1032</v>
      </c>
      <c r="AE444" s="80"/>
      <c r="AF444" s="80"/>
      <c r="AG444" s="80" t="s">
        <v>2960</v>
      </c>
      <c r="AH444" s="80" t="s">
        <v>3447</v>
      </c>
      <c r="AI444" s="80">
        <v>1589</v>
      </c>
      <c r="AJ444" s="80">
        <v>0</v>
      </c>
      <c r="AK444" s="80">
        <v>0</v>
      </c>
      <c r="AL444" s="80">
        <v>7</v>
      </c>
      <c r="AM444" s="80" t="s">
        <v>4098</v>
      </c>
      <c r="AN444" s="96" t="str">
        <f>HYPERLINK("https://www.youtube.com/watch?v=CnnrhqYC_Zg")</f>
        <v>https://www.youtube.com/watch?v=CnnrhqYC_Zg</v>
      </c>
      <c r="AO444" s="80" t="e">
        <f>REPLACE(INDEX(GroupVertices[Group],MATCH(Vertices[[#This Row],[Vertex]],GroupVertices[Vertex],0)),1,1,"")</f>
        <v>#N/A</v>
      </c>
      <c r="AP444" s="48"/>
      <c r="AQ444" s="49"/>
      <c r="AR444" s="48"/>
      <c r="AS444" s="49"/>
      <c r="AT444" s="48"/>
      <c r="AU444" s="49"/>
      <c r="AV444" s="48"/>
      <c r="AW444" s="49"/>
      <c r="AX444" s="48"/>
      <c r="AY444" s="48"/>
      <c r="AZ444" s="48"/>
      <c r="BA444" s="48"/>
      <c r="BB444" s="48"/>
      <c r="BC444" s="2"/>
      <c r="BD444" s="3"/>
      <c r="BE444" s="3"/>
      <c r="BF444" s="3"/>
      <c r="BG444" s="3"/>
    </row>
    <row r="445" spans="1:59" ht="15">
      <c r="A445" s="66" t="s">
        <v>454</v>
      </c>
      <c r="B445" s="67" t="s">
        <v>4461</v>
      </c>
      <c r="C445" s="67"/>
      <c r="D445" s="68">
        <v>362.16402662699153</v>
      </c>
      <c r="E445" s="70"/>
      <c r="F445" s="97" t="str">
        <f>HYPERLINK("https://i.ytimg.com/vi/gCiGK4Orxuo/default_live.jpg")</f>
        <v>https://i.ytimg.com/vi/gCiGK4Orxuo/default_live.jpg</v>
      </c>
      <c r="G445" s="120" t="s">
        <v>52</v>
      </c>
      <c r="H445" s="71" t="s">
        <v>1165</v>
      </c>
      <c r="I445" s="72"/>
      <c r="J445" s="72" t="s">
        <v>159</v>
      </c>
      <c r="K445" s="71" t="s">
        <v>1165</v>
      </c>
      <c r="L445" s="75">
        <v>213.72340425531914</v>
      </c>
      <c r="M445" s="76">
        <v>3687.549072265625</v>
      </c>
      <c r="N445" s="76">
        <v>2061.99267578125</v>
      </c>
      <c r="O445" s="77"/>
      <c r="P445" s="78"/>
      <c r="Q445" s="78"/>
      <c r="R445" s="82"/>
      <c r="S445" s="48"/>
      <c r="T445" s="48"/>
      <c r="U445" s="49"/>
      <c r="V445" s="49"/>
      <c r="W445" s="49"/>
      <c r="X445" s="49"/>
      <c r="Y445" s="49"/>
      <c r="Z445" s="49"/>
      <c r="AA445" s="73">
        <v>445</v>
      </c>
      <c r="AB445" s="73"/>
      <c r="AC445" s="74"/>
      <c r="AD445" s="80" t="s">
        <v>1165</v>
      </c>
      <c r="AE445" s="80"/>
      <c r="AF445" s="80" t="s">
        <v>2474</v>
      </c>
      <c r="AG445" s="80" t="s">
        <v>3032</v>
      </c>
      <c r="AH445" s="80" t="s">
        <v>3578</v>
      </c>
      <c r="AI445" s="80">
        <v>707</v>
      </c>
      <c r="AJ445" s="80">
        <v>0</v>
      </c>
      <c r="AK445" s="80">
        <v>91</v>
      </c>
      <c r="AL445" s="80">
        <v>7</v>
      </c>
      <c r="AM445" s="80" t="s">
        <v>4098</v>
      </c>
      <c r="AN445" s="96" t="str">
        <f>HYPERLINK("https://www.youtube.com/watch?v=gCiGK4Orxuo")</f>
        <v>https://www.youtube.com/watch?v=gCiGK4Orxuo</v>
      </c>
      <c r="AO445" s="80" t="e">
        <f>REPLACE(INDEX(GroupVertices[Group],MATCH(Vertices[[#This Row],[Vertex]],GroupVertices[Vertex],0)),1,1,"")</f>
        <v>#N/A</v>
      </c>
      <c r="AP445" s="48"/>
      <c r="AQ445" s="49"/>
      <c r="AR445" s="48"/>
      <c r="AS445" s="49"/>
      <c r="AT445" s="48"/>
      <c r="AU445" s="49"/>
      <c r="AV445" s="48"/>
      <c r="AW445" s="49"/>
      <c r="AX445" s="48"/>
      <c r="AY445" s="48"/>
      <c r="AZ445" s="48"/>
      <c r="BA445" s="48"/>
      <c r="BB445" s="48"/>
      <c r="BC445" s="2"/>
      <c r="BD445" s="3"/>
      <c r="BE445" s="3"/>
      <c r="BF445" s="3"/>
      <c r="BG445" s="3"/>
    </row>
    <row r="446" spans="1:59" ht="15">
      <c r="A446" s="66" t="s">
        <v>396</v>
      </c>
      <c r="B446" s="67" t="s">
        <v>4461</v>
      </c>
      <c r="C446" s="67"/>
      <c r="D446" s="68">
        <v>743.3192694321529</v>
      </c>
      <c r="E446" s="70"/>
      <c r="F446" s="97" t="str">
        <f>HYPERLINK("https://i.ytimg.com/vi/L7157MUvXQo/default.jpg")</f>
        <v>https://i.ytimg.com/vi/L7157MUvXQo/default.jpg</v>
      </c>
      <c r="G446" s="120" t="s">
        <v>52</v>
      </c>
      <c r="H446" s="71" t="s">
        <v>1103</v>
      </c>
      <c r="I446" s="72"/>
      <c r="J446" s="72" t="s">
        <v>159</v>
      </c>
      <c r="K446" s="71" t="s">
        <v>1103</v>
      </c>
      <c r="L446" s="75">
        <v>213.72340425531914</v>
      </c>
      <c r="M446" s="76">
        <v>5278.9150390625</v>
      </c>
      <c r="N446" s="76">
        <v>1335.4964599609375</v>
      </c>
      <c r="O446" s="77"/>
      <c r="P446" s="78"/>
      <c r="Q446" s="78"/>
      <c r="R446" s="82"/>
      <c r="S446" s="48"/>
      <c r="T446" s="48"/>
      <c r="U446" s="49"/>
      <c r="V446" s="49"/>
      <c r="W446" s="49"/>
      <c r="X446" s="49"/>
      <c r="Y446" s="49"/>
      <c r="Z446" s="49"/>
      <c r="AA446" s="73">
        <v>446</v>
      </c>
      <c r="AB446" s="73"/>
      <c r="AC446" s="74"/>
      <c r="AD446" s="80" t="s">
        <v>1103</v>
      </c>
      <c r="AE446" s="80" t="s">
        <v>1804</v>
      </c>
      <c r="AF446" s="80" t="s">
        <v>2428</v>
      </c>
      <c r="AG446" s="80" t="s">
        <v>2958</v>
      </c>
      <c r="AH446" s="80" t="s">
        <v>3516</v>
      </c>
      <c r="AI446" s="80">
        <v>51778</v>
      </c>
      <c r="AJ446" s="80">
        <v>8</v>
      </c>
      <c r="AK446" s="80">
        <v>142</v>
      </c>
      <c r="AL446" s="80">
        <v>6</v>
      </c>
      <c r="AM446" s="80" t="s">
        <v>4098</v>
      </c>
      <c r="AN446" s="96" t="str">
        <f>HYPERLINK("https://www.youtube.com/watch?v=L7157MUvXQo")</f>
        <v>https://www.youtube.com/watch?v=L7157MUvXQo</v>
      </c>
      <c r="AO446" s="80" t="e">
        <f>REPLACE(INDEX(GroupVertices[Group],MATCH(Vertices[[#This Row],[Vertex]],GroupVertices[Vertex],0)),1,1,"")</f>
        <v>#N/A</v>
      </c>
      <c r="AP446" s="48"/>
      <c r="AQ446" s="49"/>
      <c r="AR446" s="48"/>
      <c r="AS446" s="49"/>
      <c r="AT446" s="48"/>
      <c r="AU446" s="49"/>
      <c r="AV446" s="48"/>
      <c r="AW446" s="49"/>
      <c r="AX446" s="48"/>
      <c r="AY446" s="48"/>
      <c r="AZ446" s="48"/>
      <c r="BA446" s="48"/>
      <c r="BB446" s="48"/>
      <c r="BC446" s="2"/>
      <c r="BD446" s="3"/>
      <c r="BE446" s="3"/>
      <c r="BF446" s="3"/>
      <c r="BG446" s="3"/>
    </row>
    <row r="447" spans="1:59" ht="15">
      <c r="A447" s="66" t="s">
        <v>311</v>
      </c>
      <c r="B447" s="67" t="s">
        <v>4461</v>
      </c>
      <c r="C447" s="67"/>
      <c r="D447" s="68">
        <v>697.5178345184619</v>
      </c>
      <c r="E447" s="70"/>
      <c r="F447" s="97" t="str">
        <f>HYPERLINK("https://i.ytimg.com/vi/UHnmPu8Zevg/default.jpg")</f>
        <v>https://i.ytimg.com/vi/UHnmPu8Zevg/default.jpg</v>
      </c>
      <c r="G447" s="120" t="s">
        <v>52</v>
      </c>
      <c r="H447" s="71" t="s">
        <v>1011</v>
      </c>
      <c r="I447" s="72"/>
      <c r="J447" s="72" t="s">
        <v>159</v>
      </c>
      <c r="K447" s="71" t="s">
        <v>1011</v>
      </c>
      <c r="L447" s="75">
        <v>213.72340425531914</v>
      </c>
      <c r="M447" s="76">
        <v>5937.6484375</v>
      </c>
      <c r="N447" s="76">
        <v>4083.74755859375</v>
      </c>
      <c r="O447" s="77"/>
      <c r="P447" s="78"/>
      <c r="Q447" s="78"/>
      <c r="R447" s="82"/>
      <c r="S447" s="48"/>
      <c r="T447" s="48"/>
      <c r="U447" s="49"/>
      <c r="V447" s="49"/>
      <c r="W447" s="49"/>
      <c r="X447" s="49"/>
      <c r="Y447" s="49"/>
      <c r="Z447" s="49"/>
      <c r="AA447" s="73">
        <v>447</v>
      </c>
      <c r="AB447" s="73"/>
      <c r="AC447" s="74"/>
      <c r="AD447" s="80" t="s">
        <v>1011</v>
      </c>
      <c r="AE447" s="80" t="s">
        <v>1729</v>
      </c>
      <c r="AF447" s="80" t="s">
        <v>2362</v>
      </c>
      <c r="AG447" s="80" t="s">
        <v>2940</v>
      </c>
      <c r="AH447" s="80" t="s">
        <v>3426</v>
      </c>
      <c r="AI447" s="80">
        <v>30908</v>
      </c>
      <c r="AJ447" s="80">
        <v>15</v>
      </c>
      <c r="AK447" s="80">
        <v>239</v>
      </c>
      <c r="AL447" s="80">
        <v>6</v>
      </c>
      <c r="AM447" s="80" t="s">
        <v>4098</v>
      </c>
      <c r="AN447" s="96" t="str">
        <f>HYPERLINK("https://www.youtube.com/watch?v=UHnmPu8Zevg")</f>
        <v>https://www.youtube.com/watch?v=UHnmPu8Zevg</v>
      </c>
      <c r="AO447" s="80" t="e">
        <f>REPLACE(INDEX(GroupVertices[Group],MATCH(Vertices[[#This Row],[Vertex]],GroupVertices[Vertex],0)),1,1,"")</f>
        <v>#N/A</v>
      </c>
      <c r="AP447" s="48"/>
      <c r="AQ447" s="49"/>
      <c r="AR447" s="48"/>
      <c r="AS447" s="49"/>
      <c r="AT447" s="48"/>
      <c r="AU447" s="49"/>
      <c r="AV447" s="48"/>
      <c r="AW447" s="49"/>
      <c r="AX447" s="48"/>
      <c r="AY447" s="48"/>
      <c r="AZ447" s="48"/>
      <c r="BA447" s="48"/>
      <c r="BB447" s="48"/>
      <c r="BC447" s="2"/>
      <c r="BD447" s="3"/>
      <c r="BE447" s="3"/>
      <c r="BF447" s="3"/>
      <c r="BG447" s="3"/>
    </row>
    <row r="448" spans="1:59" ht="15">
      <c r="A448" s="66" t="s">
        <v>315</v>
      </c>
      <c r="B448" s="67" t="s">
        <v>4461</v>
      </c>
      <c r="C448" s="67"/>
      <c r="D448" s="68">
        <v>674.1625575082986</v>
      </c>
      <c r="E448" s="70"/>
      <c r="F448" s="97" t="str">
        <f>HYPERLINK("https://i.ytimg.com/vi/8SnOx8GhfuU/default.jpg")</f>
        <v>https://i.ytimg.com/vi/8SnOx8GhfuU/default.jpg</v>
      </c>
      <c r="G448" s="120" t="s">
        <v>52</v>
      </c>
      <c r="H448" s="71" t="s">
        <v>1015</v>
      </c>
      <c r="I448" s="72"/>
      <c r="J448" s="72" t="s">
        <v>159</v>
      </c>
      <c r="K448" s="71" t="s">
        <v>1015</v>
      </c>
      <c r="L448" s="75">
        <v>213.72340425531914</v>
      </c>
      <c r="M448" s="76">
        <v>5351.27490234375</v>
      </c>
      <c r="N448" s="76">
        <v>5329.138671875</v>
      </c>
      <c r="O448" s="77"/>
      <c r="P448" s="78"/>
      <c r="Q448" s="78"/>
      <c r="R448" s="82"/>
      <c r="S448" s="48"/>
      <c r="T448" s="48"/>
      <c r="U448" s="49"/>
      <c r="V448" s="49"/>
      <c r="W448" s="49"/>
      <c r="X448" s="49"/>
      <c r="Y448" s="49"/>
      <c r="Z448" s="49"/>
      <c r="AA448" s="73">
        <v>448</v>
      </c>
      <c r="AB448" s="73"/>
      <c r="AC448" s="74"/>
      <c r="AD448" s="80" t="s">
        <v>1015</v>
      </c>
      <c r="AE448" s="80" t="s">
        <v>1733</v>
      </c>
      <c r="AF448" s="80" t="s">
        <v>2366</v>
      </c>
      <c r="AG448" s="80" t="s">
        <v>2944</v>
      </c>
      <c r="AH448" s="80" t="s">
        <v>3430</v>
      </c>
      <c r="AI448" s="80">
        <v>23758</v>
      </c>
      <c r="AJ448" s="80">
        <v>43</v>
      </c>
      <c r="AK448" s="80">
        <v>262</v>
      </c>
      <c r="AL448" s="80">
        <v>6</v>
      </c>
      <c r="AM448" s="80" t="s">
        <v>4098</v>
      </c>
      <c r="AN448" s="96" t="str">
        <f>HYPERLINK("https://www.youtube.com/watch?v=8SnOx8GhfuU")</f>
        <v>https://www.youtube.com/watch?v=8SnOx8GhfuU</v>
      </c>
      <c r="AO448" s="80" t="e">
        <f>REPLACE(INDEX(GroupVertices[Group],MATCH(Vertices[[#This Row],[Vertex]],GroupVertices[Vertex],0)),1,1,"")</f>
        <v>#N/A</v>
      </c>
      <c r="AP448" s="48"/>
      <c r="AQ448" s="49"/>
      <c r="AR448" s="48"/>
      <c r="AS448" s="49"/>
      <c r="AT448" s="48"/>
      <c r="AU448" s="49"/>
      <c r="AV448" s="48"/>
      <c r="AW448" s="49"/>
      <c r="AX448" s="48"/>
      <c r="AY448" s="48"/>
      <c r="AZ448" s="48"/>
      <c r="BA448" s="48"/>
      <c r="BB448" s="48"/>
      <c r="BC448" s="2"/>
      <c r="BD448" s="3"/>
      <c r="BE448" s="3"/>
      <c r="BF448" s="3"/>
      <c r="BG448" s="3"/>
    </row>
    <row r="449" spans="1:59" ht="15">
      <c r="A449" s="66" t="s">
        <v>447</v>
      </c>
      <c r="B449" s="67" t="s">
        <v>4461</v>
      </c>
      <c r="C449" s="67"/>
      <c r="D449" s="68">
        <v>616.3556626415481</v>
      </c>
      <c r="E449" s="70"/>
      <c r="F449" s="97" t="str">
        <f>HYPERLINK("https://i.ytimg.com/vi/r3AUkcefWWY/default.jpg")</f>
        <v>https://i.ytimg.com/vi/r3AUkcefWWY/default.jpg</v>
      </c>
      <c r="G449" s="120" t="s">
        <v>52</v>
      </c>
      <c r="H449" s="71" t="s">
        <v>1156</v>
      </c>
      <c r="I449" s="72"/>
      <c r="J449" s="72" t="s">
        <v>159</v>
      </c>
      <c r="K449" s="71" t="s">
        <v>1156</v>
      </c>
      <c r="L449" s="75">
        <v>213.72340425531914</v>
      </c>
      <c r="M449" s="76">
        <v>2331.25732421875</v>
      </c>
      <c r="N449" s="76">
        <v>9854.505859375</v>
      </c>
      <c r="O449" s="77"/>
      <c r="P449" s="78"/>
      <c r="Q449" s="78"/>
      <c r="R449" s="82"/>
      <c r="S449" s="48"/>
      <c r="T449" s="48"/>
      <c r="U449" s="49"/>
      <c r="V449" s="49"/>
      <c r="W449" s="49"/>
      <c r="X449" s="49"/>
      <c r="Y449" s="49"/>
      <c r="Z449" s="49"/>
      <c r="AA449" s="73">
        <v>449</v>
      </c>
      <c r="AB449" s="73"/>
      <c r="AC449" s="74"/>
      <c r="AD449" s="80" t="s">
        <v>1156</v>
      </c>
      <c r="AE449" s="80" t="s">
        <v>1847</v>
      </c>
      <c r="AF449" s="80" t="s">
        <v>2467</v>
      </c>
      <c r="AG449" s="80" t="s">
        <v>3029</v>
      </c>
      <c r="AH449" s="80" t="s">
        <v>3569</v>
      </c>
      <c r="AI449" s="80">
        <v>12388</v>
      </c>
      <c r="AJ449" s="80">
        <v>9</v>
      </c>
      <c r="AK449" s="80">
        <v>44</v>
      </c>
      <c r="AL449" s="80">
        <v>6</v>
      </c>
      <c r="AM449" s="80" t="s">
        <v>4098</v>
      </c>
      <c r="AN449" s="96" t="str">
        <f>HYPERLINK("https://www.youtube.com/watch?v=r3AUkcefWWY")</f>
        <v>https://www.youtube.com/watch?v=r3AUkcefWWY</v>
      </c>
      <c r="AO449" s="80" t="e">
        <f>REPLACE(INDEX(GroupVertices[Group],MATCH(Vertices[[#This Row],[Vertex]],GroupVertices[Vertex],0)),1,1,"")</f>
        <v>#N/A</v>
      </c>
      <c r="AP449" s="48"/>
      <c r="AQ449" s="49"/>
      <c r="AR449" s="48"/>
      <c r="AS449" s="49"/>
      <c r="AT449" s="48"/>
      <c r="AU449" s="49"/>
      <c r="AV449" s="48"/>
      <c r="AW449" s="49"/>
      <c r="AX449" s="48"/>
      <c r="AY449" s="48"/>
      <c r="AZ449" s="48"/>
      <c r="BA449" s="48"/>
      <c r="BB449" s="48"/>
      <c r="BC449" s="2"/>
      <c r="BD449" s="3"/>
      <c r="BE449" s="3"/>
      <c r="BF449" s="3"/>
      <c r="BG449" s="3"/>
    </row>
    <row r="450" spans="1:59" ht="15">
      <c r="A450" s="66" t="s">
        <v>697</v>
      </c>
      <c r="B450" s="67" t="s">
        <v>4461</v>
      </c>
      <c r="C450" s="67"/>
      <c r="D450" s="68">
        <v>611.4803880201706</v>
      </c>
      <c r="E450" s="70"/>
      <c r="F450" s="97" t="str">
        <f>HYPERLINK("https://i.ytimg.com/vi/2SX5mufVuRM/default.jpg")</f>
        <v>https://i.ytimg.com/vi/2SX5mufVuRM/default.jpg</v>
      </c>
      <c r="G450" s="120" t="s">
        <v>52</v>
      </c>
      <c r="H450" s="71" t="s">
        <v>1438</v>
      </c>
      <c r="I450" s="72"/>
      <c r="J450" s="72" t="s">
        <v>159</v>
      </c>
      <c r="K450" s="71" t="s">
        <v>1438</v>
      </c>
      <c r="L450" s="75">
        <v>213.72340425531914</v>
      </c>
      <c r="M450" s="76">
        <v>7732.8603515625</v>
      </c>
      <c r="N450" s="76">
        <v>2990.655517578125</v>
      </c>
      <c r="O450" s="77"/>
      <c r="P450" s="78"/>
      <c r="Q450" s="78"/>
      <c r="R450" s="82"/>
      <c r="S450" s="48"/>
      <c r="T450" s="48"/>
      <c r="U450" s="49"/>
      <c r="V450" s="49"/>
      <c r="W450" s="49"/>
      <c r="X450" s="49"/>
      <c r="Y450" s="49"/>
      <c r="Z450" s="49"/>
      <c r="AA450" s="73">
        <v>450</v>
      </c>
      <c r="AB450" s="73"/>
      <c r="AC450" s="74"/>
      <c r="AD450" s="80" t="s">
        <v>1438</v>
      </c>
      <c r="AE450" s="80" t="s">
        <v>2095</v>
      </c>
      <c r="AF450" s="80" t="s">
        <v>2686</v>
      </c>
      <c r="AG450" s="80" t="s">
        <v>3207</v>
      </c>
      <c r="AH450" s="80" t="s">
        <v>3850</v>
      </c>
      <c r="AI450" s="80">
        <v>11726</v>
      </c>
      <c r="AJ450" s="80">
        <v>8</v>
      </c>
      <c r="AK450" s="80">
        <v>261</v>
      </c>
      <c r="AL450" s="80">
        <v>6</v>
      </c>
      <c r="AM450" s="80" t="s">
        <v>4098</v>
      </c>
      <c r="AN450" s="96" t="str">
        <f>HYPERLINK("https://www.youtube.com/watch?v=2SX5mufVuRM")</f>
        <v>https://www.youtube.com/watch?v=2SX5mufVuRM</v>
      </c>
      <c r="AO450" s="80" t="e">
        <f>REPLACE(INDEX(GroupVertices[Group],MATCH(Vertices[[#This Row],[Vertex]],GroupVertices[Vertex],0)),1,1,"")</f>
        <v>#N/A</v>
      </c>
      <c r="AP450" s="48"/>
      <c r="AQ450" s="49"/>
      <c r="AR450" s="48"/>
      <c r="AS450" s="49"/>
      <c r="AT450" s="48"/>
      <c r="AU450" s="49"/>
      <c r="AV450" s="48"/>
      <c r="AW450" s="49"/>
      <c r="AX450" s="48"/>
      <c r="AY450" s="48"/>
      <c r="AZ450" s="48"/>
      <c r="BA450" s="48"/>
      <c r="BB450" s="48"/>
      <c r="BC450" s="2"/>
      <c r="BD450" s="3"/>
      <c r="BE450" s="3"/>
      <c r="BF450" s="3"/>
      <c r="BG450" s="3"/>
    </row>
    <row r="451" spans="1:59" ht="15">
      <c r="A451" s="66" t="s">
        <v>542</v>
      </c>
      <c r="B451" s="67" t="s">
        <v>4461</v>
      </c>
      <c r="C451" s="67"/>
      <c r="D451" s="68">
        <v>603.7659338121134</v>
      </c>
      <c r="E451" s="70"/>
      <c r="F451" s="97" t="str">
        <f>HYPERLINK("https://i.ytimg.com/vi/5FX1FXYcNro/default.jpg")</f>
        <v>https://i.ytimg.com/vi/5FX1FXYcNro/default.jpg</v>
      </c>
      <c r="G451" s="120" t="s">
        <v>52</v>
      </c>
      <c r="H451" s="71" t="s">
        <v>1274</v>
      </c>
      <c r="I451" s="72"/>
      <c r="J451" s="72" t="s">
        <v>159</v>
      </c>
      <c r="K451" s="71" t="s">
        <v>1274</v>
      </c>
      <c r="L451" s="75">
        <v>213.72340425531914</v>
      </c>
      <c r="M451" s="76">
        <v>3204.10107421875</v>
      </c>
      <c r="N451" s="76">
        <v>7091.0908203125</v>
      </c>
      <c r="O451" s="77"/>
      <c r="P451" s="78"/>
      <c r="Q451" s="78"/>
      <c r="R451" s="82"/>
      <c r="S451" s="48"/>
      <c r="T451" s="48"/>
      <c r="U451" s="49"/>
      <c r="V451" s="49"/>
      <c r="W451" s="49"/>
      <c r="X451" s="49"/>
      <c r="Y451" s="49"/>
      <c r="Z451" s="49"/>
      <c r="AA451" s="73">
        <v>451</v>
      </c>
      <c r="AB451" s="73"/>
      <c r="AC451" s="74"/>
      <c r="AD451" s="80" t="s">
        <v>1274</v>
      </c>
      <c r="AE451" s="80" t="s">
        <v>1949</v>
      </c>
      <c r="AF451" s="80"/>
      <c r="AG451" s="80" t="s">
        <v>3107</v>
      </c>
      <c r="AH451" s="80" t="s">
        <v>3686</v>
      </c>
      <c r="AI451" s="80">
        <v>10750</v>
      </c>
      <c r="AJ451" s="80">
        <v>11</v>
      </c>
      <c r="AK451" s="80">
        <v>62</v>
      </c>
      <c r="AL451" s="80">
        <v>6</v>
      </c>
      <c r="AM451" s="80" t="s">
        <v>4098</v>
      </c>
      <c r="AN451" s="96" t="str">
        <f>HYPERLINK("https://www.youtube.com/watch?v=5FX1FXYcNro")</f>
        <v>https://www.youtube.com/watch?v=5FX1FXYcNro</v>
      </c>
      <c r="AO451" s="80" t="e">
        <f>REPLACE(INDEX(GroupVertices[Group],MATCH(Vertices[[#This Row],[Vertex]],GroupVertices[Vertex],0)),1,1,"")</f>
        <v>#N/A</v>
      </c>
      <c r="AP451" s="48"/>
      <c r="AQ451" s="49"/>
      <c r="AR451" s="48"/>
      <c r="AS451" s="49"/>
      <c r="AT451" s="48"/>
      <c r="AU451" s="49"/>
      <c r="AV451" s="48"/>
      <c r="AW451" s="49"/>
      <c r="AX451" s="48"/>
      <c r="AY451" s="48"/>
      <c r="AZ451" s="48"/>
      <c r="BA451" s="48"/>
      <c r="BB451" s="48"/>
      <c r="BC451" s="2"/>
      <c r="BD451" s="3"/>
      <c r="BE451" s="3"/>
      <c r="BF451" s="3"/>
      <c r="BG451" s="3"/>
    </row>
    <row r="452" spans="1:59" ht="15">
      <c r="A452" s="66" t="s">
        <v>553</v>
      </c>
      <c r="B452" s="67" t="s">
        <v>4461</v>
      </c>
      <c r="C452" s="67"/>
      <c r="D452" s="68">
        <v>590.8751398783735</v>
      </c>
      <c r="E452" s="70"/>
      <c r="F452" s="97" t="str">
        <f>HYPERLINK("https://i.ytimg.com/vi/b_qwazJWsZE/default.jpg")</f>
        <v>https://i.ytimg.com/vi/b_qwazJWsZE/default.jpg</v>
      </c>
      <c r="G452" s="120" t="s">
        <v>52</v>
      </c>
      <c r="H452" s="71" t="s">
        <v>1287</v>
      </c>
      <c r="I452" s="72"/>
      <c r="J452" s="72" t="s">
        <v>159</v>
      </c>
      <c r="K452" s="71" t="s">
        <v>1287</v>
      </c>
      <c r="L452" s="75">
        <v>213.72340425531914</v>
      </c>
      <c r="M452" s="76">
        <v>4214.3330078125</v>
      </c>
      <c r="N452" s="76">
        <v>3845.554931640625</v>
      </c>
      <c r="O452" s="77"/>
      <c r="P452" s="78"/>
      <c r="Q452" s="78"/>
      <c r="R452" s="82"/>
      <c r="S452" s="48"/>
      <c r="T452" s="48"/>
      <c r="U452" s="49"/>
      <c r="V452" s="49"/>
      <c r="W452" s="49"/>
      <c r="X452" s="49"/>
      <c r="Y452" s="49"/>
      <c r="Z452" s="49"/>
      <c r="AA452" s="73">
        <v>452</v>
      </c>
      <c r="AB452" s="73"/>
      <c r="AC452" s="74"/>
      <c r="AD452" s="80" t="s">
        <v>1287</v>
      </c>
      <c r="AE452" s="80" t="s">
        <v>1961</v>
      </c>
      <c r="AF452" s="80" t="s">
        <v>2567</v>
      </c>
      <c r="AG452" s="80" t="s">
        <v>3114</v>
      </c>
      <c r="AH452" s="80" t="s">
        <v>3699</v>
      </c>
      <c r="AI452" s="80">
        <v>9297</v>
      </c>
      <c r="AJ452" s="80">
        <v>3</v>
      </c>
      <c r="AK452" s="80">
        <v>18</v>
      </c>
      <c r="AL452" s="80">
        <v>6</v>
      </c>
      <c r="AM452" s="80" t="s">
        <v>4098</v>
      </c>
      <c r="AN452" s="96" t="str">
        <f>HYPERLINK("https://www.youtube.com/watch?v=b_qwazJWsZE")</f>
        <v>https://www.youtube.com/watch?v=b_qwazJWsZE</v>
      </c>
      <c r="AO452" s="80" t="e">
        <f>REPLACE(INDEX(GroupVertices[Group],MATCH(Vertices[[#This Row],[Vertex]],GroupVertices[Vertex],0)),1,1,"")</f>
        <v>#N/A</v>
      </c>
      <c r="AP452" s="48"/>
      <c r="AQ452" s="49"/>
      <c r="AR452" s="48"/>
      <c r="AS452" s="49"/>
      <c r="AT452" s="48"/>
      <c r="AU452" s="49"/>
      <c r="AV452" s="48"/>
      <c r="AW452" s="49"/>
      <c r="AX452" s="48"/>
      <c r="AY452" s="48"/>
      <c r="AZ452" s="48"/>
      <c r="BA452" s="48"/>
      <c r="BB452" s="48"/>
      <c r="BC452" s="2"/>
      <c r="BD452" s="3"/>
      <c r="BE452" s="3"/>
      <c r="BF452" s="3"/>
      <c r="BG452" s="3"/>
    </row>
    <row r="453" spans="1:59" ht="15">
      <c r="A453" s="66" t="s">
        <v>579</v>
      </c>
      <c r="B453" s="67" t="s">
        <v>4461</v>
      </c>
      <c r="C453" s="67"/>
      <c r="D453" s="68">
        <v>573.5660229099934</v>
      </c>
      <c r="E453" s="70"/>
      <c r="F453" s="97" t="str">
        <f>HYPERLINK("https://i.ytimg.com/vi/s0MzZMQislQ/default.jpg")</f>
        <v>https://i.ytimg.com/vi/s0MzZMQislQ/default.jpg</v>
      </c>
      <c r="G453" s="120" t="s">
        <v>52</v>
      </c>
      <c r="H453" s="71" t="s">
        <v>1314</v>
      </c>
      <c r="I453" s="72"/>
      <c r="J453" s="72" t="s">
        <v>159</v>
      </c>
      <c r="K453" s="71" t="s">
        <v>1314</v>
      </c>
      <c r="L453" s="75">
        <v>213.72340425531914</v>
      </c>
      <c r="M453" s="76">
        <v>8658.802734375</v>
      </c>
      <c r="N453" s="76">
        <v>6964.42431640625</v>
      </c>
      <c r="O453" s="77"/>
      <c r="P453" s="78"/>
      <c r="Q453" s="78"/>
      <c r="R453" s="82"/>
      <c r="S453" s="48"/>
      <c r="T453" s="48"/>
      <c r="U453" s="49"/>
      <c r="V453" s="49"/>
      <c r="W453" s="49"/>
      <c r="X453" s="49"/>
      <c r="Y453" s="49"/>
      <c r="Z453" s="49"/>
      <c r="AA453" s="73">
        <v>453</v>
      </c>
      <c r="AB453" s="73"/>
      <c r="AC453" s="74"/>
      <c r="AD453" s="80" t="s">
        <v>1314</v>
      </c>
      <c r="AE453" s="80"/>
      <c r="AF453" s="80" t="s">
        <v>1314</v>
      </c>
      <c r="AG453" s="80" t="s">
        <v>3128</v>
      </c>
      <c r="AH453" s="80" t="s">
        <v>3725</v>
      </c>
      <c r="AI453" s="80">
        <v>7650</v>
      </c>
      <c r="AJ453" s="80">
        <v>2</v>
      </c>
      <c r="AK453" s="80">
        <v>5</v>
      </c>
      <c r="AL453" s="80">
        <v>6</v>
      </c>
      <c r="AM453" s="80" t="s">
        <v>4098</v>
      </c>
      <c r="AN453" s="96" t="str">
        <f>HYPERLINK("https://www.youtube.com/watch?v=s0MzZMQislQ")</f>
        <v>https://www.youtube.com/watch?v=s0MzZMQislQ</v>
      </c>
      <c r="AO453" s="80" t="e">
        <f>REPLACE(INDEX(GroupVertices[Group],MATCH(Vertices[[#This Row],[Vertex]],GroupVertices[Vertex],0)),1,1,"")</f>
        <v>#N/A</v>
      </c>
      <c r="AP453" s="48"/>
      <c r="AQ453" s="49"/>
      <c r="AR453" s="48"/>
      <c r="AS453" s="49"/>
      <c r="AT453" s="48"/>
      <c r="AU453" s="49"/>
      <c r="AV453" s="48"/>
      <c r="AW453" s="49"/>
      <c r="AX453" s="48"/>
      <c r="AY453" s="48"/>
      <c r="AZ453" s="48"/>
      <c r="BA453" s="48"/>
      <c r="BB453" s="48"/>
      <c r="BC453" s="2"/>
      <c r="BD453" s="3"/>
      <c r="BE453" s="3"/>
      <c r="BF453" s="3"/>
      <c r="BG453" s="3"/>
    </row>
    <row r="454" spans="1:59" ht="15">
      <c r="A454" s="66" t="s">
        <v>839</v>
      </c>
      <c r="B454" s="67" t="s">
        <v>4461</v>
      </c>
      <c r="C454" s="67"/>
      <c r="D454" s="68">
        <v>796.4107844067418</v>
      </c>
      <c r="E454" s="70"/>
      <c r="F454" s="97" t="str">
        <f>HYPERLINK("https://i.ytimg.com/vi/i_sijj1NZFM/default.jpg")</f>
        <v>https://i.ytimg.com/vi/i_sijj1NZFM/default.jpg</v>
      </c>
      <c r="G454" s="120" t="s">
        <v>52</v>
      </c>
      <c r="H454" s="71" t="s">
        <v>1578</v>
      </c>
      <c r="I454" s="72"/>
      <c r="J454" s="72" t="s">
        <v>159</v>
      </c>
      <c r="K454" s="71" t="s">
        <v>1578</v>
      </c>
      <c r="L454" s="75">
        <v>213.72340425531914</v>
      </c>
      <c r="M454" s="76">
        <v>273.3310852050781</v>
      </c>
      <c r="N454" s="76">
        <v>1814.906982421875</v>
      </c>
      <c r="O454" s="77"/>
      <c r="P454" s="78"/>
      <c r="Q454" s="78"/>
      <c r="R454" s="82"/>
      <c r="S454" s="48"/>
      <c r="T454" s="48"/>
      <c r="U454" s="49"/>
      <c r="V454" s="49"/>
      <c r="W454" s="49"/>
      <c r="X454" s="49"/>
      <c r="Y454" s="49"/>
      <c r="Z454" s="49"/>
      <c r="AA454" s="73">
        <v>454</v>
      </c>
      <c r="AB454" s="73"/>
      <c r="AC454" s="74"/>
      <c r="AD454" s="80" t="s">
        <v>1578</v>
      </c>
      <c r="AE454" s="80" t="s">
        <v>2223</v>
      </c>
      <c r="AF454" s="80" t="s">
        <v>2808</v>
      </c>
      <c r="AG454" s="80" t="s">
        <v>3138</v>
      </c>
      <c r="AH454" s="80" t="s">
        <v>3993</v>
      </c>
      <c r="AI454" s="80">
        <v>94164</v>
      </c>
      <c r="AJ454" s="80">
        <v>18</v>
      </c>
      <c r="AK454" s="80">
        <v>101</v>
      </c>
      <c r="AL454" s="80">
        <v>5</v>
      </c>
      <c r="AM454" s="80" t="s">
        <v>4098</v>
      </c>
      <c r="AN454" s="96" t="str">
        <f>HYPERLINK("https://www.youtube.com/watch?v=i_sijj1NZFM")</f>
        <v>https://www.youtube.com/watch?v=i_sijj1NZFM</v>
      </c>
      <c r="AO454" s="80" t="e">
        <f>REPLACE(INDEX(GroupVertices[Group],MATCH(Vertices[[#This Row],[Vertex]],GroupVertices[Vertex],0)),1,1,"")</f>
        <v>#N/A</v>
      </c>
      <c r="AP454" s="48"/>
      <c r="AQ454" s="49"/>
      <c r="AR454" s="48"/>
      <c r="AS454" s="49"/>
      <c r="AT454" s="48"/>
      <c r="AU454" s="49"/>
      <c r="AV454" s="48"/>
      <c r="AW454" s="49"/>
      <c r="AX454" s="48"/>
      <c r="AY454" s="48"/>
      <c r="AZ454" s="48"/>
      <c r="BA454" s="48"/>
      <c r="BB454" s="48"/>
      <c r="BC454" s="2"/>
      <c r="BD454" s="3"/>
      <c r="BE454" s="3"/>
      <c r="BF454" s="3"/>
      <c r="BG454" s="3"/>
    </row>
    <row r="455" spans="1:59" ht="15">
      <c r="A455" s="66" t="s">
        <v>727</v>
      </c>
      <c r="B455" s="67" t="s">
        <v>4461</v>
      </c>
      <c r="C455" s="67"/>
      <c r="D455" s="68">
        <v>754.3594052561373</v>
      </c>
      <c r="E455" s="70"/>
      <c r="F455" s="97" t="str">
        <f>HYPERLINK("https://i.ytimg.com/vi/E5xPMW5fg48/default.jpg")</f>
        <v>https://i.ytimg.com/vi/E5xPMW5fg48/default.jpg</v>
      </c>
      <c r="G455" s="120" t="s">
        <v>52</v>
      </c>
      <c r="H455" s="71" t="s">
        <v>1468</v>
      </c>
      <c r="I455" s="72"/>
      <c r="J455" s="72" t="s">
        <v>159</v>
      </c>
      <c r="K455" s="71" t="s">
        <v>1468</v>
      </c>
      <c r="L455" s="75">
        <v>213.72340425531914</v>
      </c>
      <c r="M455" s="76">
        <v>7237.439453125</v>
      </c>
      <c r="N455" s="76">
        <v>7243.75146484375</v>
      </c>
      <c r="O455" s="77"/>
      <c r="P455" s="78"/>
      <c r="Q455" s="78"/>
      <c r="R455" s="82"/>
      <c r="S455" s="48"/>
      <c r="T455" s="48"/>
      <c r="U455" s="49"/>
      <c r="V455" s="49"/>
      <c r="W455" s="49"/>
      <c r="X455" s="49"/>
      <c r="Y455" s="49"/>
      <c r="Z455" s="49"/>
      <c r="AA455" s="73">
        <v>455</v>
      </c>
      <c r="AB455" s="73"/>
      <c r="AC455" s="74"/>
      <c r="AD455" s="80" t="s">
        <v>1468</v>
      </c>
      <c r="AE455" s="80" t="s">
        <v>2125</v>
      </c>
      <c r="AF455" s="80" t="s">
        <v>2715</v>
      </c>
      <c r="AG455" s="80" t="s">
        <v>3241</v>
      </c>
      <c r="AH455" s="80" t="s">
        <v>3881</v>
      </c>
      <c r="AI455" s="80">
        <v>58635</v>
      </c>
      <c r="AJ455" s="80">
        <v>10</v>
      </c>
      <c r="AK455" s="80">
        <v>177</v>
      </c>
      <c r="AL455" s="80">
        <v>5</v>
      </c>
      <c r="AM455" s="80" t="s">
        <v>4098</v>
      </c>
      <c r="AN455" s="96" t="str">
        <f>HYPERLINK("https://www.youtube.com/watch?v=E5xPMW5fg48")</f>
        <v>https://www.youtube.com/watch?v=E5xPMW5fg48</v>
      </c>
      <c r="AO455" s="80" t="e">
        <f>REPLACE(INDEX(GroupVertices[Group],MATCH(Vertices[[#This Row],[Vertex]],GroupVertices[Vertex],0)),1,1,"")</f>
        <v>#N/A</v>
      </c>
      <c r="AP455" s="48"/>
      <c r="AQ455" s="49"/>
      <c r="AR455" s="48"/>
      <c r="AS455" s="49"/>
      <c r="AT455" s="48"/>
      <c r="AU455" s="49"/>
      <c r="AV455" s="48"/>
      <c r="AW455" s="49"/>
      <c r="AX455" s="48"/>
      <c r="AY455" s="48"/>
      <c r="AZ455" s="48"/>
      <c r="BA455" s="48"/>
      <c r="BB455" s="48"/>
      <c r="BC455" s="2"/>
      <c r="BD455" s="3"/>
      <c r="BE455" s="3"/>
      <c r="BF455" s="3"/>
      <c r="BG455" s="3"/>
    </row>
    <row r="456" spans="1:59" ht="15">
      <c r="A456" s="66" t="s">
        <v>425</v>
      </c>
      <c r="B456" s="67" t="s">
        <v>4461</v>
      </c>
      <c r="C456" s="67"/>
      <c r="D456" s="68">
        <v>684.7651241095114</v>
      </c>
      <c r="E456" s="70"/>
      <c r="F456" s="97" t="str">
        <f>HYPERLINK("https://i.ytimg.com/vi/MGU7azCYFpw/default.jpg")</f>
        <v>https://i.ytimg.com/vi/MGU7azCYFpw/default.jpg</v>
      </c>
      <c r="G456" s="120" t="s">
        <v>52</v>
      </c>
      <c r="H456" s="71" t="s">
        <v>1133</v>
      </c>
      <c r="I456" s="72"/>
      <c r="J456" s="72" t="s">
        <v>159</v>
      </c>
      <c r="K456" s="71" t="s">
        <v>1133</v>
      </c>
      <c r="L456" s="75">
        <v>213.72340425531914</v>
      </c>
      <c r="M456" s="76">
        <v>8631.595703125</v>
      </c>
      <c r="N456" s="76">
        <v>5585.30859375</v>
      </c>
      <c r="O456" s="77"/>
      <c r="P456" s="78"/>
      <c r="Q456" s="78"/>
      <c r="R456" s="82"/>
      <c r="S456" s="48"/>
      <c r="T456" s="48"/>
      <c r="U456" s="49"/>
      <c r="V456" s="49"/>
      <c r="W456" s="49"/>
      <c r="X456" s="49"/>
      <c r="Y456" s="49"/>
      <c r="Z456" s="49"/>
      <c r="AA456" s="73">
        <v>456</v>
      </c>
      <c r="AB456" s="73"/>
      <c r="AC456" s="74"/>
      <c r="AD456" s="80" t="s">
        <v>1133</v>
      </c>
      <c r="AE456" s="80" t="s">
        <v>1829</v>
      </c>
      <c r="AF456" s="80" t="s">
        <v>2449</v>
      </c>
      <c r="AG456" s="80" t="s">
        <v>3016</v>
      </c>
      <c r="AH456" s="80" t="s">
        <v>3546</v>
      </c>
      <c r="AI456" s="80">
        <v>26772</v>
      </c>
      <c r="AJ456" s="80">
        <v>20</v>
      </c>
      <c r="AK456" s="80">
        <v>169</v>
      </c>
      <c r="AL456" s="80">
        <v>5</v>
      </c>
      <c r="AM456" s="80" t="s">
        <v>4098</v>
      </c>
      <c r="AN456" s="96" t="str">
        <f>HYPERLINK("https://www.youtube.com/watch?v=MGU7azCYFpw")</f>
        <v>https://www.youtube.com/watch?v=MGU7azCYFpw</v>
      </c>
      <c r="AO456" s="80" t="e">
        <f>REPLACE(INDEX(GroupVertices[Group],MATCH(Vertices[[#This Row],[Vertex]],GroupVertices[Vertex],0)),1,1,"")</f>
        <v>#N/A</v>
      </c>
      <c r="AP456" s="48"/>
      <c r="AQ456" s="49"/>
      <c r="AR456" s="48"/>
      <c r="AS456" s="49"/>
      <c r="AT456" s="48"/>
      <c r="AU456" s="49"/>
      <c r="AV456" s="48"/>
      <c r="AW456" s="49"/>
      <c r="AX456" s="48"/>
      <c r="AY456" s="48"/>
      <c r="AZ456" s="48"/>
      <c r="BA456" s="48"/>
      <c r="BB456" s="48"/>
      <c r="BC456" s="2"/>
      <c r="BD456" s="3"/>
      <c r="BE456" s="3"/>
      <c r="BF456" s="3"/>
      <c r="BG456" s="3"/>
    </row>
    <row r="457" spans="1:59" ht="15">
      <c r="A457" s="66" t="s">
        <v>610</v>
      </c>
      <c r="B457" s="67" t="s">
        <v>4461</v>
      </c>
      <c r="C457" s="67"/>
      <c r="D457" s="68">
        <v>677.6969462988052</v>
      </c>
      <c r="E457" s="70"/>
      <c r="F457" s="97" t="str">
        <f>HYPERLINK("https://i.ytimg.com/vi/brSwmLQA0iA/default.jpg")</f>
        <v>https://i.ytimg.com/vi/brSwmLQA0iA/default.jpg</v>
      </c>
      <c r="G457" s="120" t="s">
        <v>52</v>
      </c>
      <c r="H457" s="71" t="s">
        <v>1350</v>
      </c>
      <c r="I457" s="72"/>
      <c r="J457" s="72" t="s">
        <v>159</v>
      </c>
      <c r="K457" s="71" t="s">
        <v>1350</v>
      </c>
      <c r="L457" s="75">
        <v>213.72340425531914</v>
      </c>
      <c r="M457" s="76">
        <v>9230.9013671875</v>
      </c>
      <c r="N457" s="76">
        <v>144.4942169189453</v>
      </c>
      <c r="O457" s="77"/>
      <c r="P457" s="78"/>
      <c r="Q457" s="78"/>
      <c r="R457" s="82"/>
      <c r="S457" s="48"/>
      <c r="T457" s="48"/>
      <c r="U457" s="49"/>
      <c r="V457" s="49"/>
      <c r="W457" s="49"/>
      <c r="X457" s="49"/>
      <c r="Y457" s="49"/>
      <c r="Z457" s="49"/>
      <c r="AA457" s="73">
        <v>457</v>
      </c>
      <c r="AB457" s="73"/>
      <c r="AC457" s="74"/>
      <c r="AD457" s="80" t="s">
        <v>1350</v>
      </c>
      <c r="AE457" s="80" t="s">
        <v>2016</v>
      </c>
      <c r="AF457" s="80" t="s">
        <v>2614</v>
      </c>
      <c r="AG457" s="80" t="s">
        <v>3156</v>
      </c>
      <c r="AH457" s="80" t="s">
        <v>3762</v>
      </c>
      <c r="AI457" s="80">
        <v>24723</v>
      </c>
      <c r="AJ457" s="80">
        <v>29</v>
      </c>
      <c r="AK457" s="80">
        <v>432</v>
      </c>
      <c r="AL457" s="80">
        <v>5</v>
      </c>
      <c r="AM457" s="80" t="s">
        <v>4098</v>
      </c>
      <c r="AN457" s="96" t="str">
        <f>HYPERLINK("https://www.youtube.com/watch?v=brSwmLQA0iA")</f>
        <v>https://www.youtube.com/watch?v=brSwmLQA0iA</v>
      </c>
      <c r="AO457" s="80" t="e">
        <f>REPLACE(INDEX(GroupVertices[Group],MATCH(Vertices[[#This Row],[Vertex]],GroupVertices[Vertex],0)),1,1,"")</f>
        <v>#N/A</v>
      </c>
      <c r="AP457" s="48"/>
      <c r="AQ457" s="49"/>
      <c r="AR457" s="48"/>
      <c r="AS457" s="49"/>
      <c r="AT457" s="48"/>
      <c r="AU457" s="49"/>
      <c r="AV457" s="48"/>
      <c r="AW457" s="49"/>
      <c r="AX457" s="48"/>
      <c r="AY457" s="48"/>
      <c r="AZ457" s="48"/>
      <c r="BA457" s="48"/>
      <c r="BB457" s="48"/>
      <c r="BC457" s="2"/>
      <c r="BD457" s="3"/>
      <c r="BE457" s="3"/>
      <c r="BF457" s="3"/>
      <c r="BG457" s="3"/>
    </row>
    <row r="458" spans="1:59" ht="15">
      <c r="A458" s="66" t="s">
        <v>543</v>
      </c>
      <c r="B458" s="67" t="s">
        <v>4461</v>
      </c>
      <c r="C458" s="67"/>
      <c r="D458" s="68">
        <v>677.3948202511439</v>
      </c>
      <c r="E458" s="70"/>
      <c r="F458" s="97" t="str">
        <f>HYPERLINK("https://i.ytimg.com/vi/CmvA1vpLA1A/default.jpg")</f>
        <v>https://i.ytimg.com/vi/CmvA1vpLA1A/default.jpg</v>
      </c>
      <c r="G458" s="120" t="s">
        <v>52</v>
      </c>
      <c r="H458" s="71" t="s">
        <v>1275</v>
      </c>
      <c r="I458" s="72"/>
      <c r="J458" s="72" t="s">
        <v>159</v>
      </c>
      <c r="K458" s="71" t="s">
        <v>1275</v>
      </c>
      <c r="L458" s="75">
        <v>213.72340425531914</v>
      </c>
      <c r="M458" s="76">
        <v>4460.67041015625</v>
      </c>
      <c r="N458" s="76">
        <v>6453.70166015625</v>
      </c>
      <c r="O458" s="77"/>
      <c r="P458" s="78"/>
      <c r="Q458" s="78"/>
      <c r="R458" s="82"/>
      <c r="S458" s="48"/>
      <c r="T458" s="48"/>
      <c r="U458" s="49"/>
      <c r="V458" s="49"/>
      <c r="W458" s="49"/>
      <c r="X458" s="49"/>
      <c r="Y458" s="49"/>
      <c r="Z458" s="49"/>
      <c r="AA458" s="73">
        <v>458</v>
      </c>
      <c r="AB458" s="73"/>
      <c r="AC458" s="74"/>
      <c r="AD458" s="80" t="s">
        <v>1275</v>
      </c>
      <c r="AE458" s="80" t="s">
        <v>1950</v>
      </c>
      <c r="AF458" s="80" t="s">
        <v>2558</v>
      </c>
      <c r="AG458" s="80" t="s">
        <v>3108</v>
      </c>
      <c r="AH458" s="80" t="s">
        <v>3687</v>
      </c>
      <c r="AI458" s="80">
        <v>24639</v>
      </c>
      <c r="AJ458" s="80">
        <v>4</v>
      </c>
      <c r="AK458" s="80">
        <v>202</v>
      </c>
      <c r="AL458" s="80">
        <v>5</v>
      </c>
      <c r="AM458" s="80" t="s">
        <v>4098</v>
      </c>
      <c r="AN458" s="96" t="str">
        <f>HYPERLINK("https://www.youtube.com/watch?v=CmvA1vpLA1A")</f>
        <v>https://www.youtube.com/watch?v=CmvA1vpLA1A</v>
      </c>
      <c r="AO458" s="80" t="e">
        <f>REPLACE(INDEX(GroupVertices[Group],MATCH(Vertices[[#This Row],[Vertex]],GroupVertices[Vertex],0)),1,1,"")</f>
        <v>#N/A</v>
      </c>
      <c r="AP458" s="48"/>
      <c r="AQ458" s="49"/>
      <c r="AR458" s="48"/>
      <c r="AS458" s="49"/>
      <c r="AT458" s="48"/>
      <c r="AU458" s="49"/>
      <c r="AV458" s="48"/>
      <c r="AW458" s="49"/>
      <c r="AX458" s="48"/>
      <c r="AY458" s="48"/>
      <c r="AZ458" s="48"/>
      <c r="BA458" s="48"/>
      <c r="BB458" s="48"/>
      <c r="BC458" s="2"/>
      <c r="BD458" s="3"/>
      <c r="BE458" s="3"/>
      <c r="BF458" s="3"/>
      <c r="BG458" s="3"/>
    </row>
    <row r="459" spans="1:59" ht="15">
      <c r="A459" s="66" t="s">
        <v>312</v>
      </c>
      <c r="B459" s="67" t="s">
        <v>4461</v>
      </c>
      <c r="C459" s="67"/>
      <c r="D459" s="68">
        <v>619.7027252023908</v>
      </c>
      <c r="E459" s="70"/>
      <c r="F459" s="97" t="str">
        <f>HYPERLINK("https://i.ytimg.com/vi/5w5u98cN49c/default.jpg")</f>
        <v>https://i.ytimg.com/vi/5w5u98cN49c/default.jpg</v>
      </c>
      <c r="G459" s="120" t="s">
        <v>52</v>
      </c>
      <c r="H459" s="71" t="s">
        <v>1012</v>
      </c>
      <c r="I459" s="72"/>
      <c r="J459" s="72" t="s">
        <v>159</v>
      </c>
      <c r="K459" s="71" t="s">
        <v>1012</v>
      </c>
      <c r="L459" s="75">
        <v>213.72340425531914</v>
      </c>
      <c r="M459" s="76">
        <v>5505.55419921875</v>
      </c>
      <c r="N459" s="76">
        <v>5515.80859375</v>
      </c>
      <c r="O459" s="77"/>
      <c r="P459" s="78"/>
      <c r="Q459" s="78"/>
      <c r="R459" s="82"/>
      <c r="S459" s="48"/>
      <c r="T459" s="48"/>
      <c r="U459" s="49"/>
      <c r="V459" s="49"/>
      <c r="W459" s="49"/>
      <c r="X459" s="49"/>
      <c r="Y459" s="49"/>
      <c r="Z459" s="49"/>
      <c r="AA459" s="73">
        <v>459</v>
      </c>
      <c r="AB459" s="73"/>
      <c r="AC459" s="74"/>
      <c r="AD459" s="80" t="s">
        <v>1012</v>
      </c>
      <c r="AE459" s="80" t="s">
        <v>1730</v>
      </c>
      <c r="AF459" s="80" t="s">
        <v>2363</v>
      </c>
      <c r="AG459" s="80" t="s">
        <v>2941</v>
      </c>
      <c r="AH459" s="80" t="s">
        <v>3427</v>
      </c>
      <c r="AI459" s="80">
        <v>12864</v>
      </c>
      <c r="AJ459" s="80">
        <v>9</v>
      </c>
      <c r="AK459" s="80">
        <v>112</v>
      </c>
      <c r="AL459" s="80">
        <v>5</v>
      </c>
      <c r="AM459" s="80" t="s">
        <v>4098</v>
      </c>
      <c r="AN459" s="96" t="str">
        <f>HYPERLINK("https://www.youtube.com/watch?v=5w5u98cN49c")</f>
        <v>https://www.youtube.com/watch?v=5w5u98cN49c</v>
      </c>
      <c r="AO459" s="80" t="e">
        <f>REPLACE(INDEX(GroupVertices[Group],MATCH(Vertices[[#This Row],[Vertex]],GroupVertices[Vertex],0)),1,1,"")</f>
        <v>#N/A</v>
      </c>
      <c r="AP459" s="48"/>
      <c r="AQ459" s="49"/>
      <c r="AR459" s="48"/>
      <c r="AS459" s="49"/>
      <c r="AT459" s="48"/>
      <c r="AU459" s="49"/>
      <c r="AV459" s="48"/>
      <c r="AW459" s="49"/>
      <c r="AX459" s="48"/>
      <c r="AY459" s="48"/>
      <c r="AZ459" s="48"/>
      <c r="BA459" s="48"/>
      <c r="BB459" s="48"/>
      <c r="BC459" s="2"/>
      <c r="BD459" s="3"/>
      <c r="BE459" s="3"/>
      <c r="BF459" s="3"/>
      <c r="BG459" s="3"/>
    </row>
    <row r="460" spans="1:59" ht="15">
      <c r="A460" s="66" t="s">
        <v>639</v>
      </c>
      <c r="B460" s="67" t="s">
        <v>4461</v>
      </c>
      <c r="C460" s="67"/>
      <c r="D460" s="68">
        <v>615.5205033214316</v>
      </c>
      <c r="E460" s="70"/>
      <c r="F460" s="97" t="str">
        <f>HYPERLINK("https://i.ytimg.com/vi/cORzbiFoYKA/default.jpg")</f>
        <v>https://i.ytimg.com/vi/cORzbiFoYKA/default.jpg</v>
      </c>
      <c r="G460" s="120" t="s">
        <v>52</v>
      </c>
      <c r="H460" s="71" t="s">
        <v>1379</v>
      </c>
      <c r="I460" s="72"/>
      <c r="J460" s="72" t="s">
        <v>159</v>
      </c>
      <c r="K460" s="71" t="s">
        <v>1379</v>
      </c>
      <c r="L460" s="75">
        <v>213.72340425531914</v>
      </c>
      <c r="M460" s="76">
        <v>772.1610107421875</v>
      </c>
      <c r="N460" s="76">
        <v>4322.40869140625</v>
      </c>
      <c r="O460" s="77"/>
      <c r="P460" s="78"/>
      <c r="Q460" s="78"/>
      <c r="R460" s="82"/>
      <c r="S460" s="48"/>
      <c r="T460" s="48"/>
      <c r="U460" s="49"/>
      <c r="V460" s="49"/>
      <c r="W460" s="49"/>
      <c r="X460" s="49"/>
      <c r="Y460" s="49"/>
      <c r="Z460" s="49"/>
      <c r="AA460" s="73">
        <v>460</v>
      </c>
      <c r="AB460" s="73"/>
      <c r="AC460" s="74"/>
      <c r="AD460" s="80" t="s">
        <v>1379</v>
      </c>
      <c r="AE460" s="80"/>
      <c r="AF460" s="80" t="s">
        <v>2638</v>
      </c>
      <c r="AG460" s="80" t="s">
        <v>3128</v>
      </c>
      <c r="AH460" s="80" t="s">
        <v>3791</v>
      </c>
      <c r="AI460" s="80">
        <v>12272</v>
      </c>
      <c r="AJ460" s="80">
        <v>2</v>
      </c>
      <c r="AK460" s="80">
        <v>7</v>
      </c>
      <c r="AL460" s="80">
        <v>5</v>
      </c>
      <c r="AM460" s="80" t="s">
        <v>4098</v>
      </c>
      <c r="AN460" s="96" t="str">
        <f>HYPERLINK("https://www.youtube.com/watch?v=cORzbiFoYKA")</f>
        <v>https://www.youtube.com/watch?v=cORzbiFoYKA</v>
      </c>
      <c r="AO460" s="80" t="e">
        <f>REPLACE(INDEX(GroupVertices[Group],MATCH(Vertices[[#This Row],[Vertex]],GroupVertices[Vertex],0)),1,1,"")</f>
        <v>#N/A</v>
      </c>
      <c r="AP460" s="48"/>
      <c r="AQ460" s="49"/>
      <c r="AR460" s="48"/>
      <c r="AS460" s="49"/>
      <c r="AT460" s="48"/>
      <c r="AU460" s="49"/>
      <c r="AV460" s="48"/>
      <c r="AW460" s="49"/>
      <c r="AX460" s="48"/>
      <c r="AY460" s="48"/>
      <c r="AZ460" s="48"/>
      <c r="BA460" s="48"/>
      <c r="BB460" s="48"/>
      <c r="BC460" s="2"/>
      <c r="BD460" s="3"/>
      <c r="BE460" s="3"/>
      <c r="BF460" s="3"/>
      <c r="BG460" s="3"/>
    </row>
    <row r="461" spans="1:59" ht="15">
      <c r="A461" s="66" t="s">
        <v>585</v>
      </c>
      <c r="B461" s="67" t="s">
        <v>4461</v>
      </c>
      <c r="C461" s="67"/>
      <c r="D461" s="68">
        <v>600.2281004520872</v>
      </c>
      <c r="E461" s="70"/>
      <c r="F461" s="97" t="str">
        <f>HYPERLINK("https://i.ytimg.com/vi/YHRU9enRgSI/default.jpg")</f>
        <v>https://i.ytimg.com/vi/YHRU9enRgSI/default.jpg</v>
      </c>
      <c r="G461" s="120" t="s">
        <v>52</v>
      </c>
      <c r="H461" s="71" t="s">
        <v>1320</v>
      </c>
      <c r="I461" s="72"/>
      <c r="J461" s="72" t="s">
        <v>159</v>
      </c>
      <c r="K461" s="71" t="s">
        <v>1320</v>
      </c>
      <c r="L461" s="75">
        <v>213.72340425531914</v>
      </c>
      <c r="M461" s="76">
        <v>9335.58203125</v>
      </c>
      <c r="N461" s="76">
        <v>6979.71337890625</v>
      </c>
      <c r="O461" s="77"/>
      <c r="P461" s="78"/>
      <c r="Q461" s="78"/>
      <c r="R461" s="82"/>
      <c r="S461" s="48"/>
      <c r="T461" s="48"/>
      <c r="U461" s="49"/>
      <c r="V461" s="49"/>
      <c r="W461" s="49"/>
      <c r="X461" s="49"/>
      <c r="Y461" s="49"/>
      <c r="Z461" s="49"/>
      <c r="AA461" s="73">
        <v>461</v>
      </c>
      <c r="AB461" s="73"/>
      <c r="AC461" s="74"/>
      <c r="AD461" s="80" t="s">
        <v>1320</v>
      </c>
      <c r="AE461" s="80" t="s">
        <v>1987</v>
      </c>
      <c r="AF461" s="80" t="s">
        <v>2589</v>
      </c>
      <c r="AG461" s="80" t="s">
        <v>3134</v>
      </c>
      <c r="AH461" s="80" t="s">
        <v>3731</v>
      </c>
      <c r="AI461" s="80">
        <v>10330</v>
      </c>
      <c r="AJ461" s="80">
        <v>3</v>
      </c>
      <c r="AK461" s="80">
        <v>38</v>
      </c>
      <c r="AL461" s="80">
        <v>5</v>
      </c>
      <c r="AM461" s="80" t="s">
        <v>4098</v>
      </c>
      <c r="AN461" s="96" t="str">
        <f>HYPERLINK("https://www.youtube.com/watch?v=YHRU9enRgSI")</f>
        <v>https://www.youtube.com/watch?v=YHRU9enRgSI</v>
      </c>
      <c r="AO461" s="80" t="e">
        <f>REPLACE(INDEX(GroupVertices[Group],MATCH(Vertices[[#This Row],[Vertex]],GroupVertices[Vertex],0)),1,1,"")</f>
        <v>#N/A</v>
      </c>
      <c r="AP461" s="48"/>
      <c r="AQ461" s="49"/>
      <c r="AR461" s="48"/>
      <c r="AS461" s="49"/>
      <c r="AT461" s="48"/>
      <c r="AU461" s="49"/>
      <c r="AV461" s="48"/>
      <c r="AW461" s="49"/>
      <c r="AX461" s="48"/>
      <c r="AY461" s="48"/>
      <c r="AZ461" s="48"/>
      <c r="BA461" s="48"/>
      <c r="BB461" s="48"/>
      <c r="BC461" s="2"/>
      <c r="BD461" s="3"/>
      <c r="BE461" s="3"/>
      <c r="BF461" s="3"/>
      <c r="BG461" s="3"/>
    </row>
    <row r="462" spans="1:59" ht="15">
      <c r="A462" s="66" t="s">
        <v>741</v>
      </c>
      <c r="B462" s="67" t="s">
        <v>4461</v>
      </c>
      <c r="C462" s="67"/>
      <c r="D462" s="68">
        <v>595.4165617626508</v>
      </c>
      <c r="E462" s="70"/>
      <c r="F462" s="97" t="str">
        <f>HYPERLINK("https://i.ytimg.com/vi/tFE2-mVj9i8/default.jpg")</f>
        <v>https://i.ytimg.com/vi/tFE2-mVj9i8/default.jpg</v>
      </c>
      <c r="G462" s="120" t="s">
        <v>52</v>
      </c>
      <c r="H462" s="71" t="s">
        <v>1482</v>
      </c>
      <c r="I462" s="72"/>
      <c r="J462" s="72" t="s">
        <v>159</v>
      </c>
      <c r="K462" s="71" t="s">
        <v>1482</v>
      </c>
      <c r="L462" s="75">
        <v>213.72340425531914</v>
      </c>
      <c r="M462" s="76">
        <v>3123.155029296875</v>
      </c>
      <c r="N462" s="76">
        <v>5122.7802734375</v>
      </c>
      <c r="O462" s="77"/>
      <c r="P462" s="78"/>
      <c r="Q462" s="78"/>
      <c r="R462" s="82"/>
      <c r="S462" s="48"/>
      <c r="T462" s="48"/>
      <c r="U462" s="49"/>
      <c r="V462" s="49"/>
      <c r="W462" s="49"/>
      <c r="X462" s="49"/>
      <c r="Y462" s="49"/>
      <c r="Z462" s="49"/>
      <c r="AA462" s="73">
        <v>462</v>
      </c>
      <c r="AB462" s="73"/>
      <c r="AC462" s="74"/>
      <c r="AD462" s="80" t="s">
        <v>1482</v>
      </c>
      <c r="AE462" s="80" t="s">
        <v>2137</v>
      </c>
      <c r="AF462" s="80" t="s">
        <v>2725</v>
      </c>
      <c r="AG462" s="80" t="s">
        <v>3251</v>
      </c>
      <c r="AH462" s="80" t="s">
        <v>3895</v>
      </c>
      <c r="AI462" s="80">
        <v>9785</v>
      </c>
      <c r="AJ462" s="80">
        <v>3</v>
      </c>
      <c r="AK462" s="80">
        <v>10</v>
      </c>
      <c r="AL462" s="80">
        <v>5</v>
      </c>
      <c r="AM462" s="80" t="s">
        <v>4098</v>
      </c>
      <c r="AN462" s="96" t="str">
        <f>HYPERLINK("https://www.youtube.com/watch?v=tFE2-mVj9i8")</f>
        <v>https://www.youtube.com/watch?v=tFE2-mVj9i8</v>
      </c>
      <c r="AO462" s="80" t="e">
        <f>REPLACE(INDEX(GroupVertices[Group],MATCH(Vertices[[#This Row],[Vertex]],GroupVertices[Vertex],0)),1,1,"")</f>
        <v>#N/A</v>
      </c>
      <c r="AP462" s="48"/>
      <c r="AQ462" s="49"/>
      <c r="AR462" s="48"/>
      <c r="AS462" s="49"/>
      <c r="AT462" s="48"/>
      <c r="AU462" s="49"/>
      <c r="AV462" s="48"/>
      <c r="AW462" s="49"/>
      <c r="AX462" s="48"/>
      <c r="AY462" s="48"/>
      <c r="AZ462" s="48"/>
      <c r="BA462" s="48"/>
      <c r="BB462" s="48"/>
      <c r="BC462" s="2"/>
      <c r="BD462" s="3"/>
      <c r="BE462" s="3"/>
      <c r="BF462" s="3"/>
      <c r="BG462" s="3"/>
    </row>
    <row r="463" spans="1:59" ht="15">
      <c r="A463" s="66" t="s">
        <v>909</v>
      </c>
      <c r="B463" s="67" t="s">
        <v>4461</v>
      </c>
      <c r="C463" s="67"/>
      <c r="D463" s="68">
        <v>588.8567615576663</v>
      </c>
      <c r="E463" s="70"/>
      <c r="F463" s="97" t="str">
        <f>HYPERLINK("https://i.ytimg.com/vi/xPuxnQU6F9I/default.jpg")</f>
        <v>https://i.ytimg.com/vi/xPuxnQU6F9I/default.jpg</v>
      </c>
      <c r="G463" s="120" t="s">
        <v>52</v>
      </c>
      <c r="H463" s="71" t="s">
        <v>1647</v>
      </c>
      <c r="I463" s="72"/>
      <c r="J463" s="72" t="s">
        <v>159</v>
      </c>
      <c r="K463" s="71" t="s">
        <v>1647</v>
      </c>
      <c r="L463" s="75">
        <v>213.72340425531914</v>
      </c>
      <c r="M463" s="76">
        <v>8274.1416015625</v>
      </c>
      <c r="N463" s="76">
        <v>729.6578979492188</v>
      </c>
      <c r="O463" s="77"/>
      <c r="P463" s="78"/>
      <c r="Q463" s="78"/>
      <c r="R463" s="82"/>
      <c r="S463" s="48"/>
      <c r="T463" s="48"/>
      <c r="U463" s="49"/>
      <c r="V463" s="49"/>
      <c r="W463" s="49"/>
      <c r="X463" s="49"/>
      <c r="Y463" s="49"/>
      <c r="Z463" s="49"/>
      <c r="AA463" s="73">
        <v>463</v>
      </c>
      <c r="AB463" s="73"/>
      <c r="AC463" s="74"/>
      <c r="AD463" s="80" t="s">
        <v>1647</v>
      </c>
      <c r="AE463" s="80" t="s">
        <v>2284</v>
      </c>
      <c r="AF463" s="80" t="s">
        <v>2866</v>
      </c>
      <c r="AG463" s="80" t="s">
        <v>3306</v>
      </c>
      <c r="AH463" s="80" t="s">
        <v>4063</v>
      </c>
      <c r="AI463" s="80">
        <v>9088</v>
      </c>
      <c r="AJ463" s="80">
        <v>13</v>
      </c>
      <c r="AK463" s="80">
        <v>88</v>
      </c>
      <c r="AL463" s="80">
        <v>5</v>
      </c>
      <c r="AM463" s="80" t="s">
        <v>4098</v>
      </c>
      <c r="AN463" s="96" t="str">
        <f>HYPERLINK("https://www.youtube.com/watch?v=xPuxnQU6F9I")</f>
        <v>https://www.youtube.com/watch?v=xPuxnQU6F9I</v>
      </c>
      <c r="AO463" s="80" t="e">
        <f>REPLACE(INDEX(GroupVertices[Group],MATCH(Vertices[[#This Row],[Vertex]],GroupVertices[Vertex],0)),1,1,"")</f>
        <v>#N/A</v>
      </c>
      <c r="AP463" s="48"/>
      <c r="AQ463" s="49"/>
      <c r="AR463" s="48"/>
      <c r="AS463" s="49"/>
      <c r="AT463" s="48"/>
      <c r="AU463" s="49"/>
      <c r="AV463" s="48"/>
      <c r="AW463" s="49"/>
      <c r="AX463" s="48"/>
      <c r="AY463" s="48"/>
      <c r="AZ463" s="48"/>
      <c r="BA463" s="48"/>
      <c r="BB463" s="48"/>
      <c r="BC463" s="2"/>
      <c r="BD463" s="3"/>
      <c r="BE463" s="3"/>
      <c r="BF463" s="3"/>
      <c r="BG463" s="3"/>
    </row>
    <row r="464" spans="1:59" ht="15">
      <c r="A464" s="66" t="s">
        <v>455</v>
      </c>
      <c r="B464" s="67" t="s">
        <v>4461</v>
      </c>
      <c r="C464" s="67"/>
      <c r="D464" s="68">
        <v>580.1289135228595</v>
      </c>
      <c r="E464" s="70"/>
      <c r="F464" s="97" t="str">
        <f>HYPERLINK("https://i.ytimg.com/vi/M3O9vOqAW-E/default_live.jpg")</f>
        <v>https://i.ytimg.com/vi/M3O9vOqAW-E/default_live.jpg</v>
      </c>
      <c r="G464" s="120" t="s">
        <v>52</v>
      </c>
      <c r="H464" s="71" t="s">
        <v>1166</v>
      </c>
      <c r="I464" s="72"/>
      <c r="J464" s="72" t="s">
        <v>159</v>
      </c>
      <c r="K464" s="71" t="s">
        <v>1166</v>
      </c>
      <c r="L464" s="75">
        <v>213.72340425531914</v>
      </c>
      <c r="M464" s="76">
        <v>3315.476806640625</v>
      </c>
      <c r="N464" s="76">
        <v>1596.076416015625</v>
      </c>
      <c r="O464" s="77"/>
      <c r="P464" s="78"/>
      <c r="Q464" s="78"/>
      <c r="R464" s="82"/>
      <c r="S464" s="48"/>
      <c r="T464" s="48"/>
      <c r="U464" s="49"/>
      <c r="V464" s="49"/>
      <c r="W464" s="49"/>
      <c r="X464" s="49"/>
      <c r="Y464" s="49"/>
      <c r="Z464" s="49"/>
      <c r="AA464" s="73">
        <v>464</v>
      </c>
      <c r="AB464" s="73"/>
      <c r="AC464" s="74"/>
      <c r="AD464" s="80" t="s">
        <v>1166</v>
      </c>
      <c r="AE464" s="80" t="s">
        <v>1855</v>
      </c>
      <c r="AF464" s="80" t="s">
        <v>2475</v>
      </c>
      <c r="AG464" s="80" t="s">
        <v>3033</v>
      </c>
      <c r="AH464" s="80" t="s">
        <v>3579</v>
      </c>
      <c r="AI464" s="80">
        <v>8237</v>
      </c>
      <c r="AJ464" s="80">
        <v>0</v>
      </c>
      <c r="AK464" s="80">
        <v>1022</v>
      </c>
      <c r="AL464" s="80">
        <v>5</v>
      </c>
      <c r="AM464" s="80" t="s">
        <v>4098</v>
      </c>
      <c r="AN464" s="96" t="str">
        <f>HYPERLINK("https://www.youtube.com/watch?v=M3O9vOqAW-E")</f>
        <v>https://www.youtube.com/watch?v=M3O9vOqAW-E</v>
      </c>
      <c r="AO464" s="80" t="e">
        <f>REPLACE(INDEX(GroupVertices[Group],MATCH(Vertices[[#This Row],[Vertex]],GroupVertices[Vertex],0)),1,1,"")</f>
        <v>#N/A</v>
      </c>
      <c r="AP464" s="48"/>
      <c r="AQ464" s="49"/>
      <c r="AR464" s="48"/>
      <c r="AS464" s="49"/>
      <c r="AT464" s="48"/>
      <c r="AU464" s="49"/>
      <c r="AV464" s="48"/>
      <c r="AW464" s="49"/>
      <c r="AX464" s="48"/>
      <c r="AY464" s="48"/>
      <c r="AZ464" s="48"/>
      <c r="BA464" s="48"/>
      <c r="BB464" s="48"/>
      <c r="BC464" s="2"/>
      <c r="BD464" s="3"/>
      <c r="BE464" s="3"/>
      <c r="BF464" s="3"/>
      <c r="BG464" s="3"/>
    </row>
    <row r="465" spans="1:59" ht="15">
      <c r="A465" s="66" t="s">
        <v>374</v>
      </c>
      <c r="B465" s="67" t="s">
        <v>4461</v>
      </c>
      <c r="C465" s="67"/>
      <c r="D465" s="68">
        <v>572.1978591639237</v>
      </c>
      <c r="E465" s="70"/>
      <c r="F465" s="97" t="str">
        <f>HYPERLINK("https://i.ytimg.com/vi/-jvPDfz--l8/default.jpg")</f>
        <v>https://i.ytimg.com/vi/-jvPDfz--l8/default.jpg</v>
      </c>
      <c r="G465" s="120" t="s">
        <v>52</v>
      </c>
      <c r="H465" s="71" t="s">
        <v>1081</v>
      </c>
      <c r="I465" s="72"/>
      <c r="J465" s="72" t="s">
        <v>159</v>
      </c>
      <c r="K465" s="71" t="s">
        <v>1081</v>
      </c>
      <c r="L465" s="75">
        <v>213.72340425531914</v>
      </c>
      <c r="M465" s="76">
        <v>7022.41015625</v>
      </c>
      <c r="N465" s="76">
        <v>4230.4052734375</v>
      </c>
      <c r="O465" s="77"/>
      <c r="P465" s="78"/>
      <c r="Q465" s="78"/>
      <c r="R465" s="82"/>
      <c r="S465" s="48"/>
      <c r="T465" s="48"/>
      <c r="U465" s="49"/>
      <c r="V465" s="49"/>
      <c r="W465" s="49"/>
      <c r="X465" s="49"/>
      <c r="Y465" s="49"/>
      <c r="Z465" s="49"/>
      <c r="AA465" s="73">
        <v>465</v>
      </c>
      <c r="AB465" s="73"/>
      <c r="AC465" s="74"/>
      <c r="AD465" s="80" t="s">
        <v>1081</v>
      </c>
      <c r="AE465" s="80" t="s">
        <v>1789</v>
      </c>
      <c r="AF465" s="80" t="s">
        <v>2415</v>
      </c>
      <c r="AG465" s="80" t="s">
        <v>2989</v>
      </c>
      <c r="AH465" s="80" t="s">
        <v>3494</v>
      </c>
      <c r="AI465" s="80">
        <v>7533</v>
      </c>
      <c r="AJ465" s="80">
        <v>16</v>
      </c>
      <c r="AK465" s="80">
        <v>53</v>
      </c>
      <c r="AL465" s="80">
        <v>5</v>
      </c>
      <c r="AM465" s="80" t="s">
        <v>4098</v>
      </c>
      <c r="AN465" s="96" t="str">
        <f>HYPERLINK("https://www.youtube.com/watch?v=-jvPDfz--l8")</f>
        <v>https://www.youtube.com/watch?v=-jvPDfz--l8</v>
      </c>
      <c r="AO465" s="80" t="e">
        <f>REPLACE(INDEX(GroupVertices[Group],MATCH(Vertices[[#This Row],[Vertex]],GroupVertices[Vertex],0)),1,1,"")</f>
        <v>#N/A</v>
      </c>
      <c r="AP465" s="48"/>
      <c r="AQ465" s="49"/>
      <c r="AR465" s="48"/>
      <c r="AS465" s="49"/>
      <c r="AT465" s="48"/>
      <c r="AU465" s="49"/>
      <c r="AV465" s="48"/>
      <c r="AW465" s="49"/>
      <c r="AX465" s="48"/>
      <c r="AY465" s="48"/>
      <c r="AZ465" s="48"/>
      <c r="BA465" s="48"/>
      <c r="BB465" s="48"/>
      <c r="BC465" s="2"/>
      <c r="BD465" s="3"/>
      <c r="BE465" s="3"/>
      <c r="BF465" s="3"/>
      <c r="BG465" s="3"/>
    </row>
    <row r="466" spans="1:59" ht="15">
      <c r="A466" s="66" t="s">
        <v>464</v>
      </c>
      <c r="B466" s="67" t="s">
        <v>4461</v>
      </c>
      <c r="C466" s="67"/>
      <c r="D466" s="68">
        <v>482.16101401104436</v>
      </c>
      <c r="E466" s="70"/>
      <c r="F466" s="97" t="str">
        <f>HYPERLINK("https://i.ytimg.com/vi/DlmtFYbeQes/default_live.jpg")</f>
        <v>https://i.ytimg.com/vi/DlmtFYbeQes/default_live.jpg</v>
      </c>
      <c r="G466" s="120" t="s">
        <v>52</v>
      </c>
      <c r="H466" s="71" t="s">
        <v>1175</v>
      </c>
      <c r="I466" s="72"/>
      <c r="J466" s="72" t="s">
        <v>159</v>
      </c>
      <c r="K466" s="71" t="s">
        <v>1175</v>
      </c>
      <c r="L466" s="75">
        <v>213.72340425531914</v>
      </c>
      <c r="M466" s="76">
        <v>3933.26806640625</v>
      </c>
      <c r="N466" s="76">
        <v>2566.19677734375</v>
      </c>
      <c r="O466" s="77"/>
      <c r="P466" s="78"/>
      <c r="Q466" s="78"/>
      <c r="R466" s="82"/>
      <c r="S466" s="48"/>
      <c r="T466" s="48"/>
      <c r="U466" s="49"/>
      <c r="V466" s="49"/>
      <c r="W466" s="49"/>
      <c r="X466" s="49"/>
      <c r="Y466" s="49"/>
      <c r="Z466" s="49"/>
      <c r="AA466" s="73">
        <v>466</v>
      </c>
      <c r="AB466" s="73"/>
      <c r="AC466" s="74"/>
      <c r="AD466" s="80" t="s">
        <v>1175</v>
      </c>
      <c r="AE466" s="80" t="s">
        <v>1864</v>
      </c>
      <c r="AF466" s="80"/>
      <c r="AG466" s="80" t="s">
        <v>3042</v>
      </c>
      <c r="AH466" s="80" t="s">
        <v>3588</v>
      </c>
      <c r="AI466" s="80">
        <v>2732</v>
      </c>
      <c r="AJ466" s="80">
        <v>0</v>
      </c>
      <c r="AK466" s="80">
        <v>595</v>
      </c>
      <c r="AL466" s="80">
        <v>5</v>
      </c>
      <c r="AM466" s="80" t="s">
        <v>4098</v>
      </c>
      <c r="AN466" s="96" t="str">
        <f>HYPERLINK("https://www.youtube.com/watch?v=DlmtFYbeQes")</f>
        <v>https://www.youtube.com/watch?v=DlmtFYbeQes</v>
      </c>
      <c r="AO466" s="80" t="e">
        <f>REPLACE(INDEX(GroupVertices[Group],MATCH(Vertices[[#This Row],[Vertex]],GroupVertices[Vertex],0)),1,1,"")</f>
        <v>#N/A</v>
      </c>
      <c r="AP466" s="48"/>
      <c r="AQ466" s="49"/>
      <c r="AR466" s="48"/>
      <c r="AS466" s="49"/>
      <c r="AT466" s="48"/>
      <c r="AU466" s="49"/>
      <c r="AV466" s="48"/>
      <c r="AW466" s="49"/>
      <c r="AX466" s="48"/>
      <c r="AY466" s="48"/>
      <c r="AZ466" s="48"/>
      <c r="BA466" s="48"/>
      <c r="BB466" s="48"/>
      <c r="BC466" s="2"/>
      <c r="BD466" s="3"/>
      <c r="BE466" s="3"/>
      <c r="BF466" s="3"/>
      <c r="BG466" s="3"/>
    </row>
    <row r="467" spans="1:59" ht="15">
      <c r="A467" s="66" t="s">
        <v>859</v>
      </c>
      <c r="B467" s="67" t="s">
        <v>4461</v>
      </c>
      <c r="C467" s="67"/>
      <c r="D467" s="68">
        <v>710.8063583827236</v>
      </c>
      <c r="E467" s="70"/>
      <c r="F467" s="97" t="str">
        <f>HYPERLINK("https://i.ytimg.com/vi/L0C_D68E1Q0/default.jpg")</f>
        <v>https://i.ytimg.com/vi/L0C_D68E1Q0/default.jpg</v>
      </c>
      <c r="G467" s="120" t="s">
        <v>52</v>
      </c>
      <c r="H467" s="71" t="s">
        <v>1598</v>
      </c>
      <c r="I467" s="72"/>
      <c r="J467" s="72" t="s">
        <v>159</v>
      </c>
      <c r="K467" s="71" t="s">
        <v>1598</v>
      </c>
      <c r="L467" s="75">
        <v>213.72340425531914</v>
      </c>
      <c r="M467" s="76">
        <v>5216.10107421875</v>
      </c>
      <c r="N467" s="76">
        <v>3258.03515625</v>
      </c>
      <c r="O467" s="77"/>
      <c r="P467" s="78"/>
      <c r="Q467" s="78"/>
      <c r="R467" s="82"/>
      <c r="S467" s="48"/>
      <c r="T467" s="48"/>
      <c r="U467" s="49"/>
      <c r="V467" s="49"/>
      <c r="W467" s="49"/>
      <c r="X467" s="49"/>
      <c r="Y467" s="49"/>
      <c r="Z467" s="49"/>
      <c r="AA467" s="73">
        <v>467</v>
      </c>
      <c r="AB467" s="73"/>
      <c r="AC467" s="74"/>
      <c r="AD467" s="80" t="s">
        <v>1598</v>
      </c>
      <c r="AE467" s="80" t="s">
        <v>2239</v>
      </c>
      <c r="AF467" s="80" t="s">
        <v>2823</v>
      </c>
      <c r="AG467" s="80" t="s">
        <v>3321</v>
      </c>
      <c r="AH467" s="80" t="s">
        <v>4013</v>
      </c>
      <c r="AI467" s="80">
        <v>35899</v>
      </c>
      <c r="AJ467" s="80">
        <v>5</v>
      </c>
      <c r="AK467" s="80">
        <v>94</v>
      </c>
      <c r="AL467" s="80">
        <v>4</v>
      </c>
      <c r="AM467" s="80" t="s">
        <v>4098</v>
      </c>
      <c r="AN467" s="96" t="str">
        <f>HYPERLINK("https://www.youtube.com/watch?v=L0C_D68E1Q0")</f>
        <v>https://www.youtube.com/watch?v=L0C_D68E1Q0</v>
      </c>
      <c r="AO467" s="80" t="e">
        <f>REPLACE(INDEX(GroupVertices[Group],MATCH(Vertices[[#This Row],[Vertex]],GroupVertices[Vertex],0)),1,1,"")</f>
        <v>#N/A</v>
      </c>
      <c r="AP467" s="48"/>
      <c r="AQ467" s="49"/>
      <c r="AR467" s="48"/>
      <c r="AS467" s="49"/>
      <c r="AT467" s="48"/>
      <c r="AU467" s="49"/>
      <c r="AV467" s="48"/>
      <c r="AW467" s="49"/>
      <c r="AX467" s="48"/>
      <c r="AY467" s="48"/>
      <c r="AZ467" s="48"/>
      <c r="BA467" s="48"/>
      <c r="BB467" s="48"/>
      <c r="BC467" s="2"/>
      <c r="BD467" s="3"/>
      <c r="BE467" s="3"/>
      <c r="BF467" s="3"/>
      <c r="BG467" s="3"/>
    </row>
    <row r="468" spans="1:59" ht="15">
      <c r="A468" s="66" t="s">
        <v>584</v>
      </c>
      <c r="B468" s="67" t="s">
        <v>4461</v>
      </c>
      <c r="C468" s="67"/>
      <c r="D468" s="68">
        <v>710.218361877482</v>
      </c>
      <c r="E468" s="70"/>
      <c r="F468" s="97" t="str">
        <f>HYPERLINK("https://i.ytimg.com/vi/rHbql-ucXqk/default.jpg")</f>
        <v>https://i.ytimg.com/vi/rHbql-ucXqk/default.jpg</v>
      </c>
      <c r="G468" s="120" t="s">
        <v>52</v>
      </c>
      <c r="H468" s="71" t="s">
        <v>1319</v>
      </c>
      <c r="I468" s="72"/>
      <c r="J468" s="72" t="s">
        <v>159</v>
      </c>
      <c r="K468" s="71" t="s">
        <v>1319</v>
      </c>
      <c r="L468" s="75">
        <v>213.72340425531914</v>
      </c>
      <c r="M468" s="76">
        <v>8209.7265625</v>
      </c>
      <c r="N468" s="76">
        <v>6814.0244140625</v>
      </c>
      <c r="O468" s="77"/>
      <c r="P468" s="78"/>
      <c r="Q468" s="78"/>
      <c r="R468" s="82"/>
      <c r="S468" s="48"/>
      <c r="T468" s="48"/>
      <c r="U468" s="49"/>
      <c r="V468" s="49"/>
      <c r="W468" s="49"/>
      <c r="X468" s="49"/>
      <c r="Y468" s="49"/>
      <c r="Z468" s="49"/>
      <c r="AA468" s="73">
        <v>468</v>
      </c>
      <c r="AB468" s="73"/>
      <c r="AC468" s="74"/>
      <c r="AD468" s="80" t="s">
        <v>1319</v>
      </c>
      <c r="AE468" s="80" t="s">
        <v>1986</v>
      </c>
      <c r="AF468" s="80" t="s">
        <v>2588</v>
      </c>
      <c r="AG468" s="80" t="s">
        <v>3133</v>
      </c>
      <c r="AH468" s="80" t="s">
        <v>3730</v>
      </c>
      <c r="AI468" s="80">
        <v>35662</v>
      </c>
      <c r="AJ468" s="80">
        <v>3</v>
      </c>
      <c r="AK468" s="80">
        <v>86</v>
      </c>
      <c r="AL468" s="80">
        <v>4</v>
      </c>
      <c r="AM468" s="80" t="s">
        <v>4098</v>
      </c>
      <c r="AN468" s="96" t="str">
        <f>HYPERLINK("https://www.youtube.com/watch?v=rHbql-ucXqk")</f>
        <v>https://www.youtube.com/watch?v=rHbql-ucXqk</v>
      </c>
      <c r="AO468" s="80" t="e">
        <f>REPLACE(INDEX(GroupVertices[Group],MATCH(Vertices[[#This Row],[Vertex]],GroupVertices[Vertex],0)),1,1,"")</f>
        <v>#N/A</v>
      </c>
      <c r="AP468" s="48"/>
      <c r="AQ468" s="49"/>
      <c r="AR468" s="48"/>
      <c r="AS468" s="49"/>
      <c r="AT468" s="48"/>
      <c r="AU468" s="49"/>
      <c r="AV468" s="48"/>
      <c r="AW468" s="49"/>
      <c r="AX468" s="48"/>
      <c r="AY468" s="48"/>
      <c r="AZ468" s="48"/>
      <c r="BA468" s="48"/>
      <c r="BB468" s="48"/>
      <c r="BC468" s="2"/>
      <c r="BD468" s="3"/>
      <c r="BE468" s="3"/>
      <c r="BF468" s="3"/>
      <c r="BG468" s="3"/>
    </row>
    <row r="469" spans="1:59" ht="15">
      <c r="A469" s="66" t="s">
        <v>309</v>
      </c>
      <c r="B469" s="67" t="s">
        <v>4461</v>
      </c>
      <c r="C469" s="67"/>
      <c r="D469" s="68">
        <v>653.8179470533776</v>
      </c>
      <c r="E469" s="70"/>
      <c r="F469" s="97" t="str">
        <f>HYPERLINK("https://i.ytimg.com/vi/V4B-DK4zBBo/default.jpg")</f>
        <v>https://i.ytimg.com/vi/V4B-DK4zBBo/default.jpg</v>
      </c>
      <c r="G469" s="120" t="s">
        <v>52</v>
      </c>
      <c r="H469" s="71" t="s">
        <v>1009</v>
      </c>
      <c r="I469" s="72"/>
      <c r="J469" s="72" t="s">
        <v>159</v>
      </c>
      <c r="K469" s="71" t="s">
        <v>1009</v>
      </c>
      <c r="L469" s="75">
        <v>213.72340425531914</v>
      </c>
      <c r="M469" s="76">
        <v>5927.04931640625</v>
      </c>
      <c r="N469" s="76">
        <v>5477.546875</v>
      </c>
      <c r="O469" s="77"/>
      <c r="P469" s="78"/>
      <c r="Q469" s="78"/>
      <c r="R469" s="82"/>
      <c r="S469" s="48"/>
      <c r="T469" s="48"/>
      <c r="U469" s="49"/>
      <c r="V469" s="49"/>
      <c r="W469" s="49"/>
      <c r="X469" s="49"/>
      <c r="Y469" s="49"/>
      <c r="Z469" s="49"/>
      <c r="AA469" s="73">
        <v>469</v>
      </c>
      <c r="AB469" s="73"/>
      <c r="AC469" s="74"/>
      <c r="AD469" s="80" t="s">
        <v>1009</v>
      </c>
      <c r="AE469" s="80"/>
      <c r="AF469" s="80"/>
      <c r="AG469" s="80" t="s">
        <v>2938</v>
      </c>
      <c r="AH469" s="80" t="s">
        <v>3424</v>
      </c>
      <c r="AI469" s="80">
        <v>18892</v>
      </c>
      <c r="AJ469" s="80">
        <v>0</v>
      </c>
      <c r="AK469" s="80">
        <v>47</v>
      </c>
      <c r="AL469" s="80">
        <v>4</v>
      </c>
      <c r="AM469" s="80" t="s">
        <v>4098</v>
      </c>
      <c r="AN469" s="96" t="str">
        <f>HYPERLINK("https://www.youtube.com/watch?v=V4B-DK4zBBo")</f>
        <v>https://www.youtube.com/watch?v=V4B-DK4zBBo</v>
      </c>
      <c r="AO469" s="80" t="e">
        <f>REPLACE(INDEX(GroupVertices[Group],MATCH(Vertices[[#This Row],[Vertex]],GroupVertices[Vertex],0)),1,1,"")</f>
        <v>#N/A</v>
      </c>
      <c r="AP469" s="48"/>
      <c r="AQ469" s="49"/>
      <c r="AR469" s="48"/>
      <c r="AS469" s="49"/>
      <c r="AT469" s="48"/>
      <c r="AU469" s="49"/>
      <c r="AV469" s="48"/>
      <c r="AW469" s="49"/>
      <c r="AX469" s="48"/>
      <c r="AY469" s="48"/>
      <c r="AZ469" s="48"/>
      <c r="BA469" s="48"/>
      <c r="BB469" s="48"/>
      <c r="BC469" s="2"/>
      <c r="BD469" s="3"/>
      <c r="BE469" s="3"/>
      <c r="BF469" s="3"/>
      <c r="BG469" s="3"/>
    </row>
    <row r="470" spans="1:59" ht="15">
      <c r="A470" s="66" t="s">
        <v>906</v>
      </c>
      <c r="B470" s="67" t="s">
        <v>4461</v>
      </c>
      <c r="C470" s="67"/>
      <c r="D470" s="68">
        <v>647.4234557695058</v>
      </c>
      <c r="E470" s="70"/>
      <c r="F470" s="97" t="str">
        <f>HYPERLINK("https://i.ytimg.com/vi/3wxEC0svnJc/default.jpg")</f>
        <v>https://i.ytimg.com/vi/3wxEC0svnJc/default.jpg</v>
      </c>
      <c r="G470" s="120" t="s">
        <v>52</v>
      </c>
      <c r="H470" s="71" t="s">
        <v>1644</v>
      </c>
      <c r="I470" s="72"/>
      <c r="J470" s="72" t="s">
        <v>159</v>
      </c>
      <c r="K470" s="71" t="s">
        <v>1644</v>
      </c>
      <c r="L470" s="75">
        <v>213.72340425531914</v>
      </c>
      <c r="M470" s="76">
        <v>7968.5146484375</v>
      </c>
      <c r="N470" s="76">
        <v>540.1970825195312</v>
      </c>
      <c r="O470" s="77"/>
      <c r="P470" s="78"/>
      <c r="Q470" s="78"/>
      <c r="R470" s="82"/>
      <c r="S470" s="48"/>
      <c r="T470" s="48"/>
      <c r="U470" s="49"/>
      <c r="V470" s="49"/>
      <c r="W470" s="49"/>
      <c r="X470" s="49"/>
      <c r="Y470" s="49"/>
      <c r="Z470" s="49"/>
      <c r="AA470" s="73">
        <v>470</v>
      </c>
      <c r="AB470" s="73"/>
      <c r="AC470" s="74"/>
      <c r="AD470" s="80" t="s">
        <v>1644</v>
      </c>
      <c r="AE470" s="80" t="s">
        <v>2281</v>
      </c>
      <c r="AF470" s="80" t="s">
        <v>2863</v>
      </c>
      <c r="AG470" s="80" t="s">
        <v>2907</v>
      </c>
      <c r="AH470" s="80" t="s">
        <v>4060</v>
      </c>
      <c r="AI470" s="80">
        <v>17579</v>
      </c>
      <c r="AJ470" s="80">
        <v>28</v>
      </c>
      <c r="AK470" s="80">
        <v>194</v>
      </c>
      <c r="AL470" s="80">
        <v>4</v>
      </c>
      <c r="AM470" s="80" t="s">
        <v>4098</v>
      </c>
      <c r="AN470" s="96" t="str">
        <f>HYPERLINK("https://www.youtube.com/watch?v=3wxEC0svnJc")</f>
        <v>https://www.youtube.com/watch?v=3wxEC0svnJc</v>
      </c>
      <c r="AO470" s="80" t="e">
        <f>REPLACE(INDEX(GroupVertices[Group],MATCH(Vertices[[#This Row],[Vertex]],GroupVertices[Vertex],0)),1,1,"")</f>
        <v>#N/A</v>
      </c>
      <c r="AP470" s="48"/>
      <c r="AQ470" s="49"/>
      <c r="AR470" s="48"/>
      <c r="AS470" s="49"/>
      <c r="AT470" s="48"/>
      <c r="AU470" s="49"/>
      <c r="AV470" s="48"/>
      <c r="AW470" s="49"/>
      <c r="AX470" s="48"/>
      <c r="AY470" s="48"/>
      <c r="AZ470" s="48"/>
      <c r="BA470" s="48"/>
      <c r="BB470" s="48"/>
      <c r="BC470" s="2"/>
      <c r="BD470" s="3"/>
      <c r="BE470" s="3"/>
      <c r="BF470" s="3"/>
      <c r="BG470" s="3"/>
    </row>
    <row r="471" spans="1:59" ht="15">
      <c r="A471" s="66" t="s">
        <v>806</v>
      </c>
      <c r="B471" s="67" t="s">
        <v>4461</v>
      </c>
      <c r="C471" s="67"/>
      <c r="D471" s="68">
        <v>644.2674143090702</v>
      </c>
      <c r="E471" s="70"/>
      <c r="F471" s="97" t="str">
        <f>HYPERLINK("https://i.ytimg.com/vi/MEw9Ne1ALCA/default.jpg")</f>
        <v>https://i.ytimg.com/vi/MEw9Ne1ALCA/default.jpg</v>
      </c>
      <c r="G471" s="120" t="s">
        <v>52</v>
      </c>
      <c r="H471" s="71" t="s">
        <v>1546</v>
      </c>
      <c r="I471" s="72"/>
      <c r="J471" s="72" t="s">
        <v>159</v>
      </c>
      <c r="K471" s="71" t="s">
        <v>1546</v>
      </c>
      <c r="L471" s="75">
        <v>213.72340425531914</v>
      </c>
      <c r="M471" s="76">
        <v>1803.64013671875</v>
      </c>
      <c r="N471" s="76">
        <v>302.4395446777344</v>
      </c>
      <c r="O471" s="77"/>
      <c r="P471" s="78"/>
      <c r="Q471" s="78"/>
      <c r="R471" s="82"/>
      <c r="S471" s="48"/>
      <c r="T471" s="48"/>
      <c r="U471" s="49"/>
      <c r="V471" s="49"/>
      <c r="W471" s="49"/>
      <c r="X471" s="49"/>
      <c r="Y471" s="49"/>
      <c r="Z471" s="49"/>
      <c r="AA471" s="73">
        <v>471</v>
      </c>
      <c r="AB471" s="73"/>
      <c r="AC471" s="74"/>
      <c r="AD471" s="80" t="s">
        <v>1546</v>
      </c>
      <c r="AE471" s="80" t="s">
        <v>2195</v>
      </c>
      <c r="AF471" s="80" t="s">
        <v>2781</v>
      </c>
      <c r="AG471" s="80" t="s">
        <v>3296</v>
      </c>
      <c r="AH471" s="80" t="s">
        <v>3960</v>
      </c>
      <c r="AI471" s="80">
        <v>16965</v>
      </c>
      <c r="AJ471" s="80">
        <v>13</v>
      </c>
      <c r="AK471" s="80">
        <v>139</v>
      </c>
      <c r="AL471" s="80">
        <v>4</v>
      </c>
      <c r="AM471" s="80" t="s">
        <v>4098</v>
      </c>
      <c r="AN471" s="96" t="str">
        <f>HYPERLINK("https://www.youtube.com/watch?v=MEw9Ne1ALCA")</f>
        <v>https://www.youtube.com/watch?v=MEw9Ne1ALCA</v>
      </c>
      <c r="AO471" s="80" t="e">
        <f>REPLACE(INDEX(GroupVertices[Group],MATCH(Vertices[[#This Row],[Vertex]],GroupVertices[Vertex],0)),1,1,"")</f>
        <v>#N/A</v>
      </c>
      <c r="AP471" s="48"/>
      <c r="AQ471" s="49"/>
      <c r="AR471" s="48"/>
      <c r="AS471" s="49"/>
      <c r="AT471" s="48"/>
      <c r="AU471" s="49"/>
      <c r="AV471" s="48"/>
      <c r="AW471" s="49"/>
      <c r="AX471" s="48"/>
      <c r="AY471" s="48"/>
      <c r="AZ471" s="48"/>
      <c r="BA471" s="48"/>
      <c r="BB471" s="48"/>
      <c r="BC471" s="2"/>
      <c r="BD471" s="3"/>
      <c r="BE471" s="3"/>
      <c r="BF471" s="3"/>
      <c r="BG471" s="3"/>
    </row>
    <row r="472" spans="1:59" ht="15">
      <c r="A472" s="66" t="s">
        <v>677</v>
      </c>
      <c r="B472" s="67" t="s">
        <v>4461</v>
      </c>
      <c r="C472" s="67"/>
      <c r="D472" s="68">
        <v>627.183229292777</v>
      </c>
      <c r="E472" s="70"/>
      <c r="F472" s="97" t="str">
        <f>HYPERLINK("https://i.ytimg.com/vi/OQu6e4FwOP8/default.jpg")</f>
        <v>https://i.ytimg.com/vi/OQu6e4FwOP8/default.jpg</v>
      </c>
      <c r="G472" s="120" t="s">
        <v>52</v>
      </c>
      <c r="H472" s="71" t="s">
        <v>1418</v>
      </c>
      <c r="I472" s="72"/>
      <c r="J472" s="72" t="s">
        <v>159</v>
      </c>
      <c r="K472" s="71" t="s">
        <v>1418</v>
      </c>
      <c r="L472" s="75">
        <v>213.72340425531914</v>
      </c>
      <c r="M472" s="76">
        <v>9892.853515625</v>
      </c>
      <c r="N472" s="76">
        <v>2544.130126953125</v>
      </c>
      <c r="O472" s="77"/>
      <c r="P472" s="78"/>
      <c r="Q472" s="78"/>
      <c r="R472" s="82"/>
      <c r="S472" s="48"/>
      <c r="T472" s="48"/>
      <c r="U472" s="49"/>
      <c r="V472" s="49"/>
      <c r="W472" s="49"/>
      <c r="X472" s="49"/>
      <c r="Y472" s="49"/>
      <c r="Z472" s="49"/>
      <c r="AA472" s="73">
        <v>472</v>
      </c>
      <c r="AB472" s="73"/>
      <c r="AC472" s="74"/>
      <c r="AD472" s="80" t="s">
        <v>1418</v>
      </c>
      <c r="AE472" s="80" t="s">
        <v>2077</v>
      </c>
      <c r="AF472" s="80" t="s">
        <v>2667</v>
      </c>
      <c r="AG472" s="80" t="s">
        <v>3207</v>
      </c>
      <c r="AH472" s="80" t="s">
        <v>3830</v>
      </c>
      <c r="AI472" s="80">
        <v>13995</v>
      </c>
      <c r="AJ472" s="80">
        <v>19</v>
      </c>
      <c r="AK472" s="80">
        <v>293</v>
      </c>
      <c r="AL472" s="80">
        <v>4</v>
      </c>
      <c r="AM472" s="80" t="s">
        <v>4098</v>
      </c>
      <c r="AN472" s="96" t="str">
        <f>HYPERLINK("https://www.youtube.com/watch?v=OQu6e4FwOP8")</f>
        <v>https://www.youtube.com/watch?v=OQu6e4FwOP8</v>
      </c>
      <c r="AO472" s="80" t="e">
        <f>REPLACE(INDEX(GroupVertices[Group],MATCH(Vertices[[#This Row],[Vertex]],GroupVertices[Vertex],0)),1,1,"")</f>
        <v>#N/A</v>
      </c>
      <c r="AP472" s="48"/>
      <c r="AQ472" s="49"/>
      <c r="AR472" s="48"/>
      <c r="AS472" s="49"/>
      <c r="AT472" s="48"/>
      <c r="AU472" s="49"/>
      <c r="AV472" s="48"/>
      <c r="AW472" s="49"/>
      <c r="AX472" s="48"/>
      <c r="AY472" s="48"/>
      <c r="AZ472" s="48"/>
      <c r="BA472" s="48"/>
      <c r="BB472" s="48"/>
      <c r="BC472" s="2"/>
      <c r="BD472" s="3"/>
      <c r="BE472" s="3"/>
      <c r="BF472" s="3"/>
      <c r="BG472" s="3"/>
    </row>
    <row r="473" spans="1:59" ht="15">
      <c r="A473" s="66" t="s">
        <v>494</v>
      </c>
      <c r="B473" s="67" t="s">
        <v>4461</v>
      </c>
      <c r="C473" s="67"/>
      <c r="D473" s="68">
        <v>613.9956543689352</v>
      </c>
      <c r="E473" s="70"/>
      <c r="F473" s="97" t="str">
        <f>HYPERLINK("https://i.ytimg.com/vi/lqhzu5J7xcc/default.jpg")</f>
        <v>https://i.ytimg.com/vi/lqhzu5J7xcc/default.jpg</v>
      </c>
      <c r="G473" s="120" t="s">
        <v>52</v>
      </c>
      <c r="H473" s="71" t="s">
        <v>1210</v>
      </c>
      <c r="I473" s="72"/>
      <c r="J473" s="72" t="s">
        <v>159</v>
      </c>
      <c r="K473" s="71" t="s">
        <v>1210</v>
      </c>
      <c r="L473" s="75">
        <v>213.72340425531914</v>
      </c>
      <c r="M473" s="76">
        <v>6286.5986328125</v>
      </c>
      <c r="N473" s="76">
        <v>1368.5782470703125</v>
      </c>
      <c r="O473" s="77"/>
      <c r="P473" s="78"/>
      <c r="Q473" s="78"/>
      <c r="R473" s="82"/>
      <c r="S473" s="48"/>
      <c r="T473" s="48"/>
      <c r="U473" s="49"/>
      <c r="V473" s="49"/>
      <c r="W473" s="49"/>
      <c r="X473" s="49"/>
      <c r="Y473" s="49"/>
      <c r="Z473" s="49"/>
      <c r="AA473" s="73">
        <v>473</v>
      </c>
      <c r="AB473" s="73"/>
      <c r="AC473" s="74"/>
      <c r="AD473" s="80" t="s">
        <v>1210</v>
      </c>
      <c r="AE473" s="80" t="s">
        <v>1894</v>
      </c>
      <c r="AF473" s="80" t="s">
        <v>2508</v>
      </c>
      <c r="AG473" s="80" t="s">
        <v>3064</v>
      </c>
      <c r="AH473" s="80" t="s">
        <v>3622</v>
      </c>
      <c r="AI473" s="80">
        <v>12063</v>
      </c>
      <c r="AJ473" s="80">
        <v>23</v>
      </c>
      <c r="AK473" s="80">
        <v>63</v>
      </c>
      <c r="AL473" s="80">
        <v>4</v>
      </c>
      <c r="AM473" s="80" t="s">
        <v>4098</v>
      </c>
      <c r="AN473" s="96" t="str">
        <f>HYPERLINK("https://www.youtube.com/watch?v=lqhzu5J7xcc")</f>
        <v>https://www.youtube.com/watch?v=lqhzu5J7xcc</v>
      </c>
      <c r="AO473" s="80" t="e">
        <f>REPLACE(INDEX(GroupVertices[Group],MATCH(Vertices[[#This Row],[Vertex]],GroupVertices[Vertex],0)),1,1,"")</f>
        <v>#N/A</v>
      </c>
      <c r="AP473" s="48"/>
      <c r="AQ473" s="49"/>
      <c r="AR473" s="48"/>
      <c r="AS473" s="49"/>
      <c r="AT473" s="48"/>
      <c r="AU473" s="49"/>
      <c r="AV473" s="48"/>
      <c r="AW473" s="49"/>
      <c r="AX473" s="48"/>
      <c r="AY473" s="48"/>
      <c r="AZ473" s="48"/>
      <c r="BA473" s="48"/>
      <c r="BB473" s="48"/>
      <c r="BC473" s="2"/>
      <c r="BD473" s="3"/>
      <c r="BE473" s="3"/>
      <c r="BF473" s="3"/>
      <c r="BG473" s="3"/>
    </row>
    <row r="474" spans="1:59" ht="15">
      <c r="A474" s="66" t="s">
        <v>845</v>
      </c>
      <c r="B474" s="67" t="s">
        <v>4461</v>
      </c>
      <c r="C474" s="67"/>
      <c r="D474" s="68">
        <v>608.352316871732</v>
      </c>
      <c r="E474" s="70"/>
      <c r="F474" s="97" t="str">
        <f>HYPERLINK("https://i.ytimg.com/vi/RIQjLpsNqbg/default.jpg")</f>
        <v>https://i.ytimg.com/vi/RIQjLpsNqbg/default.jpg</v>
      </c>
      <c r="G474" s="120" t="s">
        <v>52</v>
      </c>
      <c r="H474" s="71" t="s">
        <v>1584</v>
      </c>
      <c r="I474" s="72"/>
      <c r="J474" s="72" t="s">
        <v>159</v>
      </c>
      <c r="K474" s="71" t="s">
        <v>1584</v>
      </c>
      <c r="L474" s="75">
        <v>213.72340425531914</v>
      </c>
      <c r="M474" s="76">
        <v>163.41311645507812</v>
      </c>
      <c r="N474" s="76">
        <v>3187.9365234375</v>
      </c>
      <c r="O474" s="77"/>
      <c r="P474" s="78"/>
      <c r="Q474" s="78"/>
      <c r="R474" s="82"/>
      <c r="S474" s="48"/>
      <c r="T474" s="48"/>
      <c r="U474" s="49"/>
      <c r="V474" s="49"/>
      <c r="W474" s="49"/>
      <c r="X474" s="49"/>
      <c r="Y474" s="49"/>
      <c r="Z474" s="49"/>
      <c r="AA474" s="73">
        <v>474</v>
      </c>
      <c r="AB474" s="73"/>
      <c r="AC474" s="74"/>
      <c r="AD474" s="80" t="s">
        <v>1584</v>
      </c>
      <c r="AE474" s="80" t="s">
        <v>2228</v>
      </c>
      <c r="AF474" s="80" t="s">
        <v>2814</v>
      </c>
      <c r="AG474" s="80" t="s">
        <v>3315</v>
      </c>
      <c r="AH474" s="80" t="s">
        <v>3999</v>
      </c>
      <c r="AI474" s="80">
        <v>11320</v>
      </c>
      <c r="AJ474" s="80">
        <v>47</v>
      </c>
      <c r="AK474" s="80">
        <v>144</v>
      </c>
      <c r="AL474" s="80">
        <v>4</v>
      </c>
      <c r="AM474" s="80" t="s">
        <v>4098</v>
      </c>
      <c r="AN474" s="96" t="str">
        <f>HYPERLINK("https://www.youtube.com/watch?v=RIQjLpsNqbg")</f>
        <v>https://www.youtube.com/watch?v=RIQjLpsNqbg</v>
      </c>
      <c r="AO474" s="80" t="e">
        <f>REPLACE(INDEX(GroupVertices[Group],MATCH(Vertices[[#This Row],[Vertex]],GroupVertices[Vertex],0)),1,1,"")</f>
        <v>#N/A</v>
      </c>
      <c r="AP474" s="48"/>
      <c r="AQ474" s="49"/>
      <c r="AR474" s="48"/>
      <c r="AS474" s="49"/>
      <c r="AT474" s="48"/>
      <c r="AU474" s="49"/>
      <c r="AV474" s="48"/>
      <c r="AW474" s="49"/>
      <c r="AX474" s="48"/>
      <c r="AY474" s="48"/>
      <c r="AZ474" s="48"/>
      <c r="BA474" s="48"/>
      <c r="BB474" s="48"/>
      <c r="BC474" s="2"/>
      <c r="BD474" s="3"/>
      <c r="BE474" s="3"/>
      <c r="BF474" s="3"/>
      <c r="BG474" s="3"/>
    </row>
    <row r="475" spans="1:59" ht="15">
      <c r="A475" s="66" t="s">
        <v>654</v>
      </c>
      <c r="B475" s="67" t="s">
        <v>4461</v>
      </c>
      <c r="C475" s="67"/>
      <c r="D475" s="68">
        <v>607.9357168132108</v>
      </c>
      <c r="E475" s="70"/>
      <c r="F475" s="97" t="str">
        <f>HYPERLINK("https://i.ytimg.com/vi/nLBEU2Tul9Q/default.jpg")</f>
        <v>https://i.ytimg.com/vi/nLBEU2Tul9Q/default.jpg</v>
      </c>
      <c r="G475" s="120" t="s">
        <v>52</v>
      </c>
      <c r="H475" s="71" t="s">
        <v>1394</v>
      </c>
      <c r="I475" s="72"/>
      <c r="J475" s="72" t="s">
        <v>159</v>
      </c>
      <c r="K475" s="71" t="s">
        <v>1394</v>
      </c>
      <c r="L475" s="75">
        <v>213.72340425531914</v>
      </c>
      <c r="M475" s="76">
        <v>2893.28955078125</v>
      </c>
      <c r="N475" s="76">
        <v>2750.739990234375</v>
      </c>
      <c r="O475" s="77"/>
      <c r="P475" s="78"/>
      <c r="Q475" s="78"/>
      <c r="R475" s="82"/>
      <c r="S475" s="48"/>
      <c r="T475" s="48"/>
      <c r="U475" s="49"/>
      <c r="V475" s="49"/>
      <c r="W475" s="49"/>
      <c r="X475" s="49"/>
      <c r="Y475" s="49"/>
      <c r="Z475" s="49"/>
      <c r="AA475" s="73">
        <v>475</v>
      </c>
      <c r="AB475" s="73"/>
      <c r="AC475" s="74"/>
      <c r="AD475" s="80" t="s">
        <v>1394</v>
      </c>
      <c r="AE475" s="80" t="s">
        <v>2058</v>
      </c>
      <c r="AF475" s="80" t="s">
        <v>2651</v>
      </c>
      <c r="AG475" s="80" t="s">
        <v>3187</v>
      </c>
      <c r="AH475" s="80" t="s">
        <v>3806</v>
      </c>
      <c r="AI475" s="80">
        <v>11267</v>
      </c>
      <c r="AJ475" s="80">
        <v>22</v>
      </c>
      <c r="AK475" s="80">
        <v>83</v>
      </c>
      <c r="AL475" s="80">
        <v>4</v>
      </c>
      <c r="AM475" s="80" t="s">
        <v>4098</v>
      </c>
      <c r="AN475" s="96" t="str">
        <f>HYPERLINK("https://www.youtube.com/watch?v=nLBEU2Tul9Q")</f>
        <v>https://www.youtube.com/watch?v=nLBEU2Tul9Q</v>
      </c>
      <c r="AO475" s="80" t="e">
        <f>REPLACE(INDEX(GroupVertices[Group],MATCH(Vertices[[#This Row],[Vertex]],GroupVertices[Vertex],0)),1,1,"")</f>
        <v>#N/A</v>
      </c>
      <c r="AP475" s="48"/>
      <c r="AQ475" s="49"/>
      <c r="AR475" s="48"/>
      <c r="AS475" s="49"/>
      <c r="AT475" s="48"/>
      <c r="AU475" s="49"/>
      <c r="AV475" s="48"/>
      <c r="AW475" s="49"/>
      <c r="AX475" s="48"/>
      <c r="AY475" s="48"/>
      <c r="AZ475" s="48"/>
      <c r="BA475" s="48"/>
      <c r="BB475" s="48"/>
      <c r="BC475" s="2"/>
      <c r="BD475" s="3"/>
      <c r="BE475" s="3"/>
      <c r="BF475" s="3"/>
      <c r="BG475" s="3"/>
    </row>
    <row r="476" spans="1:59" ht="15">
      <c r="A476" s="66" t="s">
        <v>686</v>
      </c>
      <c r="B476" s="67" t="s">
        <v>4461</v>
      </c>
      <c r="C476" s="67"/>
      <c r="D476" s="68">
        <v>605.8712741002871</v>
      </c>
      <c r="E476" s="70"/>
      <c r="F476" s="97" t="str">
        <f>HYPERLINK("https://i.ytimg.com/vi/3KnDstiN6qc/default.jpg")</f>
        <v>https://i.ytimg.com/vi/3KnDstiN6qc/default.jpg</v>
      </c>
      <c r="G476" s="120" t="s">
        <v>52</v>
      </c>
      <c r="H476" s="71" t="s">
        <v>1427</v>
      </c>
      <c r="I476" s="72"/>
      <c r="J476" s="72" t="s">
        <v>159</v>
      </c>
      <c r="K476" s="71" t="s">
        <v>1427</v>
      </c>
      <c r="L476" s="75">
        <v>213.72340425531914</v>
      </c>
      <c r="M476" s="76">
        <v>9170.4375</v>
      </c>
      <c r="N476" s="76">
        <v>3142.369873046875</v>
      </c>
      <c r="O476" s="77"/>
      <c r="P476" s="78"/>
      <c r="Q476" s="78"/>
      <c r="R476" s="82"/>
      <c r="S476" s="48"/>
      <c r="T476" s="48"/>
      <c r="U476" s="49"/>
      <c r="V476" s="49"/>
      <c r="W476" s="49"/>
      <c r="X476" s="49"/>
      <c r="Y476" s="49"/>
      <c r="Z476" s="49"/>
      <c r="AA476" s="73">
        <v>476</v>
      </c>
      <c r="AB476" s="73"/>
      <c r="AC476" s="74"/>
      <c r="AD476" s="80" t="s">
        <v>1427</v>
      </c>
      <c r="AE476" s="80" t="s">
        <v>2085</v>
      </c>
      <c r="AF476" s="80" t="s">
        <v>2676</v>
      </c>
      <c r="AG476" s="80" t="s">
        <v>3213</v>
      </c>
      <c r="AH476" s="80" t="s">
        <v>3839</v>
      </c>
      <c r="AI476" s="80">
        <v>11008</v>
      </c>
      <c r="AJ476" s="80">
        <v>33</v>
      </c>
      <c r="AK476" s="80">
        <v>67</v>
      </c>
      <c r="AL476" s="80">
        <v>4</v>
      </c>
      <c r="AM476" s="80" t="s">
        <v>4098</v>
      </c>
      <c r="AN476" s="96" t="str">
        <f>HYPERLINK("https://www.youtube.com/watch?v=3KnDstiN6qc")</f>
        <v>https://www.youtube.com/watch?v=3KnDstiN6qc</v>
      </c>
      <c r="AO476" s="80" t="e">
        <f>REPLACE(INDEX(GroupVertices[Group],MATCH(Vertices[[#This Row],[Vertex]],GroupVertices[Vertex],0)),1,1,"")</f>
        <v>#N/A</v>
      </c>
      <c r="AP476" s="48"/>
      <c r="AQ476" s="49"/>
      <c r="AR476" s="48"/>
      <c r="AS476" s="49"/>
      <c r="AT476" s="48"/>
      <c r="AU476" s="49"/>
      <c r="AV476" s="48"/>
      <c r="AW476" s="49"/>
      <c r="AX476" s="48"/>
      <c r="AY476" s="48"/>
      <c r="AZ476" s="48"/>
      <c r="BA476" s="48"/>
      <c r="BB476" s="48"/>
      <c r="BC476" s="2"/>
      <c r="BD476" s="3"/>
      <c r="BE476" s="3"/>
      <c r="BF476" s="3"/>
      <c r="BG476" s="3"/>
    </row>
    <row r="477" spans="1:59" ht="15">
      <c r="A477" s="66" t="s">
        <v>324</v>
      </c>
      <c r="B477" s="67" t="s">
        <v>4461</v>
      </c>
      <c r="C477" s="67"/>
      <c r="D477" s="68">
        <v>603.4515826489152</v>
      </c>
      <c r="E477" s="70"/>
      <c r="F477" s="97" t="str">
        <f>HYPERLINK("https://i.ytimg.com/vi/U4mLzxfAjTE/default.jpg")</f>
        <v>https://i.ytimg.com/vi/U4mLzxfAjTE/default.jpg</v>
      </c>
      <c r="G477" s="120" t="s">
        <v>52</v>
      </c>
      <c r="H477" s="71" t="s">
        <v>1025</v>
      </c>
      <c r="I477" s="72"/>
      <c r="J477" s="72" t="s">
        <v>159</v>
      </c>
      <c r="K477" s="71" t="s">
        <v>1025</v>
      </c>
      <c r="L477" s="75">
        <v>213.72340425531914</v>
      </c>
      <c r="M477" s="76">
        <v>5963.2978515625</v>
      </c>
      <c r="N477" s="76">
        <v>2516.41845703125</v>
      </c>
      <c r="O477" s="77"/>
      <c r="P477" s="78"/>
      <c r="Q477" s="78"/>
      <c r="R477" s="82"/>
      <c r="S477" s="48"/>
      <c r="T477" s="48"/>
      <c r="U477" s="49"/>
      <c r="V477" s="49"/>
      <c r="W477" s="49"/>
      <c r="X477" s="49"/>
      <c r="Y477" s="49"/>
      <c r="Z477" s="49"/>
      <c r="AA477" s="73">
        <v>477</v>
      </c>
      <c r="AB477" s="73"/>
      <c r="AC477" s="74"/>
      <c r="AD477" s="80" t="s">
        <v>1025</v>
      </c>
      <c r="AE477" s="80" t="s">
        <v>1742</v>
      </c>
      <c r="AF477" s="80" t="s">
        <v>2371</v>
      </c>
      <c r="AG477" s="80" t="s">
        <v>2954</v>
      </c>
      <c r="AH477" s="80" t="s">
        <v>3440</v>
      </c>
      <c r="AI477" s="80">
        <v>10712</v>
      </c>
      <c r="AJ477" s="80">
        <v>3</v>
      </c>
      <c r="AK477" s="80">
        <v>24</v>
      </c>
      <c r="AL477" s="80">
        <v>4</v>
      </c>
      <c r="AM477" s="80" t="s">
        <v>4098</v>
      </c>
      <c r="AN477" s="96" t="str">
        <f>HYPERLINK("https://www.youtube.com/watch?v=U4mLzxfAjTE")</f>
        <v>https://www.youtube.com/watch?v=U4mLzxfAjTE</v>
      </c>
      <c r="AO477" s="80" t="e">
        <f>REPLACE(INDEX(GroupVertices[Group],MATCH(Vertices[[#This Row],[Vertex]],GroupVertices[Vertex],0)),1,1,"")</f>
        <v>#N/A</v>
      </c>
      <c r="AP477" s="48"/>
      <c r="AQ477" s="49"/>
      <c r="AR477" s="48"/>
      <c r="AS477" s="49"/>
      <c r="AT477" s="48"/>
      <c r="AU477" s="49"/>
      <c r="AV477" s="48"/>
      <c r="AW477" s="49"/>
      <c r="AX477" s="48"/>
      <c r="AY477" s="48"/>
      <c r="AZ477" s="48"/>
      <c r="BA477" s="48"/>
      <c r="BB477" s="48"/>
      <c r="BC477" s="2"/>
      <c r="BD477" s="3"/>
      <c r="BE477" s="3"/>
      <c r="BF477" s="3"/>
      <c r="BG477" s="3"/>
    </row>
    <row r="478" spans="1:59" ht="15">
      <c r="A478" s="66" t="s">
        <v>800</v>
      </c>
      <c r="B478" s="67" t="s">
        <v>4461</v>
      </c>
      <c r="C478" s="67"/>
      <c r="D478" s="68">
        <v>599.4079393038469</v>
      </c>
      <c r="E478" s="70"/>
      <c r="F478" s="97" t="str">
        <f>HYPERLINK("https://i.ytimg.com/vi/h1_VOBe8Ufs/default.jpg")</f>
        <v>https://i.ytimg.com/vi/h1_VOBe8Ufs/default.jpg</v>
      </c>
      <c r="G478" s="120" t="s">
        <v>52</v>
      </c>
      <c r="H478" s="71" t="s">
        <v>1540</v>
      </c>
      <c r="I478" s="72"/>
      <c r="J478" s="72" t="s">
        <v>159</v>
      </c>
      <c r="K478" s="71" t="s">
        <v>1540</v>
      </c>
      <c r="L478" s="75">
        <v>213.72340425531914</v>
      </c>
      <c r="M478" s="76">
        <v>5523.19091796875</v>
      </c>
      <c r="N478" s="76">
        <v>7512.369140625</v>
      </c>
      <c r="O478" s="77"/>
      <c r="P478" s="78"/>
      <c r="Q478" s="78"/>
      <c r="R478" s="82"/>
      <c r="S478" s="48"/>
      <c r="T478" s="48"/>
      <c r="U478" s="49"/>
      <c r="V478" s="49"/>
      <c r="W478" s="49"/>
      <c r="X478" s="49"/>
      <c r="Y478" s="49"/>
      <c r="Z478" s="49"/>
      <c r="AA478" s="73">
        <v>478</v>
      </c>
      <c r="AB478" s="73"/>
      <c r="AC478" s="74"/>
      <c r="AD478" s="80" t="s">
        <v>1540</v>
      </c>
      <c r="AE478" s="80" t="s">
        <v>2189</v>
      </c>
      <c r="AF478" s="80" t="s">
        <v>2775</v>
      </c>
      <c r="AG478" s="80" t="s">
        <v>3291</v>
      </c>
      <c r="AH478" s="80" t="s">
        <v>3954</v>
      </c>
      <c r="AI478" s="80">
        <v>10235</v>
      </c>
      <c r="AJ478" s="80">
        <v>6</v>
      </c>
      <c r="AK478" s="80">
        <v>53</v>
      </c>
      <c r="AL478" s="80">
        <v>4</v>
      </c>
      <c r="AM478" s="80" t="s">
        <v>4098</v>
      </c>
      <c r="AN478" s="96" t="str">
        <f>HYPERLINK("https://www.youtube.com/watch?v=h1_VOBe8Ufs")</f>
        <v>https://www.youtube.com/watch?v=h1_VOBe8Ufs</v>
      </c>
      <c r="AO478" s="80" t="e">
        <f>REPLACE(INDEX(GroupVertices[Group],MATCH(Vertices[[#This Row],[Vertex]],GroupVertices[Vertex],0)),1,1,"")</f>
        <v>#N/A</v>
      </c>
      <c r="AP478" s="48"/>
      <c r="AQ478" s="49"/>
      <c r="AR478" s="48"/>
      <c r="AS478" s="49"/>
      <c r="AT478" s="48"/>
      <c r="AU478" s="49"/>
      <c r="AV478" s="48"/>
      <c r="AW478" s="49"/>
      <c r="AX478" s="48"/>
      <c r="AY478" s="48"/>
      <c r="AZ478" s="48"/>
      <c r="BA478" s="48"/>
      <c r="BB478" s="48"/>
      <c r="BC478" s="2"/>
      <c r="BD478" s="3"/>
      <c r="BE478" s="3"/>
      <c r="BF478" s="3"/>
      <c r="BG478" s="3"/>
    </row>
    <row r="479" spans="1:59" ht="15">
      <c r="A479" s="66" t="s">
        <v>764</v>
      </c>
      <c r="B479" s="67" t="s">
        <v>4461</v>
      </c>
      <c r="C479" s="67"/>
      <c r="D479" s="68">
        <v>594.403797464838</v>
      </c>
      <c r="E479" s="70"/>
      <c r="F479" s="97" t="str">
        <f>HYPERLINK("https://i.ytimg.com/vi/u8BUoNfy5yY/default.jpg")</f>
        <v>https://i.ytimg.com/vi/u8BUoNfy5yY/default.jpg</v>
      </c>
      <c r="G479" s="120" t="s">
        <v>52</v>
      </c>
      <c r="H479" s="71" t="s">
        <v>1504</v>
      </c>
      <c r="I479" s="72"/>
      <c r="J479" s="72" t="s">
        <v>159</v>
      </c>
      <c r="K479" s="71" t="s">
        <v>1504</v>
      </c>
      <c r="L479" s="75">
        <v>213.72340425531914</v>
      </c>
      <c r="M479" s="76">
        <v>3503.92138671875</v>
      </c>
      <c r="N479" s="76">
        <v>9097.4228515625</v>
      </c>
      <c r="O479" s="77"/>
      <c r="P479" s="78"/>
      <c r="Q479" s="78"/>
      <c r="R479" s="82"/>
      <c r="S479" s="48"/>
      <c r="T479" s="48"/>
      <c r="U479" s="49"/>
      <c r="V479" s="49"/>
      <c r="W479" s="49"/>
      <c r="X479" s="49"/>
      <c r="Y479" s="49"/>
      <c r="Z479" s="49"/>
      <c r="AA479" s="73">
        <v>479</v>
      </c>
      <c r="AB479" s="73"/>
      <c r="AC479" s="74"/>
      <c r="AD479" s="80" t="s">
        <v>1504</v>
      </c>
      <c r="AE479" s="80" t="s">
        <v>2156</v>
      </c>
      <c r="AF479" s="80" t="s">
        <v>2742</v>
      </c>
      <c r="AG479" s="80" t="s">
        <v>3266</v>
      </c>
      <c r="AH479" s="80" t="s">
        <v>3918</v>
      </c>
      <c r="AI479" s="80">
        <v>9674</v>
      </c>
      <c r="AJ479" s="80">
        <v>3</v>
      </c>
      <c r="AK479" s="80">
        <v>39</v>
      </c>
      <c r="AL479" s="80">
        <v>4</v>
      </c>
      <c r="AM479" s="80" t="s">
        <v>4098</v>
      </c>
      <c r="AN479" s="96" t="str">
        <f>HYPERLINK("https://www.youtube.com/watch?v=u8BUoNfy5yY")</f>
        <v>https://www.youtube.com/watch?v=u8BUoNfy5yY</v>
      </c>
      <c r="AO479" s="80" t="e">
        <f>REPLACE(INDEX(GroupVertices[Group],MATCH(Vertices[[#This Row],[Vertex]],GroupVertices[Vertex],0)),1,1,"")</f>
        <v>#N/A</v>
      </c>
      <c r="AP479" s="48"/>
      <c r="AQ479" s="49"/>
      <c r="AR479" s="48"/>
      <c r="AS479" s="49"/>
      <c r="AT479" s="48"/>
      <c r="AU479" s="49"/>
      <c r="AV479" s="48"/>
      <c r="AW479" s="49"/>
      <c r="AX479" s="48"/>
      <c r="AY479" s="48"/>
      <c r="AZ479" s="48"/>
      <c r="BA479" s="48"/>
      <c r="BB479" s="48"/>
      <c r="BC479" s="2"/>
      <c r="BD479" s="3"/>
      <c r="BE479" s="3"/>
      <c r="BF479" s="3"/>
      <c r="BG479" s="3"/>
    </row>
    <row r="480" spans="1:59" ht="15">
      <c r="A480" s="66" t="s">
        <v>775</v>
      </c>
      <c r="B480" s="67" t="s">
        <v>4461</v>
      </c>
      <c r="C480" s="67"/>
      <c r="D480" s="68">
        <v>589.1298433589169</v>
      </c>
      <c r="E480" s="70"/>
      <c r="F480" s="97" t="str">
        <f>HYPERLINK("https://i.ytimg.com/vi/k6Ky5W_UXwU/default.jpg")</f>
        <v>https://i.ytimg.com/vi/k6Ky5W_UXwU/default.jpg</v>
      </c>
      <c r="G480" s="120" t="s">
        <v>52</v>
      </c>
      <c r="H480" s="71" t="s">
        <v>1515</v>
      </c>
      <c r="I480" s="72"/>
      <c r="J480" s="72" t="s">
        <v>159</v>
      </c>
      <c r="K480" s="71" t="s">
        <v>1515</v>
      </c>
      <c r="L480" s="75">
        <v>213.72340425531914</v>
      </c>
      <c r="M480" s="76">
        <v>129.0629425048828</v>
      </c>
      <c r="N480" s="76">
        <v>7817.146484375</v>
      </c>
      <c r="O480" s="77"/>
      <c r="P480" s="78"/>
      <c r="Q480" s="78"/>
      <c r="R480" s="82"/>
      <c r="S480" s="48"/>
      <c r="T480" s="48"/>
      <c r="U480" s="49"/>
      <c r="V480" s="49"/>
      <c r="W480" s="49"/>
      <c r="X480" s="49"/>
      <c r="Y480" s="49"/>
      <c r="Z480" s="49"/>
      <c r="AA480" s="73">
        <v>480</v>
      </c>
      <c r="AB480" s="73"/>
      <c r="AC480" s="74"/>
      <c r="AD480" s="80" t="s">
        <v>1515</v>
      </c>
      <c r="AE480" s="80" t="s">
        <v>2165</v>
      </c>
      <c r="AF480" s="80" t="s">
        <v>2751</v>
      </c>
      <c r="AG480" s="80" t="s">
        <v>3274</v>
      </c>
      <c r="AH480" s="80" t="s">
        <v>3929</v>
      </c>
      <c r="AI480" s="80">
        <v>9116</v>
      </c>
      <c r="AJ480" s="80">
        <v>9</v>
      </c>
      <c r="AK480" s="80">
        <v>100</v>
      </c>
      <c r="AL480" s="80">
        <v>4</v>
      </c>
      <c r="AM480" s="80" t="s">
        <v>4098</v>
      </c>
      <c r="AN480" s="96" t="str">
        <f>HYPERLINK("https://www.youtube.com/watch?v=k6Ky5W_UXwU")</f>
        <v>https://www.youtube.com/watch?v=k6Ky5W_UXwU</v>
      </c>
      <c r="AO480" s="80" t="e">
        <f>REPLACE(INDEX(GroupVertices[Group],MATCH(Vertices[[#This Row],[Vertex]],GroupVertices[Vertex],0)),1,1,"")</f>
        <v>#N/A</v>
      </c>
      <c r="AP480" s="48"/>
      <c r="AQ480" s="49"/>
      <c r="AR480" s="48"/>
      <c r="AS480" s="49"/>
      <c r="AT480" s="48"/>
      <c r="AU480" s="49"/>
      <c r="AV480" s="48"/>
      <c r="AW480" s="49"/>
      <c r="AX480" s="48"/>
      <c r="AY480" s="48"/>
      <c r="AZ480" s="48"/>
      <c r="BA480" s="48"/>
      <c r="BB480" s="48"/>
      <c r="BC480" s="2"/>
      <c r="BD480" s="3"/>
      <c r="BE480" s="3"/>
      <c r="BF480" s="3"/>
      <c r="BG480" s="3"/>
    </row>
    <row r="481" spans="1:59" ht="15">
      <c r="A481" s="66" t="s">
        <v>797</v>
      </c>
      <c r="B481" s="67" t="s">
        <v>4461</v>
      </c>
      <c r="C481" s="67"/>
      <c r="D481" s="68">
        <v>576.4094050006557</v>
      </c>
      <c r="E481" s="70"/>
      <c r="F481" s="97" t="str">
        <f>HYPERLINK("https://i.ytimg.com/vi/5BR7icEUA4Y/default.jpg")</f>
        <v>https://i.ytimg.com/vi/5BR7icEUA4Y/default.jpg</v>
      </c>
      <c r="G481" s="120" t="s">
        <v>52</v>
      </c>
      <c r="H481" s="71" t="s">
        <v>1537</v>
      </c>
      <c r="I481" s="72"/>
      <c r="J481" s="72" t="s">
        <v>159</v>
      </c>
      <c r="K481" s="71" t="s">
        <v>1537</v>
      </c>
      <c r="L481" s="75">
        <v>213.72340425531914</v>
      </c>
      <c r="M481" s="76">
        <v>6116.08154296875</v>
      </c>
      <c r="N481" s="76">
        <v>7924.2412109375</v>
      </c>
      <c r="O481" s="77"/>
      <c r="P481" s="78"/>
      <c r="Q481" s="78"/>
      <c r="R481" s="82"/>
      <c r="S481" s="48"/>
      <c r="T481" s="48"/>
      <c r="U481" s="49"/>
      <c r="V481" s="49"/>
      <c r="W481" s="49"/>
      <c r="X481" s="49"/>
      <c r="Y481" s="49"/>
      <c r="Z481" s="49"/>
      <c r="AA481" s="73">
        <v>481</v>
      </c>
      <c r="AB481" s="73"/>
      <c r="AC481" s="74"/>
      <c r="AD481" s="80" t="s">
        <v>1537</v>
      </c>
      <c r="AE481" s="80" t="s">
        <v>2186</v>
      </c>
      <c r="AF481" s="80" t="s">
        <v>2772</v>
      </c>
      <c r="AG481" s="80" t="s">
        <v>3288</v>
      </c>
      <c r="AH481" s="80" t="s">
        <v>3951</v>
      </c>
      <c r="AI481" s="80">
        <v>7899</v>
      </c>
      <c r="AJ481" s="80">
        <v>14</v>
      </c>
      <c r="AK481" s="80">
        <v>65</v>
      </c>
      <c r="AL481" s="80">
        <v>4</v>
      </c>
      <c r="AM481" s="80" t="s">
        <v>4098</v>
      </c>
      <c r="AN481" s="96" t="str">
        <f>HYPERLINK("https://www.youtube.com/watch?v=5BR7icEUA4Y")</f>
        <v>https://www.youtube.com/watch?v=5BR7icEUA4Y</v>
      </c>
      <c r="AO481" s="80" t="e">
        <f>REPLACE(INDEX(GroupVertices[Group],MATCH(Vertices[[#This Row],[Vertex]],GroupVertices[Vertex],0)),1,1,"")</f>
        <v>#N/A</v>
      </c>
      <c r="AP481" s="48"/>
      <c r="AQ481" s="49"/>
      <c r="AR481" s="48"/>
      <c r="AS481" s="49"/>
      <c r="AT481" s="48"/>
      <c r="AU481" s="49"/>
      <c r="AV481" s="48"/>
      <c r="AW481" s="49"/>
      <c r="AX481" s="48"/>
      <c r="AY481" s="48"/>
      <c r="AZ481" s="48"/>
      <c r="BA481" s="48"/>
      <c r="BB481" s="48"/>
      <c r="BC481" s="2"/>
      <c r="BD481" s="3"/>
      <c r="BE481" s="3"/>
      <c r="BF481" s="3"/>
      <c r="BG481" s="3"/>
    </row>
    <row r="482" spans="1:59" ht="15">
      <c r="A482" s="66" t="s">
        <v>816</v>
      </c>
      <c r="B482" s="67" t="s">
        <v>4461</v>
      </c>
      <c r="C482" s="67"/>
      <c r="D482" s="68">
        <v>547.9120750846275</v>
      </c>
      <c r="E482" s="70"/>
      <c r="F482" s="97" t="str">
        <f>HYPERLINK("https://i.ytimg.com/vi/IoJ7Qivmhxo/default.jpg")</f>
        <v>https://i.ytimg.com/vi/IoJ7Qivmhxo/default.jpg</v>
      </c>
      <c r="G482" s="120" t="s">
        <v>52</v>
      </c>
      <c r="H482" s="71" t="s">
        <v>1555</v>
      </c>
      <c r="I482" s="72"/>
      <c r="J482" s="72" t="s">
        <v>159</v>
      </c>
      <c r="K482" s="71" t="s">
        <v>1555</v>
      </c>
      <c r="L482" s="75">
        <v>213.72340425531914</v>
      </c>
      <c r="M482" s="76">
        <v>956.8027954101562</v>
      </c>
      <c r="N482" s="76">
        <v>611.8524169921875</v>
      </c>
      <c r="O482" s="77"/>
      <c r="P482" s="78"/>
      <c r="Q482" s="78"/>
      <c r="R482" s="82"/>
      <c r="S482" s="48"/>
      <c r="T482" s="48"/>
      <c r="U482" s="49"/>
      <c r="V482" s="49"/>
      <c r="W482" s="49"/>
      <c r="X482" s="49"/>
      <c r="Y482" s="49"/>
      <c r="Z482" s="49"/>
      <c r="AA482" s="73">
        <v>482</v>
      </c>
      <c r="AB482" s="73"/>
      <c r="AC482" s="74"/>
      <c r="AD482" s="80" t="s">
        <v>1555</v>
      </c>
      <c r="AE482" s="80"/>
      <c r="AF482" s="80"/>
      <c r="AG482" s="80" t="s">
        <v>3300</v>
      </c>
      <c r="AH482" s="80" t="s">
        <v>3970</v>
      </c>
      <c r="AI482" s="80">
        <v>5730</v>
      </c>
      <c r="AJ482" s="80">
        <v>1</v>
      </c>
      <c r="AK482" s="80">
        <v>25</v>
      </c>
      <c r="AL482" s="80">
        <v>4</v>
      </c>
      <c r="AM482" s="80" t="s">
        <v>4098</v>
      </c>
      <c r="AN482" s="96" t="str">
        <f>HYPERLINK("https://www.youtube.com/watch?v=IoJ7Qivmhxo")</f>
        <v>https://www.youtube.com/watch?v=IoJ7Qivmhxo</v>
      </c>
      <c r="AO482" s="80" t="e">
        <f>REPLACE(INDEX(GroupVertices[Group],MATCH(Vertices[[#This Row],[Vertex]],GroupVertices[Vertex],0)),1,1,"")</f>
        <v>#N/A</v>
      </c>
      <c r="AP482" s="48"/>
      <c r="AQ482" s="49"/>
      <c r="AR482" s="48"/>
      <c r="AS482" s="49"/>
      <c r="AT482" s="48"/>
      <c r="AU482" s="49"/>
      <c r="AV482" s="48"/>
      <c r="AW482" s="49"/>
      <c r="AX482" s="48"/>
      <c r="AY482" s="48"/>
      <c r="AZ482" s="48"/>
      <c r="BA482" s="48"/>
      <c r="BB482" s="48"/>
      <c r="BC482" s="2"/>
      <c r="BD482" s="3"/>
      <c r="BE482" s="3"/>
      <c r="BF482" s="3"/>
      <c r="BG482" s="3"/>
    </row>
    <row r="483" spans="1:59" ht="15">
      <c r="A483" s="66" t="s">
        <v>527</v>
      </c>
      <c r="B483" s="67" t="s">
        <v>4461</v>
      </c>
      <c r="C483" s="67"/>
      <c r="D483" s="68">
        <v>476.90715370732113</v>
      </c>
      <c r="E483" s="70"/>
      <c r="F483" s="97" t="str">
        <f>HYPERLINK("https://i.ytimg.com/vi/S_XBzvGqSrE/default.jpg")</f>
        <v>https://i.ytimg.com/vi/S_XBzvGqSrE/default.jpg</v>
      </c>
      <c r="G483" s="120" t="s">
        <v>52</v>
      </c>
      <c r="H483" s="71" t="s">
        <v>1258</v>
      </c>
      <c r="I483" s="72"/>
      <c r="J483" s="72" t="s">
        <v>159</v>
      </c>
      <c r="K483" s="71" t="s">
        <v>1258</v>
      </c>
      <c r="L483" s="75">
        <v>213.72340425531914</v>
      </c>
      <c r="M483" s="76">
        <v>9098.3095703125</v>
      </c>
      <c r="N483" s="76">
        <v>9825.5068359375</v>
      </c>
      <c r="O483" s="77"/>
      <c r="P483" s="78"/>
      <c r="Q483" s="78"/>
      <c r="R483" s="82"/>
      <c r="S483" s="48"/>
      <c r="T483" s="48"/>
      <c r="U483" s="49"/>
      <c r="V483" s="49"/>
      <c r="W483" s="49"/>
      <c r="X483" s="49"/>
      <c r="Y483" s="49"/>
      <c r="Z483" s="49"/>
      <c r="AA483" s="73">
        <v>483</v>
      </c>
      <c r="AB483" s="73"/>
      <c r="AC483" s="74"/>
      <c r="AD483" s="80" t="s">
        <v>1258</v>
      </c>
      <c r="AE483" s="80"/>
      <c r="AF483" s="80"/>
      <c r="AG483" s="80" t="s">
        <v>3095</v>
      </c>
      <c r="AH483" s="80" t="s">
        <v>3670</v>
      </c>
      <c r="AI483" s="80">
        <v>2575</v>
      </c>
      <c r="AJ483" s="80">
        <v>0</v>
      </c>
      <c r="AK483" s="80">
        <v>1</v>
      </c>
      <c r="AL483" s="80">
        <v>4</v>
      </c>
      <c r="AM483" s="80" t="s">
        <v>4098</v>
      </c>
      <c r="AN483" s="96" t="str">
        <f>HYPERLINK("https://www.youtube.com/watch?v=S_XBzvGqSrE")</f>
        <v>https://www.youtube.com/watch?v=S_XBzvGqSrE</v>
      </c>
      <c r="AO483" s="80" t="e">
        <f>REPLACE(INDEX(GroupVertices[Group],MATCH(Vertices[[#This Row],[Vertex]],GroupVertices[Vertex],0)),1,1,"")</f>
        <v>#N/A</v>
      </c>
      <c r="AP483" s="48"/>
      <c r="AQ483" s="49"/>
      <c r="AR483" s="48"/>
      <c r="AS483" s="49"/>
      <c r="AT483" s="48"/>
      <c r="AU483" s="49"/>
      <c r="AV483" s="48"/>
      <c r="AW483" s="49"/>
      <c r="AX483" s="48"/>
      <c r="AY483" s="48"/>
      <c r="AZ483" s="48"/>
      <c r="BA483" s="48"/>
      <c r="BB483" s="48"/>
      <c r="BC483" s="2"/>
      <c r="BD483" s="3"/>
      <c r="BE483" s="3"/>
      <c r="BF483" s="3"/>
      <c r="BG483" s="3"/>
    </row>
    <row r="484" spans="1:59" ht="15">
      <c r="A484" s="66" t="s">
        <v>633</v>
      </c>
      <c r="B484" s="67" t="s">
        <v>4461</v>
      </c>
      <c r="C484" s="67"/>
      <c r="D484" s="68">
        <v>733.6548754634904</v>
      </c>
      <c r="E484" s="70"/>
      <c r="F484" s="97" t="str">
        <f>HYPERLINK("https://i.ytimg.com/vi/EpyP_1Mo_lc/default.jpg")</f>
        <v>https://i.ytimg.com/vi/EpyP_1Mo_lc/default.jpg</v>
      </c>
      <c r="G484" s="120" t="s">
        <v>52</v>
      </c>
      <c r="H484" s="71" t="s">
        <v>1373</v>
      </c>
      <c r="I484" s="72"/>
      <c r="J484" s="72" t="s">
        <v>159</v>
      </c>
      <c r="K484" s="71" t="s">
        <v>1373</v>
      </c>
      <c r="L484" s="75">
        <v>213.72340425531914</v>
      </c>
      <c r="M484" s="76">
        <v>1631.5936279296875</v>
      </c>
      <c r="N484" s="76">
        <v>9625.9345703125</v>
      </c>
      <c r="O484" s="77"/>
      <c r="P484" s="78"/>
      <c r="Q484" s="78"/>
      <c r="R484" s="82"/>
      <c r="S484" s="48"/>
      <c r="T484" s="48"/>
      <c r="U484" s="49"/>
      <c r="V484" s="49"/>
      <c r="W484" s="49"/>
      <c r="X484" s="49"/>
      <c r="Y484" s="49"/>
      <c r="Z484" s="49"/>
      <c r="AA484" s="73">
        <v>484</v>
      </c>
      <c r="AB484" s="73"/>
      <c r="AC484" s="74"/>
      <c r="AD484" s="80" t="s">
        <v>1373</v>
      </c>
      <c r="AE484" s="80" t="s">
        <v>2039</v>
      </c>
      <c r="AF484" s="80" t="s">
        <v>2635</v>
      </c>
      <c r="AG484" s="80" t="s">
        <v>3174</v>
      </c>
      <c r="AH484" s="80" t="s">
        <v>3785</v>
      </c>
      <c r="AI484" s="80">
        <v>46437</v>
      </c>
      <c r="AJ484" s="80">
        <v>1</v>
      </c>
      <c r="AK484" s="80">
        <v>88</v>
      </c>
      <c r="AL484" s="80">
        <v>3</v>
      </c>
      <c r="AM484" s="80" t="s">
        <v>4098</v>
      </c>
      <c r="AN484" s="96" t="str">
        <f>HYPERLINK("https://www.youtube.com/watch?v=EpyP_1Mo_lc")</f>
        <v>https://www.youtube.com/watch?v=EpyP_1Mo_lc</v>
      </c>
      <c r="AO484" s="80" t="e">
        <f>REPLACE(INDEX(GroupVertices[Group],MATCH(Vertices[[#This Row],[Vertex]],GroupVertices[Vertex],0)),1,1,"")</f>
        <v>#N/A</v>
      </c>
      <c r="AP484" s="48"/>
      <c r="AQ484" s="49"/>
      <c r="AR484" s="48"/>
      <c r="AS484" s="49"/>
      <c r="AT484" s="48"/>
      <c r="AU484" s="49"/>
      <c r="AV484" s="48"/>
      <c r="AW484" s="49"/>
      <c r="AX484" s="48"/>
      <c r="AY484" s="48"/>
      <c r="AZ484" s="48"/>
      <c r="BA484" s="48"/>
      <c r="BB484" s="48"/>
      <c r="BC484" s="2"/>
      <c r="BD484" s="3"/>
      <c r="BE484" s="3"/>
      <c r="BF484" s="3"/>
      <c r="BG484" s="3"/>
    </row>
    <row r="485" spans="1:59" ht="15">
      <c r="A485" s="66" t="s">
        <v>428</v>
      </c>
      <c r="B485" s="67" t="s">
        <v>4461</v>
      </c>
      <c r="C485" s="67"/>
      <c r="D485" s="68">
        <v>684.8281022651178</v>
      </c>
      <c r="E485" s="70"/>
      <c r="F485" s="97" t="str">
        <f>HYPERLINK("https://i.ytimg.com/vi/iNV7V4V2oFs/default.jpg")</f>
        <v>https://i.ytimg.com/vi/iNV7V4V2oFs/default.jpg</v>
      </c>
      <c r="G485" s="120" t="s">
        <v>52</v>
      </c>
      <c r="H485" s="71" t="s">
        <v>1136</v>
      </c>
      <c r="I485" s="72"/>
      <c r="J485" s="72" t="s">
        <v>159</v>
      </c>
      <c r="K485" s="71" t="s">
        <v>1136</v>
      </c>
      <c r="L485" s="75">
        <v>213.72340425531914</v>
      </c>
      <c r="M485" s="76">
        <v>8470.2021484375</v>
      </c>
      <c r="N485" s="76">
        <v>5953.544921875</v>
      </c>
      <c r="O485" s="77"/>
      <c r="P485" s="78"/>
      <c r="Q485" s="78"/>
      <c r="R485" s="82"/>
      <c r="S485" s="48"/>
      <c r="T485" s="48"/>
      <c r="U485" s="49"/>
      <c r="V485" s="49"/>
      <c r="W485" s="49"/>
      <c r="X485" s="49"/>
      <c r="Y485" s="49"/>
      <c r="Z485" s="49"/>
      <c r="AA485" s="73">
        <v>485</v>
      </c>
      <c r="AB485" s="73"/>
      <c r="AC485" s="74"/>
      <c r="AD485" s="80" t="s">
        <v>1136</v>
      </c>
      <c r="AE485" s="80" t="s">
        <v>1136</v>
      </c>
      <c r="AF485" s="80" t="s">
        <v>2452</v>
      </c>
      <c r="AG485" s="80" t="s">
        <v>3019</v>
      </c>
      <c r="AH485" s="80" t="s">
        <v>3549</v>
      </c>
      <c r="AI485" s="80">
        <v>26791</v>
      </c>
      <c r="AJ485" s="80">
        <v>3</v>
      </c>
      <c r="AK485" s="80">
        <v>19</v>
      </c>
      <c r="AL485" s="80">
        <v>3</v>
      </c>
      <c r="AM485" s="80" t="s">
        <v>4098</v>
      </c>
      <c r="AN485" s="96" t="str">
        <f>HYPERLINK("https://www.youtube.com/watch?v=iNV7V4V2oFs")</f>
        <v>https://www.youtube.com/watch?v=iNV7V4V2oFs</v>
      </c>
      <c r="AO485" s="80" t="e">
        <f>REPLACE(INDEX(GroupVertices[Group],MATCH(Vertices[[#This Row],[Vertex]],GroupVertices[Vertex],0)),1,1,"")</f>
        <v>#N/A</v>
      </c>
      <c r="AP485" s="48"/>
      <c r="AQ485" s="49"/>
      <c r="AR485" s="48"/>
      <c r="AS485" s="49"/>
      <c r="AT485" s="48"/>
      <c r="AU485" s="49"/>
      <c r="AV485" s="48"/>
      <c r="AW485" s="49"/>
      <c r="AX485" s="48"/>
      <c r="AY485" s="48"/>
      <c r="AZ485" s="48"/>
      <c r="BA485" s="48"/>
      <c r="BB485" s="48"/>
      <c r="BC485" s="2"/>
      <c r="BD485" s="3"/>
      <c r="BE485" s="3"/>
      <c r="BF485" s="3"/>
      <c r="BG485" s="3"/>
    </row>
    <row r="486" spans="1:59" ht="15">
      <c r="A486" s="66" t="s">
        <v>500</v>
      </c>
      <c r="B486" s="67" t="s">
        <v>4461</v>
      </c>
      <c r="C486" s="67"/>
      <c r="D486" s="68">
        <v>661.4625110484589</v>
      </c>
      <c r="E486" s="70"/>
      <c r="F486" s="97" t="str">
        <f>HYPERLINK("https://i.ytimg.com/vi/dQG4mkD5Nd4/default.jpg")</f>
        <v>https://i.ytimg.com/vi/dQG4mkD5Nd4/default.jpg</v>
      </c>
      <c r="G486" s="120" t="s">
        <v>52</v>
      </c>
      <c r="H486" s="71" t="s">
        <v>1216</v>
      </c>
      <c r="I486" s="72"/>
      <c r="J486" s="72" t="s">
        <v>159</v>
      </c>
      <c r="K486" s="71" t="s">
        <v>1216</v>
      </c>
      <c r="L486" s="75">
        <v>213.72340425531914</v>
      </c>
      <c r="M486" s="76">
        <v>6355.66015625</v>
      </c>
      <c r="N486" s="76">
        <v>2660.6533203125</v>
      </c>
      <c r="O486" s="77"/>
      <c r="P486" s="78"/>
      <c r="Q486" s="78"/>
      <c r="R486" s="82"/>
      <c r="S486" s="48"/>
      <c r="T486" s="48"/>
      <c r="U486" s="49"/>
      <c r="V486" s="49"/>
      <c r="W486" s="49"/>
      <c r="X486" s="49"/>
      <c r="Y486" s="49"/>
      <c r="Z486" s="49"/>
      <c r="AA486" s="73">
        <v>486</v>
      </c>
      <c r="AB486" s="73"/>
      <c r="AC486" s="74"/>
      <c r="AD486" s="80" t="s">
        <v>1216</v>
      </c>
      <c r="AE486" s="80" t="s">
        <v>1899</v>
      </c>
      <c r="AF486" s="80" t="s">
        <v>2513</v>
      </c>
      <c r="AG486" s="80" t="s">
        <v>3069</v>
      </c>
      <c r="AH486" s="80" t="s">
        <v>3628</v>
      </c>
      <c r="AI486" s="80">
        <v>20591</v>
      </c>
      <c r="AJ486" s="80">
        <v>9</v>
      </c>
      <c r="AK486" s="80">
        <v>242</v>
      </c>
      <c r="AL486" s="80">
        <v>3</v>
      </c>
      <c r="AM486" s="80" t="s">
        <v>4098</v>
      </c>
      <c r="AN486" s="96" t="str">
        <f>HYPERLINK("https://www.youtube.com/watch?v=dQG4mkD5Nd4")</f>
        <v>https://www.youtube.com/watch?v=dQG4mkD5Nd4</v>
      </c>
      <c r="AO486" s="80" t="e">
        <f>REPLACE(INDEX(GroupVertices[Group],MATCH(Vertices[[#This Row],[Vertex]],GroupVertices[Vertex],0)),1,1,"")</f>
        <v>#N/A</v>
      </c>
      <c r="AP486" s="48"/>
      <c r="AQ486" s="49"/>
      <c r="AR486" s="48"/>
      <c r="AS486" s="49"/>
      <c r="AT486" s="48"/>
      <c r="AU486" s="49"/>
      <c r="AV486" s="48"/>
      <c r="AW486" s="49"/>
      <c r="AX486" s="48"/>
      <c r="AY486" s="48"/>
      <c r="AZ486" s="48"/>
      <c r="BA486" s="48"/>
      <c r="BB486" s="48"/>
      <c r="BC486" s="2"/>
      <c r="BD486" s="3"/>
      <c r="BE486" s="3"/>
      <c r="BF486" s="3"/>
      <c r="BG486" s="3"/>
    </row>
    <row r="487" spans="1:59" ht="15">
      <c r="A487" s="66" t="s">
        <v>420</v>
      </c>
      <c r="B487" s="67" t="s">
        <v>4461</v>
      </c>
      <c r="C487" s="67"/>
      <c r="D487" s="68">
        <v>639.2737029765474</v>
      </c>
      <c r="E487" s="70"/>
      <c r="F487" s="97" t="str">
        <f>HYPERLINK("https://i.ytimg.com/vi/Son4TJQckxE/default.jpg")</f>
        <v>https://i.ytimg.com/vi/Son4TJQckxE/default.jpg</v>
      </c>
      <c r="G487" s="120" t="s">
        <v>52</v>
      </c>
      <c r="H487" s="71" t="s">
        <v>1128</v>
      </c>
      <c r="I487" s="72"/>
      <c r="J487" s="72" t="s">
        <v>159</v>
      </c>
      <c r="K487" s="71" t="s">
        <v>1128</v>
      </c>
      <c r="L487" s="75">
        <v>213.72340425531914</v>
      </c>
      <c r="M487" s="76">
        <v>8888.8857421875</v>
      </c>
      <c r="N487" s="76">
        <v>5889.02587890625</v>
      </c>
      <c r="O487" s="77"/>
      <c r="P487" s="78"/>
      <c r="Q487" s="78"/>
      <c r="R487" s="82"/>
      <c r="S487" s="48"/>
      <c r="T487" s="48"/>
      <c r="U487" s="49"/>
      <c r="V487" s="49"/>
      <c r="W487" s="49"/>
      <c r="X487" s="49"/>
      <c r="Y487" s="49"/>
      <c r="Z487" s="49"/>
      <c r="AA487" s="73">
        <v>487</v>
      </c>
      <c r="AB487" s="73"/>
      <c r="AC487" s="74"/>
      <c r="AD487" s="80" t="s">
        <v>1128</v>
      </c>
      <c r="AE487" s="80" t="s">
        <v>1825</v>
      </c>
      <c r="AF487" s="80" t="s">
        <v>2445</v>
      </c>
      <c r="AG487" s="80" t="s">
        <v>3011</v>
      </c>
      <c r="AH487" s="80" t="s">
        <v>3541</v>
      </c>
      <c r="AI487" s="80">
        <v>16037</v>
      </c>
      <c r="AJ487" s="80">
        <v>7</v>
      </c>
      <c r="AK487" s="80">
        <v>30</v>
      </c>
      <c r="AL487" s="80">
        <v>3</v>
      </c>
      <c r="AM487" s="80" t="s">
        <v>4098</v>
      </c>
      <c r="AN487" s="96" t="str">
        <f>HYPERLINK("https://www.youtube.com/watch?v=Son4TJQckxE")</f>
        <v>https://www.youtube.com/watch?v=Son4TJQckxE</v>
      </c>
      <c r="AO487" s="80" t="e">
        <f>REPLACE(INDEX(GroupVertices[Group],MATCH(Vertices[[#This Row],[Vertex]],GroupVertices[Vertex],0)),1,1,"")</f>
        <v>#N/A</v>
      </c>
      <c r="AP487" s="48"/>
      <c r="AQ487" s="49"/>
      <c r="AR487" s="48"/>
      <c r="AS487" s="49"/>
      <c r="AT487" s="48"/>
      <c r="AU487" s="49"/>
      <c r="AV487" s="48"/>
      <c r="AW487" s="49"/>
      <c r="AX487" s="48"/>
      <c r="AY487" s="48"/>
      <c r="AZ487" s="48"/>
      <c r="BA487" s="48"/>
      <c r="BB487" s="48"/>
      <c r="BC487" s="2"/>
      <c r="BD487" s="3"/>
      <c r="BE487" s="3"/>
      <c r="BF487" s="3"/>
      <c r="BG487" s="3"/>
    </row>
    <row r="488" spans="1:59" ht="15">
      <c r="A488" s="66" t="s">
        <v>523</v>
      </c>
      <c r="B488" s="67" t="s">
        <v>4461</v>
      </c>
      <c r="C488" s="67"/>
      <c r="D488" s="68">
        <v>639.0020537378074</v>
      </c>
      <c r="E488" s="70"/>
      <c r="F488" s="97" t="str">
        <f>HYPERLINK("https://i.ytimg.com/vi/dGa-TXpoPz8/default.jpg")</f>
        <v>https://i.ytimg.com/vi/dGa-TXpoPz8/default.jpg</v>
      </c>
      <c r="G488" s="120" t="s">
        <v>52</v>
      </c>
      <c r="H488" s="71" t="s">
        <v>1254</v>
      </c>
      <c r="I488" s="72"/>
      <c r="J488" s="72" t="s">
        <v>159</v>
      </c>
      <c r="K488" s="71" t="s">
        <v>1254</v>
      </c>
      <c r="L488" s="75">
        <v>213.72340425531914</v>
      </c>
      <c r="M488" s="76">
        <v>9579.1298828125</v>
      </c>
      <c r="N488" s="76">
        <v>9437.1240234375</v>
      </c>
      <c r="O488" s="77"/>
      <c r="P488" s="78"/>
      <c r="Q488" s="78"/>
      <c r="R488" s="82"/>
      <c r="S488" s="48"/>
      <c r="T488" s="48"/>
      <c r="U488" s="49"/>
      <c r="V488" s="49"/>
      <c r="W488" s="49"/>
      <c r="X488" s="49"/>
      <c r="Y488" s="49"/>
      <c r="Z488" s="49"/>
      <c r="AA488" s="73">
        <v>488</v>
      </c>
      <c r="AB488" s="73"/>
      <c r="AC488" s="74"/>
      <c r="AD488" s="80" t="s">
        <v>1254</v>
      </c>
      <c r="AE488" s="80" t="s">
        <v>1934</v>
      </c>
      <c r="AF488" s="80" t="s">
        <v>1254</v>
      </c>
      <c r="AG488" s="80" t="s">
        <v>3091</v>
      </c>
      <c r="AH488" s="80" t="s">
        <v>3666</v>
      </c>
      <c r="AI488" s="80">
        <v>15988</v>
      </c>
      <c r="AJ488" s="80">
        <v>9</v>
      </c>
      <c r="AK488" s="80">
        <v>33</v>
      </c>
      <c r="AL488" s="80">
        <v>3</v>
      </c>
      <c r="AM488" s="80" t="s">
        <v>4098</v>
      </c>
      <c r="AN488" s="96" t="str">
        <f>HYPERLINK("https://www.youtube.com/watch?v=dGa-TXpoPz8")</f>
        <v>https://www.youtube.com/watch?v=dGa-TXpoPz8</v>
      </c>
      <c r="AO488" s="80" t="e">
        <f>REPLACE(INDEX(GroupVertices[Group],MATCH(Vertices[[#This Row],[Vertex]],GroupVertices[Vertex],0)),1,1,"")</f>
        <v>#N/A</v>
      </c>
      <c r="AP488" s="48"/>
      <c r="AQ488" s="49"/>
      <c r="AR488" s="48"/>
      <c r="AS488" s="49"/>
      <c r="AT488" s="48"/>
      <c r="AU488" s="49"/>
      <c r="AV488" s="48"/>
      <c r="AW488" s="49"/>
      <c r="AX488" s="48"/>
      <c r="AY488" s="48"/>
      <c r="AZ488" s="48"/>
      <c r="BA488" s="48"/>
      <c r="BB488" s="48"/>
      <c r="BC488" s="2"/>
      <c r="BD488" s="3"/>
      <c r="BE488" s="3"/>
      <c r="BF488" s="3"/>
      <c r="BG488" s="3"/>
    </row>
    <row r="489" spans="1:59" ht="15">
      <c r="A489" s="66" t="s">
        <v>892</v>
      </c>
      <c r="B489" s="67" t="s">
        <v>4461</v>
      </c>
      <c r="C489" s="67"/>
      <c r="D489" s="68">
        <v>630.8062782659707</v>
      </c>
      <c r="E489" s="70"/>
      <c r="F489" s="97" t="str">
        <f>HYPERLINK("https://i.ytimg.com/vi/PS_L2-YJTXk/default.jpg")</f>
        <v>https://i.ytimg.com/vi/PS_L2-YJTXk/default.jpg</v>
      </c>
      <c r="G489" s="120" t="s">
        <v>52</v>
      </c>
      <c r="H489" s="71" t="s">
        <v>1630</v>
      </c>
      <c r="I489" s="72"/>
      <c r="J489" s="72" t="s">
        <v>159</v>
      </c>
      <c r="K489" s="71" t="s">
        <v>1630</v>
      </c>
      <c r="L489" s="75">
        <v>213.72340425531914</v>
      </c>
      <c r="M489" s="76">
        <v>1685.6126708984375</v>
      </c>
      <c r="N489" s="76">
        <v>4754.63134765625</v>
      </c>
      <c r="O489" s="77"/>
      <c r="P489" s="78"/>
      <c r="Q489" s="78"/>
      <c r="R489" s="82"/>
      <c r="S489" s="48"/>
      <c r="T489" s="48"/>
      <c r="U489" s="49"/>
      <c r="V489" s="49"/>
      <c r="W489" s="49"/>
      <c r="X489" s="49"/>
      <c r="Y489" s="49"/>
      <c r="Z489" s="49"/>
      <c r="AA489" s="73">
        <v>489</v>
      </c>
      <c r="AB489" s="73"/>
      <c r="AC489" s="74"/>
      <c r="AD489" s="80" t="s">
        <v>1630</v>
      </c>
      <c r="AE489" s="80" t="s">
        <v>2268</v>
      </c>
      <c r="AF489" s="80" t="s">
        <v>2850</v>
      </c>
      <c r="AG489" s="80" t="s">
        <v>3338</v>
      </c>
      <c r="AH489" s="80" t="s">
        <v>4046</v>
      </c>
      <c r="AI489" s="80">
        <v>14578</v>
      </c>
      <c r="AJ489" s="80">
        <v>11</v>
      </c>
      <c r="AK489" s="80">
        <v>54</v>
      </c>
      <c r="AL489" s="80">
        <v>3</v>
      </c>
      <c r="AM489" s="80" t="s">
        <v>4098</v>
      </c>
      <c r="AN489" s="96" t="str">
        <f>HYPERLINK("https://www.youtube.com/watch?v=PS_L2-YJTXk")</f>
        <v>https://www.youtube.com/watch?v=PS_L2-YJTXk</v>
      </c>
      <c r="AO489" s="80" t="e">
        <f>REPLACE(INDEX(GroupVertices[Group],MATCH(Vertices[[#This Row],[Vertex]],GroupVertices[Vertex],0)),1,1,"")</f>
        <v>#N/A</v>
      </c>
      <c r="AP489" s="48"/>
      <c r="AQ489" s="49"/>
      <c r="AR489" s="48"/>
      <c r="AS489" s="49"/>
      <c r="AT489" s="48"/>
      <c r="AU489" s="49"/>
      <c r="AV489" s="48"/>
      <c r="AW489" s="49"/>
      <c r="AX489" s="48"/>
      <c r="AY489" s="48"/>
      <c r="AZ489" s="48"/>
      <c r="BA489" s="48"/>
      <c r="BB489" s="48"/>
      <c r="BC489" s="2"/>
      <c r="BD489" s="3"/>
      <c r="BE489" s="3"/>
      <c r="BF489" s="3"/>
      <c r="BG489" s="3"/>
    </row>
    <row r="490" spans="1:59" ht="15">
      <c r="A490" s="66" t="s">
        <v>318</v>
      </c>
      <c r="B490" s="67" t="s">
        <v>4461</v>
      </c>
      <c r="C490" s="67"/>
      <c r="D490" s="68">
        <v>603.7163733634954</v>
      </c>
      <c r="E490" s="70"/>
      <c r="F490" s="97" t="str">
        <f>HYPERLINK("https://i.ytimg.com/vi/ZJfsihTfKwY/default.jpg")</f>
        <v>https://i.ytimg.com/vi/ZJfsihTfKwY/default.jpg</v>
      </c>
      <c r="G490" s="120" t="s">
        <v>52</v>
      </c>
      <c r="H490" s="71" t="s">
        <v>1018</v>
      </c>
      <c r="I490" s="72"/>
      <c r="J490" s="72" t="s">
        <v>159</v>
      </c>
      <c r="K490" s="71" t="s">
        <v>1018</v>
      </c>
      <c r="L490" s="75">
        <v>213.72340425531914</v>
      </c>
      <c r="M490" s="76">
        <v>6068.19775390625</v>
      </c>
      <c r="N490" s="76">
        <v>5232.501953125</v>
      </c>
      <c r="O490" s="77"/>
      <c r="P490" s="78"/>
      <c r="Q490" s="78"/>
      <c r="R490" s="82"/>
      <c r="S490" s="48"/>
      <c r="T490" s="48"/>
      <c r="U490" s="49"/>
      <c r="V490" s="49"/>
      <c r="W490" s="49"/>
      <c r="X490" s="49"/>
      <c r="Y490" s="49"/>
      <c r="Z490" s="49"/>
      <c r="AA490" s="73">
        <v>490</v>
      </c>
      <c r="AB490" s="73"/>
      <c r="AC490" s="74"/>
      <c r="AD490" s="80" t="s">
        <v>1018</v>
      </c>
      <c r="AE490" s="80"/>
      <c r="AF490" s="80"/>
      <c r="AG490" s="80" t="s">
        <v>2947</v>
      </c>
      <c r="AH490" s="80" t="s">
        <v>3433</v>
      </c>
      <c r="AI490" s="80">
        <v>10744</v>
      </c>
      <c r="AJ490" s="80">
        <v>11</v>
      </c>
      <c r="AK490" s="80">
        <v>68</v>
      </c>
      <c r="AL490" s="80">
        <v>3</v>
      </c>
      <c r="AM490" s="80" t="s">
        <v>4098</v>
      </c>
      <c r="AN490" s="96" t="str">
        <f>HYPERLINK("https://www.youtube.com/watch?v=ZJfsihTfKwY")</f>
        <v>https://www.youtube.com/watch?v=ZJfsihTfKwY</v>
      </c>
      <c r="AO490" s="80" t="e">
        <f>REPLACE(INDEX(GroupVertices[Group],MATCH(Vertices[[#This Row],[Vertex]],GroupVertices[Vertex],0)),1,1,"")</f>
        <v>#N/A</v>
      </c>
      <c r="AP490" s="48"/>
      <c r="AQ490" s="49"/>
      <c r="AR490" s="48"/>
      <c r="AS490" s="49"/>
      <c r="AT490" s="48"/>
      <c r="AU490" s="49"/>
      <c r="AV490" s="48"/>
      <c r="AW490" s="49"/>
      <c r="AX490" s="48"/>
      <c r="AY490" s="48"/>
      <c r="AZ490" s="48"/>
      <c r="BA490" s="48"/>
      <c r="BB490" s="48"/>
      <c r="BC490" s="2"/>
      <c r="BD490" s="3"/>
      <c r="BE490" s="3"/>
      <c r="BF490" s="3"/>
      <c r="BG490" s="3"/>
    </row>
    <row r="491" spans="1:59" ht="15">
      <c r="A491" s="66" t="s">
        <v>694</v>
      </c>
      <c r="B491" s="67" t="s">
        <v>4461</v>
      </c>
      <c r="C491" s="67"/>
      <c r="D491" s="68">
        <v>598.6501386122337</v>
      </c>
      <c r="E491" s="70"/>
      <c r="F491" s="97" t="str">
        <f>HYPERLINK("https://i.ytimg.com/vi/dHlvIwZmAH8/default.jpg")</f>
        <v>https://i.ytimg.com/vi/dHlvIwZmAH8/default.jpg</v>
      </c>
      <c r="G491" s="120" t="s">
        <v>52</v>
      </c>
      <c r="H491" s="71" t="s">
        <v>1435</v>
      </c>
      <c r="I491" s="72"/>
      <c r="J491" s="72" t="s">
        <v>159</v>
      </c>
      <c r="K491" s="71" t="s">
        <v>1435</v>
      </c>
      <c r="L491" s="75">
        <v>213.72340425531914</v>
      </c>
      <c r="M491" s="76">
        <v>8840.55078125</v>
      </c>
      <c r="N491" s="76">
        <v>2082.875732421875</v>
      </c>
      <c r="O491" s="77"/>
      <c r="P491" s="78"/>
      <c r="Q491" s="78"/>
      <c r="R491" s="82"/>
      <c r="S491" s="48"/>
      <c r="T491" s="48"/>
      <c r="U491" s="49"/>
      <c r="V491" s="49"/>
      <c r="W491" s="49"/>
      <c r="X491" s="49"/>
      <c r="Y491" s="49"/>
      <c r="Z491" s="49"/>
      <c r="AA491" s="73">
        <v>491</v>
      </c>
      <c r="AB491" s="73"/>
      <c r="AC491" s="74"/>
      <c r="AD491" s="80" t="s">
        <v>1435</v>
      </c>
      <c r="AE491" s="80" t="s">
        <v>2093</v>
      </c>
      <c r="AF491" s="80" t="s">
        <v>2683</v>
      </c>
      <c r="AG491" s="80" t="s">
        <v>3218</v>
      </c>
      <c r="AH491" s="80" t="s">
        <v>3847</v>
      </c>
      <c r="AI491" s="80">
        <v>10148</v>
      </c>
      <c r="AJ491" s="80">
        <v>6</v>
      </c>
      <c r="AK491" s="80">
        <v>219</v>
      </c>
      <c r="AL491" s="80">
        <v>3</v>
      </c>
      <c r="AM491" s="80" t="s">
        <v>4098</v>
      </c>
      <c r="AN491" s="96" t="str">
        <f>HYPERLINK("https://www.youtube.com/watch?v=dHlvIwZmAH8")</f>
        <v>https://www.youtube.com/watch?v=dHlvIwZmAH8</v>
      </c>
      <c r="AO491" s="80" t="e">
        <f>REPLACE(INDEX(GroupVertices[Group],MATCH(Vertices[[#This Row],[Vertex]],GroupVertices[Vertex],0)),1,1,"")</f>
        <v>#N/A</v>
      </c>
      <c r="AP491" s="48"/>
      <c r="AQ491" s="49"/>
      <c r="AR491" s="48"/>
      <c r="AS491" s="49"/>
      <c r="AT491" s="48"/>
      <c r="AU491" s="49"/>
      <c r="AV491" s="48"/>
      <c r="AW491" s="49"/>
      <c r="AX491" s="48"/>
      <c r="AY491" s="48"/>
      <c r="AZ491" s="48"/>
      <c r="BA491" s="48"/>
      <c r="BB491" s="48"/>
      <c r="BC491" s="2"/>
      <c r="BD491" s="3"/>
      <c r="BE491" s="3"/>
      <c r="BF491" s="3"/>
      <c r="BG491" s="3"/>
    </row>
    <row r="492" spans="1:59" ht="15">
      <c r="A492" s="66" t="s">
        <v>745</v>
      </c>
      <c r="B492" s="67" t="s">
        <v>4461</v>
      </c>
      <c r="C492" s="67"/>
      <c r="D492" s="68">
        <v>589.2563463429086</v>
      </c>
      <c r="E492" s="70"/>
      <c r="F492" s="97" t="str">
        <f>HYPERLINK("https://i.ytimg.com/vi/XRMhgxW-C_M/default.jpg")</f>
        <v>https://i.ytimg.com/vi/XRMhgxW-C_M/default.jpg</v>
      </c>
      <c r="G492" s="120" t="s">
        <v>52</v>
      </c>
      <c r="H492" s="71" t="s">
        <v>1486</v>
      </c>
      <c r="I492" s="72"/>
      <c r="J492" s="72" t="s">
        <v>159</v>
      </c>
      <c r="K492" s="71" t="s">
        <v>1486</v>
      </c>
      <c r="L492" s="75">
        <v>213.72340425531914</v>
      </c>
      <c r="M492" s="76">
        <v>3060.342529296875</v>
      </c>
      <c r="N492" s="76">
        <v>4946.67578125</v>
      </c>
      <c r="O492" s="77"/>
      <c r="P492" s="78"/>
      <c r="Q492" s="78"/>
      <c r="R492" s="82"/>
      <c r="S492" s="48"/>
      <c r="T492" s="48"/>
      <c r="U492" s="49"/>
      <c r="V492" s="49"/>
      <c r="W492" s="49"/>
      <c r="X492" s="49"/>
      <c r="Y492" s="49"/>
      <c r="Z492" s="49"/>
      <c r="AA492" s="73">
        <v>492</v>
      </c>
      <c r="AB492" s="73"/>
      <c r="AC492" s="74"/>
      <c r="AD492" s="80" t="s">
        <v>1486</v>
      </c>
      <c r="AE492" s="80" t="s">
        <v>2141</v>
      </c>
      <c r="AF492" s="80"/>
      <c r="AG492" s="80" t="s">
        <v>3255</v>
      </c>
      <c r="AH492" s="80" t="s">
        <v>3899</v>
      </c>
      <c r="AI492" s="80">
        <v>9129</v>
      </c>
      <c r="AJ492" s="80">
        <v>12</v>
      </c>
      <c r="AK492" s="80">
        <v>89</v>
      </c>
      <c r="AL492" s="80">
        <v>3</v>
      </c>
      <c r="AM492" s="80" t="s">
        <v>4098</v>
      </c>
      <c r="AN492" s="96" t="str">
        <f>HYPERLINK("https://www.youtube.com/watch?v=XRMhgxW-C_M")</f>
        <v>https://www.youtube.com/watch?v=XRMhgxW-C_M</v>
      </c>
      <c r="AO492" s="80" t="e">
        <f>REPLACE(INDEX(GroupVertices[Group],MATCH(Vertices[[#This Row],[Vertex]],GroupVertices[Vertex],0)),1,1,"")</f>
        <v>#N/A</v>
      </c>
      <c r="AP492" s="48"/>
      <c r="AQ492" s="49"/>
      <c r="AR492" s="48"/>
      <c r="AS492" s="49"/>
      <c r="AT492" s="48"/>
      <c r="AU492" s="49"/>
      <c r="AV492" s="48"/>
      <c r="AW492" s="49"/>
      <c r="AX492" s="48"/>
      <c r="AY492" s="48"/>
      <c r="AZ492" s="48"/>
      <c r="BA492" s="48"/>
      <c r="BB492" s="48"/>
      <c r="BC492" s="2"/>
      <c r="BD492" s="3"/>
      <c r="BE492" s="3"/>
      <c r="BF492" s="3"/>
      <c r="BG492" s="3"/>
    </row>
    <row r="493" spans="1:59" ht="15">
      <c r="A493" s="66" t="s">
        <v>268</v>
      </c>
      <c r="B493" s="67" t="s">
        <v>4461</v>
      </c>
      <c r="C493" s="67"/>
      <c r="D493" s="68">
        <v>578.1344650257068</v>
      </c>
      <c r="E493" s="70"/>
      <c r="F493" s="97" t="str">
        <f>HYPERLINK("https://i.ytimg.com/vi/kCeQIfsnwU4/default.jpg")</f>
        <v>https://i.ytimg.com/vi/kCeQIfsnwU4/default.jpg</v>
      </c>
      <c r="G493" s="120" t="s">
        <v>52</v>
      </c>
      <c r="H493" s="71" t="s">
        <v>963</v>
      </c>
      <c r="I493" s="72"/>
      <c r="J493" s="72" t="s">
        <v>159</v>
      </c>
      <c r="K493" s="71" t="s">
        <v>963</v>
      </c>
      <c r="L493" s="75">
        <v>213.72340425531914</v>
      </c>
      <c r="M493" s="76">
        <v>5518.0673828125</v>
      </c>
      <c r="N493" s="76">
        <v>9785.4482421875</v>
      </c>
      <c r="O493" s="77"/>
      <c r="P493" s="78"/>
      <c r="Q493" s="78"/>
      <c r="R493" s="82"/>
      <c r="S493" s="48"/>
      <c r="T493" s="48"/>
      <c r="U493" s="49"/>
      <c r="V493" s="49"/>
      <c r="W493" s="49"/>
      <c r="X493" s="49"/>
      <c r="Y493" s="49"/>
      <c r="Z493" s="49"/>
      <c r="AA493" s="73">
        <v>493</v>
      </c>
      <c r="AB493" s="73"/>
      <c r="AC493" s="74"/>
      <c r="AD493" s="80" t="s">
        <v>963</v>
      </c>
      <c r="AE493" s="80" t="s">
        <v>1688</v>
      </c>
      <c r="AF493" s="80" t="s">
        <v>2322</v>
      </c>
      <c r="AG493" s="80" t="s">
        <v>2900</v>
      </c>
      <c r="AH493" s="80" t="s">
        <v>3378</v>
      </c>
      <c r="AI493" s="80">
        <v>8054</v>
      </c>
      <c r="AJ493" s="80">
        <v>17</v>
      </c>
      <c r="AK493" s="80">
        <v>115</v>
      </c>
      <c r="AL493" s="80">
        <v>3</v>
      </c>
      <c r="AM493" s="80" t="s">
        <v>4098</v>
      </c>
      <c r="AN493" s="96" t="str">
        <f>HYPERLINK("https://www.youtube.com/watch?v=kCeQIfsnwU4")</f>
        <v>https://www.youtube.com/watch?v=kCeQIfsnwU4</v>
      </c>
      <c r="AO493" s="80" t="e">
        <f>REPLACE(INDEX(GroupVertices[Group],MATCH(Vertices[[#This Row],[Vertex]],GroupVertices[Vertex],0)),1,1,"")</f>
        <v>#N/A</v>
      </c>
      <c r="AP493" s="48"/>
      <c r="AQ493" s="49"/>
      <c r="AR493" s="48"/>
      <c r="AS493" s="49"/>
      <c r="AT493" s="48"/>
      <c r="AU493" s="49"/>
      <c r="AV493" s="48"/>
      <c r="AW493" s="49"/>
      <c r="AX493" s="48"/>
      <c r="AY493" s="48"/>
      <c r="AZ493" s="48"/>
      <c r="BA493" s="48"/>
      <c r="BB493" s="48"/>
      <c r="BC493" s="2"/>
      <c r="BD493" s="3"/>
      <c r="BE493" s="3"/>
      <c r="BF493" s="3"/>
      <c r="BG493" s="3"/>
    </row>
    <row r="494" spans="1:59" ht="15">
      <c r="A494" s="66" t="s">
        <v>319</v>
      </c>
      <c r="B494" s="67" t="s">
        <v>4461</v>
      </c>
      <c r="C494" s="67"/>
      <c r="D494" s="68">
        <v>568.1103066273896</v>
      </c>
      <c r="E494" s="70"/>
      <c r="F494" s="97" t="str">
        <f>HYPERLINK("https://i.ytimg.com/vi/xcHocGRSX6E/default.jpg")</f>
        <v>https://i.ytimg.com/vi/xcHocGRSX6E/default.jpg</v>
      </c>
      <c r="G494" s="120" t="s">
        <v>52</v>
      </c>
      <c r="H494" s="71" t="s">
        <v>1019</v>
      </c>
      <c r="I494" s="72"/>
      <c r="J494" s="72" t="s">
        <v>159</v>
      </c>
      <c r="K494" s="71" t="s">
        <v>1019</v>
      </c>
      <c r="L494" s="75">
        <v>213.72340425531914</v>
      </c>
      <c r="M494" s="76">
        <v>6167.111328125</v>
      </c>
      <c r="N494" s="76">
        <v>4857.31689453125</v>
      </c>
      <c r="O494" s="77"/>
      <c r="P494" s="78"/>
      <c r="Q494" s="78"/>
      <c r="R494" s="82"/>
      <c r="S494" s="48"/>
      <c r="T494" s="48"/>
      <c r="U494" s="49"/>
      <c r="V494" s="49"/>
      <c r="W494" s="49"/>
      <c r="X494" s="49"/>
      <c r="Y494" s="49"/>
      <c r="Z494" s="49"/>
      <c r="AA494" s="73">
        <v>494</v>
      </c>
      <c r="AB494" s="73"/>
      <c r="AC494" s="74"/>
      <c r="AD494" s="80" t="s">
        <v>1019</v>
      </c>
      <c r="AE494" s="80" t="s">
        <v>1736</v>
      </c>
      <c r="AF494" s="80" t="s">
        <v>2368</v>
      </c>
      <c r="AG494" s="80" t="s">
        <v>2948</v>
      </c>
      <c r="AH494" s="80" t="s">
        <v>3434</v>
      </c>
      <c r="AI494" s="80">
        <v>7194</v>
      </c>
      <c r="AJ494" s="80">
        <v>2</v>
      </c>
      <c r="AK494" s="80">
        <v>49</v>
      </c>
      <c r="AL494" s="80">
        <v>3</v>
      </c>
      <c r="AM494" s="80" t="s">
        <v>4098</v>
      </c>
      <c r="AN494" s="96" t="str">
        <f>HYPERLINK("https://www.youtube.com/watch?v=xcHocGRSX6E")</f>
        <v>https://www.youtube.com/watch?v=xcHocGRSX6E</v>
      </c>
      <c r="AO494" s="80" t="e">
        <f>REPLACE(INDEX(GroupVertices[Group],MATCH(Vertices[[#This Row],[Vertex]],GroupVertices[Vertex],0)),1,1,"")</f>
        <v>#N/A</v>
      </c>
      <c r="AP494" s="48"/>
      <c r="AQ494" s="49"/>
      <c r="AR494" s="48"/>
      <c r="AS494" s="49"/>
      <c r="AT494" s="48"/>
      <c r="AU494" s="49"/>
      <c r="AV494" s="48"/>
      <c r="AW494" s="49"/>
      <c r="AX494" s="48"/>
      <c r="AY494" s="48"/>
      <c r="AZ494" s="48"/>
      <c r="BA494" s="48"/>
      <c r="BB494" s="48"/>
      <c r="BC494" s="2"/>
      <c r="BD494" s="3"/>
      <c r="BE494" s="3"/>
      <c r="BF494" s="3"/>
      <c r="BG494" s="3"/>
    </row>
    <row r="495" spans="1:59" ht="15">
      <c r="A495" s="66" t="s">
        <v>874</v>
      </c>
      <c r="B495" s="67" t="s">
        <v>4461</v>
      </c>
      <c r="C495" s="67"/>
      <c r="D495" s="68">
        <v>567.5905250095987</v>
      </c>
      <c r="E495" s="70"/>
      <c r="F495" s="97" t="str">
        <f>HYPERLINK("https://i.ytimg.com/vi/qAVGpb8KMpk/default.jpg")</f>
        <v>https://i.ytimg.com/vi/qAVGpb8KMpk/default.jpg</v>
      </c>
      <c r="G495" s="120" t="s">
        <v>52</v>
      </c>
      <c r="H495" s="71" t="s">
        <v>1613</v>
      </c>
      <c r="I495" s="72"/>
      <c r="J495" s="72" t="s">
        <v>159</v>
      </c>
      <c r="K495" s="71" t="s">
        <v>1613</v>
      </c>
      <c r="L495" s="75">
        <v>213.72340425531914</v>
      </c>
      <c r="M495" s="76">
        <v>1613.0645751953125</v>
      </c>
      <c r="N495" s="76">
        <v>5474.1572265625</v>
      </c>
      <c r="O495" s="77"/>
      <c r="P495" s="78"/>
      <c r="Q495" s="78"/>
      <c r="R495" s="82"/>
      <c r="S495" s="48"/>
      <c r="T495" s="48"/>
      <c r="U495" s="49"/>
      <c r="V495" s="49"/>
      <c r="W495" s="49"/>
      <c r="X495" s="49"/>
      <c r="Y495" s="49"/>
      <c r="Z495" s="49"/>
      <c r="AA495" s="73">
        <v>495</v>
      </c>
      <c r="AB495" s="73"/>
      <c r="AC495" s="74"/>
      <c r="AD495" s="80" t="s">
        <v>1613</v>
      </c>
      <c r="AE495" s="80" t="s">
        <v>2252</v>
      </c>
      <c r="AF495" s="80" t="s">
        <v>2834</v>
      </c>
      <c r="AG495" s="80" t="s">
        <v>3096</v>
      </c>
      <c r="AH495" s="80" t="s">
        <v>4028</v>
      </c>
      <c r="AI495" s="80">
        <v>7152</v>
      </c>
      <c r="AJ495" s="80">
        <v>4</v>
      </c>
      <c r="AK495" s="80">
        <v>43</v>
      </c>
      <c r="AL495" s="80">
        <v>3</v>
      </c>
      <c r="AM495" s="80" t="s">
        <v>4098</v>
      </c>
      <c r="AN495" s="96" t="str">
        <f>HYPERLINK("https://www.youtube.com/watch?v=qAVGpb8KMpk")</f>
        <v>https://www.youtube.com/watch?v=qAVGpb8KMpk</v>
      </c>
      <c r="AO495" s="80" t="e">
        <f>REPLACE(INDEX(GroupVertices[Group],MATCH(Vertices[[#This Row],[Vertex]],GroupVertices[Vertex],0)),1,1,"")</f>
        <v>#N/A</v>
      </c>
      <c r="AP495" s="48"/>
      <c r="AQ495" s="49"/>
      <c r="AR495" s="48"/>
      <c r="AS495" s="49"/>
      <c r="AT495" s="48"/>
      <c r="AU495" s="49"/>
      <c r="AV495" s="48"/>
      <c r="AW495" s="49"/>
      <c r="AX495" s="48"/>
      <c r="AY495" s="48"/>
      <c r="AZ495" s="48"/>
      <c r="BA495" s="48"/>
      <c r="BB495" s="48"/>
      <c r="BC495" s="2"/>
      <c r="BD495" s="3"/>
      <c r="BE495" s="3"/>
      <c r="BF495" s="3"/>
      <c r="BG495" s="3"/>
    </row>
    <row r="496" spans="1:59" ht="15">
      <c r="A496" s="66" t="s">
        <v>422</v>
      </c>
      <c r="B496" s="67" t="s">
        <v>4461</v>
      </c>
      <c r="C496" s="67"/>
      <c r="D496" s="68">
        <v>567.0551957225266</v>
      </c>
      <c r="E496" s="70"/>
      <c r="F496" s="97" t="str">
        <f>HYPERLINK("https://i.ytimg.com/vi/6eg9hu0a_OY/default.jpg")</f>
        <v>https://i.ytimg.com/vi/6eg9hu0a_OY/default.jpg</v>
      </c>
      <c r="G496" s="120" t="s">
        <v>52</v>
      </c>
      <c r="H496" s="71" t="s">
        <v>1130</v>
      </c>
      <c r="I496" s="72"/>
      <c r="J496" s="72" t="s">
        <v>159</v>
      </c>
      <c r="K496" s="71" t="s">
        <v>1130</v>
      </c>
      <c r="L496" s="75">
        <v>213.72340425531914</v>
      </c>
      <c r="M496" s="76">
        <v>8972.08984375</v>
      </c>
      <c r="N496" s="76">
        <v>3949.94140625</v>
      </c>
      <c r="O496" s="77"/>
      <c r="P496" s="78"/>
      <c r="Q496" s="78"/>
      <c r="R496" s="82"/>
      <c r="S496" s="48"/>
      <c r="T496" s="48"/>
      <c r="U496" s="49"/>
      <c r="V496" s="49"/>
      <c r="W496" s="49"/>
      <c r="X496" s="49"/>
      <c r="Y496" s="49"/>
      <c r="Z496" s="49"/>
      <c r="AA496" s="73">
        <v>496</v>
      </c>
      <c r="AB496" s="73"/>
      <c r="AC496" s="74"/>
      <c r="AD496" s="80" t="s">
        <v>1130</v>
      </c>
      <c r="AE496" s="80" t="s">
        <v>1827</v>
      </c>
      <c r="AF496" s="80" t="s">
        <v>2447</v>
      </c>
      <c r="AG496" s="80" t="s">
        <v>3013</v>
      </c>
      <c r="AH496" s="80" t="s">
        <v>3543</v>
      </c>
      <c r="AI496" s="80">
        <v>7109</v>
      </c>
      <c r="AJ496" s="80">
        <v>3</v>
      </c>
      <c r="AK496" s="80">
        <v>5</v>
      </c>
      <c r="AL496" s="80">
        <v>3</v>
      </c>
      <c r="AM496" s="80" t="s">
        <v>4098</v>
      </c>
      <c r="AN496" s="96" t="str">
        <f>HYPERLINK("https://www.youtube.com/watch?v=6eg9hu0a_OY")</f>
        <v>https://www.youtube.com/watch?v=6eg9hu0a_OY</v>
      </c>
      <c r="AO496" s="80" t="e">
        <f>REPLACE(INDEX(GroupVertices[Group],MATCH(Vertices[[#This Row],[Vertex]],GroupVertices[Vertex],0)),1,1,"")</f>
        <v>#N/A</v>
      </c>
      <c r="AP496" s="48"/>
      <c r="AQ496" s="49"/>
      <c r="AR496" s="48"/>
      <c r="AS496" s="49"/>
      <c r="AT496" s="48"/>
      <c r="AU496" s="49"/>
      <c r="AV496" s="48"/>
      <c r="AW496" s="49"/>
      <c r="AX496" s="48"/>
      <c r="AY496" s="48"/>
      <c r="AZ496" s="48"/>
      <c r="BA496" s="48"/>
      <c r="BB496" s="48"/>
      <c r="BC496" s="2"/>
      <c r="BD496" s="3"/>
      <c r="BE496" s="3"/>
      <c r="BF496" s="3"/>
      <c r="BG496" s="3"/>
    </row>
    <row r="497" spans="1:59" ht="15">
      <c r="A497" s="66" t="s">
        <v>638</v>
      </c>
      <c r="B497" s="67" t="s">
        <v>4461</v>
      </c>
      <c r="C497" s="67"/>
      <c r="D497" s="68">
        <v>555.196125841836</v>
      </c>
      <c r="E497" s="70"/>
      <c r="F497" s="97" t="str">
        <f>HYPERLINK("https://i.ytimg.com/vi/fwdwXh9eUZo/default.jpg")</f>
        <v>https://i.ytimg.com/vi/fwdwXh9eUZo/default.jpg</v>
      </c>
      <c r="G497" s="120" t="s">
        <v>52</v>
      </c>
      <c r="H497" s="71" t="s">
        <v>1378</v>
      </c>
      <c r="I497" s="72"/>
      <c r="J497" s="72" t="s">
        <v>159</v>
      </c>
      <c r="K497" s="71" t="s">
        <v>1378</v>
      </c>
      <c r="L497" s="75">
        <v>213.72340425531914</v>
      </c>
      <c r="M497" s="76">
        <v>1203.15576171875</v>
      </c>
      <c r="N497" s="76">
        <v>4797.2080078125</v>
      </c>
      <c r="O497" s="77"/>
      <c r="P497" s="78"/>
      <c r="Q497" s="78"/>
      <c r="R497" s="82"/>
      <c r="S497" s="48"/>
      <c r="T497" s="48"/>
      <c r="U497" s="49"/>
      <c r="V497" s="49"/>
      <c r="W497" s="49"/>
      <c r="X497" s="49"/>
      <c r="Y497" s="49"/>
      <c r="Z497" s="49"/>
      <c r="AA497" s="73">
        <v>497</v>
      </c>
      <c r="AB497" s="73"/>
      <c r="AC497" s="74"/>
      <c r="AD497" s="80" t="s">
        <v>1378</v>
      </c>
      <c r="AE497" s="80" t="s">
        <v>2044</v>
      </c>
      <c r="AF497" s="80" t="s">
        <v>2575</v>
      </c>
      <c r="AG497" s="80" t="s">
        <v>3055</v>
      </c>
      <c r="AH497" s="80" t="s">
        <v>3790</v>
      </c>
      <c r="AI497" s="80">
        <v>6220</v>
      </c>
      <c r="AJ497" s="80">
        <v>2</v>
      </c>
      <c r="AK497" s="80">
        <v>54</v>
      </c>
      <c r="AL497" s="80">
        <v>3</v>
      </c>
      <c r="AM497" s="80" t="s">
        <v>4098</v>
      </c>
      <c r="AN497" s="96" t="str">
        <f>HYPERLINK("https://www.youtube.com/watch?v=fwdwXh9eUZo")</f>
        <v>https://www.youtube.com/watch?v=fwdwXh9eUZo</v>
      </c>
      <c r="AO497" s="80" t="e">
        <f>REPLACE(INDEX(GroupVertices[Group],MATCH(Vertices[[#This Row],[Vertex]],GroupVertices[Vertex],0)),1,1,"")</f>
        <v>#N/A</v>
      </c>
      <c r="AP497" s="48"/>
      <c r="AQ497" s="49"/>
      <c r="AR497" s="48"/>
      <c r="AS497" s="49"/>
      <c r="AT497" s="48"/>
      <c r="AU497" s="49"/>
      <c r="AV497" s="48"/>
      <c r="AW497" s="49"/>
      <c r="AX497" s="48"/>
      <c r="AY497" s="48"/>
      <c r="AZ497" s="48"/>
      <c r="BA497" s="48"/>
      <c r="BB497" s="48"/>
      <c r="BC497" s="2"/>
      <c r="BD497" s="3"/>
      <c r="BE497" s="3"/>
      <c r="BF497" s="3"/>
      <c r="BG497" s="3"/>
    </row>
    <row r="498" spans="1:59" ht="15">
      <c r="A498" s="66" t="s">
        <v>608</v>
      </c>
      <c r="B498" s="67" t="s">
        <v>4461</v>
      </c>
      <c r="C498" s="67"/>
      <c r="D498" s="68">
        <v>529.4105700965902</v>
      </c>
      <c r="E498" s="70"/>
      <c r="F498" s="97" t="str">
        <f>HYPERLINK("https://i.ytimg.com/vi/YYzL4lmm3ms/default.jpg")</f>
        <v>https://i.ytimg.com/vi/YYzL4lmm3ms/default.jpg</v>
      </c>
      <c r="G498" s="120" t="s">
        <v>52</v>
      </c>
      <c r="H498" s="71" t="s">
        <v>1348</v>
      </c>
      <c r="I498" s="72"/>
      <c r="J498" s="72" t="s">
        <v>159</v>
      </c>
      <c r="K498" s="71" t="s">
        <v>1348</v>
      </c>
      <c r="L498" s="75">
        <v>213.72340425531914</v>
      </c>
      <c r="M498" s="76">
        <v>9507.2607421875</v>
      </c>
      <c r="N498" s="76">
        <v>287.9574890136719</v>
      </c>
      <c r="O498" s="77"/>
      <c r="P498" s="78"/>
      <c r="Q498" s="78"/>
      <c r="R498" s="82"/>
      <c r="S498" s="48"/>
      <c r="T498" s="48"/>
      <c r="U498" s="49"/>
      <c r="V498" s="49"/>
      <c r="W498" s="49"/>
      <c r="X498" s="49"/>
      <c r="Y498" s="49"/>
      <c r="Z498" s="49"/>
      <c r="AA498" s="73">
        <v>498</v>
      </c>
      <c r="AB498" s="73"/>
      <c r="AC498" s="74"/>
      <c r="AD498" s="80" t="s">
        <v>1348</v>
      </c>
      <c r="AE498" s="80" t="s">
        <v>2014</v>
      </c>
      <c r="AF498" s="80" t="s">
        <v>2612</v>
      </c>
      <c r="AG498" s="80" t="s">
        <v>3154</v>
      </c>
      <c r="AH498" s="80" t="s">
        <v>3760</v>
      </c>
      <c r="AI498" s="80">
        <v>4652</v>
      </c>
      <c r="AJ498" s="80">
        <v>1</v>
      </c>
      <c r="AK498" s="80">
        <v>110</v>
      </c>
      <c r="AL498" s="80">
        <v>3</v>
      </c>
      <c r="AM498" s="80" t="s">
        <v>4098</v>
      </c>
      <c r="AN498" s="96" t="str">
        <f>HYPERLINK("https://www.youtube.com/watch?v=YYzL4lmm3ms")</f>
        <v>https://www.youtube.com/watch?v=YYzL4lmm3ms</v>
      </c>
      <c r="AO498" s="80" t="e">
        <f>REPLACE(INDEX(GroupVertices[Group],MATCH(Vertices[[#This Row],[Vertex]],GroupVertices[Vertex],0)),1,1,"")</f>
        <v>#N/A</v>
      </c>
      <c r="AP498" s="48"/>
      <c r="AQ498" s="49"/>
      <c r="AR498" s="48"/>
      <c r="AS498" s="49"/>
      <c r="AT498" s="48"/>
      <c r="AU498" s="49"/>
      <c r="AV498" s="48"/>
      <c r="AW498" s="49"/>
      <c r="AX498" s="48"/>
      <c r="AY498" s="48"/>
      <c r="AZ498" s="48"/>
      <c r="BA498" s="48"/>
      <c r="BB498" s="48"/>
      <c r="BC498" s="2"/>
      <c r="BD498" s="3"/>
      <c r="BE498" s="3"/>
      <c r="BF498" s="3"/>
      <c r="BG498" s="3"/>
    </row>
    <row r="499" spans="1:59" ht="15">
      <c r="A499" s="66" t="s">
        <v>678</v>
      </c>
      <c r="B499" s="67" t="s">
        <v>4461</v>
      </c>
      <c r="C499" s="67"/>
      <c r="D499" s="68">
        <v>523.6152429113606</v>
      </c>
      <c r="E499" s="70"/>
      <c r="F499" s="97" t="str">
        <f>HYPERLINK("https://i.ytimg.com/vi/3guq9yo_Hbg/default.jpg")</f>
        <v>https://i.ytimg.com/vi/3guq9yo_Hbg/default.jpg</v>
      </c>
      <c r="G499" s="120" t="s">
        <v>52</v>
      </c>
      <c r="H499" s="71" t="s">
        <v>1419</v>
      </c>
      <c r="I499" s="72"/>
      <c r="J499" s="72" t="s">
        <v>159</v>
      </c>
      <c r="K499" s="71" t="s">
        <v>1419</v>
      </c>
      <c r="L499" s="75">
        <v>213.72340425531914</v>
      </c>
      <c r="M499" s="76">
        <v>7631.93310546875</v>
      </c>
      <c r="N499" s="76">
        <v>2766.03515625</v>
      </c>
      <c r="O499" s="77"/>
      <c r="P499" s="78"/>
      <c r="Q499" s="78"/>
      <c r="R499" s="82"/>
      <c r="S499" s="48"/>
      <c r="T499" s="48"/>
      <c r="U499" s="49"/>
      <c r="V499" s="49"/>
      <c r="W499" s="49"/>
      <c r="X499" s="49"/>
      <c r="Y499" s="49"/>
      <c r="Z499" s="49"/>
      <c r="AA499" s="73">
        <v>499</v>
      </c>
      <c r="AB499" s="73"/>
      <c r="AC499" s="74"/>
      <c r="AD499" s="80" t="s">
        <v>1419</v>
      </c>
      <c r="AE499" s="80" t="s">
        <v>2078</v>
      </c>
      <c r="AF499" s="80" t="s">
        <v>2668</v>
      </c>
      <c r="AG499" s="80" t="s">
        <v>3207</v>
      </c>
      <c r="AH499" s="80" t="s">
        <v>3831</v>
      </c>
      <c r="AI499" s="80">
        <v>4358</v>
      </c>
      <c r="AJ499" s="80">
        <v>19</v>
      </c>
      <c r="AK499" s="80">
        <v>41</v>
      </c>
      <c r="AL499" s="80">
        <v>3</v>
      </c>
      <c r="AM499" s="80" t="s">
        <v>4098</v>
      </c>
      <c r="AN499" s="96" t="str">
        <f>HYPERLINK("https://www.youtube.com/watch?v=3guq9yo_Hbg")</f>
        <v>https://www.youtube.com/watch?v=3guq9yo_Hbg</v>
      </c>
      <c r="AO499" s="80" t="e">
        <f>REPLACE(INDEX(GroupVertices[Group],MATCH(Vertices[[#This Row],[Vertex]],GroupVertices[Vertex],0)),1,1,"")</f>
        <v>#N/A</v>
      </c>
      <c r="AP499" s="48"/>
      <c r="AQ499" s="49"/>
      <c r="AR499" s="48"/>
      <c r="AS499" s="49"/>
      <c r="AT499" s="48"/>
      <c r="AU499" s="49"/>
      <c r="AV499" s="48"/>
      <c r="AW499" s="49"/>
      <c r="AX499" s="48"/>
      <c r="AY499" s="48"/>
      <c r="AZ499" s="48"/>
      <c r="BA499" s="48"/>
      <c r="BB499" s="48"/>
      <c r="BC499" s="2"/>
      <c r="BD499" s="3"/>
      <c r="BE499" s="3"/>
      <c r="BF499" s="3"/>
      <c r="BG499" s="3"/>
    </row>
    <row r="500" spans="1:59" ht="15">
      <c r="A500" s="66" t="s">
        <v>320</v>
      </c>
      <c r="B500" s="67" t="s">
        <v>4461</v>
      </c>
      <c r="C500" s="67"/>
      <c r="D500" s="68">
        <v>519.46621180952</v>
      </c>
      <c r="E500" s="70"/>
      <c r="F500" s="97" t="str">
        <f>HYPERLINK("https://i.ytimg.com/vi/UsnKJKV2mXE/default.jpg")</f>
        <v>https://i.ytimg.com/vi/UsnKJKV2mXE/default.jpg</v>
      </c>
      <c r="G500" s="120" t="s">
        <v>52</v>
      </c>
      <c r="H500" s="71" t="s">
        <v>1020</v>
      </c>
      <c r="I500" s="72"/>
      <c r="J500" s="72" t="s">
        <v>159</v>
      </c>
      <c r="K500" s="71" t="s">
        <v>1020</v>
      </c>
      <c r="L500" s="75">
        <v>213.72340425531914</v>
      </c>
      <c r="M500" s="76">
        <v>5874.17138671875</v>
      </c>
      <c r="N500" s="76">
        <v>5303.8076171875</v>
      </c>
      <c r="O500" s="77"/>
      <c r="P500" s="78"/>
      <c r="Q500" s="78"/>
      <c r="R500" s="82"/>
      <c r="S500" s="48"/>
      <c r="T500" s="48"/>
      <c r="U500" s="49"/>
      <c r="V500" s="49"/>
      <c r="W500" s="49"/>
      <c r="X500" s="49"/>
      <c r="Y500" s="49"/>
      <c r="Z500" s="49"/>
      <c r="AA500" s="73">
        <v>500</v>
      </c>
      <c r="AB500" s="73"/>
      <c r="AC500" s="74"/>
      <c r="AD500" s="80" t="s">
        <v>1020</v>
      </c>
      <c r="AE500" s="80" t="s">
        <v>1737</v>
      </c>
      <c r="AF500" s="80" t="s">
        <v>2369</v>
      </c>
      <c r="AG500" s="80" t="s">
        <v>2949</v>
      </c>
      <c r="AH500" s="80" t="s">
        <v>3435</v>
      </c>
      <c r="AI500" s="80">
        <v>4159</v>
      </c>
      <c r="AJ500" s="80">
        <v>17</v>
      </c>
      <c r="AK500" s="80">
        <v>53</v>
      </c>
      <c r="AL500" s="80">
        <v>3</v>
      </c>
      <c r="AM500" s="80" t="s">
        <v>4098</v>
      </c>
      <c r="AN500" s="96" t="str">
        <f>HYPERLINK("https://www.youtube.com/watch?v=UsnKJKV2mXE")</f>
        <v>https://www.youtube.com/watch?v=UsnKJKV2mXE</v>
      </c>
      <c r="AO500" s="80" t="e">
        <f>REPLACE(INDEX(GroupVertices[Group],MATCH(Vertices[[#This Row],[Vertex]],GroupVertices[Vertex],0)),1,1,"")</f>
        <v>#N/A</v>
      </c>
      <c r="AP500" s="48"/>
      <c r="AQ500" s="49"/>
      <c r="AR500" s="48"/>
      <c r="AS500" s="49"/>
      <c r="AT500" s="48"/>
      <c r="AU500" s="49"/>
      <c r="AV500" s="48"/>
      <c r="AW500" s="49"/>
      <c r="AX500" s="48"/>
      <c r="AY500" s="48"/>
      <c r="AZ500" s="48"/>
      <c r="BA500" s="48"/>
      <c r="BB500" s="48"/>
      <c r="BC500" s="2"/>
      <c r="BD500" s="3"/>
      <c r="BE500" s="3"/>
      <c r="BF500" s="3"/>
      <c r="BG500" s="3"/>
    </row>
    <row r="501" spans="1:59" ht="15">
      <c r="A501" s="66" t="s">
        <v>693</v>
      </c>
      <c r="B501" s="67" t="s">
        <v>4461</v>
      </c>
      <c r="C501" s="67"/>
      <c r="D501" s="68">
        <v>509.94470837900184</v>
      </c>
      <c r="E501" s="70"/>
      <c r="F501" s="97" t="str">
        <f>HYPERLINK("https://i.ytimg.com/vi/kzcIA0jJT0U/default.jpg")</f>
        <v>https://i.ytimg.com/vi/kzcIA0jJT0U/default.jpg</v>
      </c>
      <c r="G501" s="120" t="s">
        <v>52</v>
      </c>
      <c r="H501" s="71" t="s">
        <v>1434</v>
      </c>
      <c r="I501" s="72"/>
      <c r="J501" s="72" t="s">
        <v>159</v>
      </c>
      <c r="K501" s="71" t="s">
        <v>1434</v>
      </c>
      <c r="L501" s="75">
        <v>213.72340425531914</v>
      </c>
      <c r="M501" s="76">
        <v>9194.431640625</v>
      </c>
      <c r="N501" s="76">
        <v>2320.845703125</v>
      </c>
      <c r="O501" s="77"/>
      <c r="P501" s="78"/>
      <c r="Q501" s="78"/>
      <c r="R501" s="82"/>
      <c r="S501" s="48"/>
      <c r="T501" s="48"/>
      <c r="U501" s="49"/>
      <c r="V501" s="49"/>
      <c r="W501" s="49"/>
      <c r="X501" s="49"/>
      <c r="Y501" s="49"/>
      <c r="Z501" s="49"/>
      <c r="AA501" s="73">
        <v>501</v>
      </c>
      <c r="AB501" s="73"/>
      <c r="AC501" s="74"/>
      <c r="AD501" s="80" t="s">
        <v>1434</v>
      </c>
      <c r="AE501" s="80" t="s">
        <v>2092</v>
      </c>
      <c r="AF501" s="80"/>
      <c r="AG501" s="80" t="s">
        <v>3217</v>
      </c>
      <c r="AH501" s="80" t="s">
        <v>3846</v>
      </c>
      <c r="AI501" s="80">
        <v>3736</v>
      </c>
      <c r="AJ501" s="80">
        <v>6</v>
      </c>
      <c r="AK501" s="80">
        <v>36</v>
      </c>
      <c r="AL501" s="80">
        <v>3</v>
      </c>
      <c r="AM501" s="80" t="s">
        <v>4098</v>
      </c>
      <c r="AN501" s="96" t="str">
        <f>HYPERLINK("https://www.youtube.com/watch?v=kzcIA0jJT0U")</f>
        <v>https://www.youtube.com/watch?v=kzcIA0jJT0U</v>
      </c>
      <c r="AO501" s="80" t="e">
        <f>REPLACE(INDEX(GroupVertices[Group],MATCH(Vertices[[#This Row],[Vertex]],GroupVertices[Vertex],0)),1,1,"")</f>
        <v>#N/A</v>
      </c>
      <c r="AP501" s="48"/>
      <c r="AQ501" s="49"/>
      <c r="AR501" s="48"/>
      <c r="AS501" s="49"/>
      <c r="AT501" s="48"/>
      <c r="AU501" s="49"/>
      <c r="AV501" s="48"/>
      <c r="AW501" s="49"/>
      <c r="AX501" s="48"/>
      <c r="AY501" s="48"/>
      <c r="AZ501" s="48"/>
      <c r="BA501" s="48"/>
      <c r="BB501" s="48"/>
      <c r="BC501" s="2"/>
      <c r="BD501" s="3"/>
      <c r="BE501" s="3"/>
      <c r="BF501" s="3"/>
      <c r="BG501" s="3"/>
    </row>
    <row r="502" spans="1:59" ht="15">
      <c r="A502" s="66" t="s">
        <v>351</v>
      </c>
      <c r="B502" s="67" t="s">
        <v>4461</v>
      </c>
      <c r="C502" s="67"/>
      <c r="D502" s="68">
        <v>482.4529708578746</v>
      </c>
      <c r="E502" s="70"/>
      <c r="F502" s="97" t="str">
        <f>HYPERLINK("https://i.ytimg.com/vi/dIrOTh2Q2Ek/default.jpg")</f>
        <v>https://i.ytimg.com/vi/dIrOTh2Q2Ek/default.jpg</v>
      </c>
      <c r="G502" s="120" t="s">
        <v>52</v>
      </c>
      <c r="H502" s="71" t="s">
        <v>1055</v>
      </c>
      <c r="I502" s="72"/>
      <c r="J502" s="72" t="s">
        <v>159</v>
      </c>
      <c r="K502" s="71" t="s">
        <v>1055</v>
      </c>
      <c r="L502" s="75">
        <v>213.72340425531914</v>
      </c>
      <c r="M502" s="76">
        <v>3972.949951171875</v>
      </c>
      <c r="N502" s="76">
        <v>5973.9091796875</v>
      </c>
      <c r="O502" s="77"/>
      <c r="P502" s="78"/>
      <c r="Q502" s="78"/>
      <c r="R502" s="82"/>
      <c r="S502" s="48"/>
      <c r="T502" s="48"/>
      <c r="U502" s="49"/>
      <c r="V502" s="49"/>
      <c r="W502" s="49"/>
      <c r="X502" s="49"/>
      <c r="Y502" s="49"/>
      <c r="Z502" s="49"/>
      <c r="AA502" s="73">
        <v>502</v>
      </c>
      <c r="AB502" s="73"/>
      <c r="AC502" s="74"/>
      <c r="AD502" s="80" t="s">
        <v>1055</v>
      </c>
      <c r="AE502" s="80" t="s">
        <v>1766</v>
      </c>
      <c r="AF502" s="80" t="s">
        <v>2394</v>
      </c>
      <c r="AG502" s="80" t="s">
        <v>2969</v>
      </c>
      <c r="AH502" s="80" t="s">
        <v>3470</v>
      </c>
      <c r="AI502" s="80">
        <v>2741</v>
      </c>
      <c r="AJ502" s="80">
        <v>3</v>
      </c>
      <c r="AK502" s="80">
        <v>11</v>
      </c>
      <c r="AL502" s="80">
        <v>3</v>
      </c>
      <c r="AM502" s="80" t="s">
        <v>4098</v>
      </c>
      <c r="AN502" s="96" t="str">
        <f>HYPERLINK("https://www.youtube.com/watch?v=dIrOTh2Q2Ek")</f>
        <v>https://www.youtube.com/watch?v=dIrOTh2Q2Ek</v>
      </c>
      <c r="AO502" s="80" t="e">
        <f>REPLACE(INDEX(GroupVertices[Group],MATCH(Vertices[[#This Row],[Vertex]],GroupVertices[Vertex],0)),1,1,"")</f>
        <v>#N/A</v>
      </c>
      <c r="AP502" s="48"/>
      <c r="AQ502" s="49"/>
      <c r="AR502" s="48"/>
      <c r="AS502" s="49"/>
      <c r="AT502" s="48"/>
      <c r="AU502" s="49"/>
      <c r="AV502" s="48"/>
      <c r="AW502" s="49"/>
      <c r="AX502" s="48"/>
      <c r="AY502" s="48"/>
      <c r="AZ502" s="48"/>
      <c r="BA502" s="48"/>
      <c r="BB502" s="48"/>
      <c r="BC502" s="2"/>
      <c r="BD502" s="3"/>
      <c r="BE502" s="3"/>
      <c r="BF502" s="3"/>
      <c r="BG502" s="3"/>
    </row>
    <row r="503" spans="1:59" ht="15">
      <c r="A503" s="66" t="s">
        <v>308</v>
      </c>
      <c r="B503" s="67" t="s">
        <v>4461</v>
      </c>
      <c r="C503" s="67"/>
      <c r="D503" s="68">
        <v>435.65892500440424</v>
      </c>
      <c r="E503" s="70"/>
      <c r="F503" s="97" t="str">
        <f>HYPERLINK("https://i.ytimg.com/vi/XTvxznGaUdY/default.jpg")</f>
        <v>https://i.ytimg.com/vi/XTvxznGaUdY/default.jpg</v>
      </c>
      <c r="G503" s="120" t="s">
        <v>52</v>
      </c>
      <c r="H503" s="71" t="s">
        <v>1008</v>
      </c>
      <c r="I503" s="72"/>
      <c r="J503" s="72" t="s">
        <v>159</v>
      </c>
      <c r="K503" s="71" t="s">
        <v>1008</v>
      </c>
      <c r="L503" s="75">
        <v>213.72340425531914</v>
      </c>
      <c r="M503" s="76">
        <v>6057.14892578125</v>
      </c>
      <c r="N503" s="76">
        <v>4269.48583984375</v>
      </c>
      <c r="O503" s="77"/>
      <c r="P503" s="78"/>
      <c r="Q503" s="78"/>
      <c r="R503" s="82"/>
      <c r="S503" s="48"/>
      <c r="T503" s="48"/>
      <c r="U503" s="49"/>
      <c r="V503" s="49"/>
      <c r="W503" s="49"/>
      <c r="X503" s="49"/>
      <c r="Y503" s="49"/>
      <c r="Z503" s="49"/>
      <c r="AA503" s="73">
        <v>503</v>
      </c>
      <c r="AB503" s="73"/>
      <c r="AC503" s="74"/>
      <c r="AD503" s="80" t="s">
        <v>1008</v>
      </c>
      <c r="AE503" s="80" t="s">
        <v>1728</v>
      </c>
      <c r="AF503" s="80"/>
      <c r="AG503" s="80" t="s">
        <v>2937</v>
      </c>
      <c r="AH503" s="80" t="s">
        <v>3423</v>
      </c>
      <c r="AI503" s="80">
        <v>1618</v>
      </c>
      <c r="AJ503" s="80">
        <v>2</v>
      </c>
      <c r="AK503" s="80">
        <v>7</v>
      </c>
      <c r="AL503" s="80">
        <v>3</v>
      </c>
      <c r="AM503" s="80" t="s">
        <v>4098</v>
      </c>
      <c r="AN503" s="96" t="str">
        <f>HYPERLINK("https://www.youtube.com/watch?v=XTvxznGaUdY")</f>
        <v>https://www.youtube.com/watch?v=XTvxznGaUdY</v>
      </c>
      <c r="AO503" s="80" t="e">
        <f>REPLACE(INDEX(GroupVertices[Group],MATCH(Vertices[[#This Row],[Vertex]],GroupVertices[Vertex],0)),1,1,"")</f>
        <v>#N/A</v>
      </c>
      <c r="AP503" s="48"/>
      <c r="AQ503" s="49"/>
      <c r="AR503" s="48"/>
      <c r="AS503" s="49"/>
      <c r="AT503" s="48"/>
      <c r="AU503" s="49"/>
      <c r="AV503" s="48"/>
      <c r="AW503" s="49"/>
      <c r="AX503" s="48"/>
      <c r="AY503" s="48"/>
      <c r="AZ503" s="48"/>
      <c r="BA503" s="48"/>
      <c r="BB503" s="48"/>
      <c r="BC503" s="2"/>
      <c r="BD503" s="3"/>
      <c r="BE503" s="3"/>
      <c r="BF503" s="3"/>
      <c r="BG503" s="3"/>
    </row>
    <row r="504" spans="1:59" ht="15">
      <c r="A504" s="66" t="s">
        <v>751</v>
      </c>
      <c r="B504" s="67" t="s">
        <v>4461</v>
      </c>
      <c r="C504" s="67"/>
      <c r="D504" s="68">
        <v>709.9915521873747</v>
      </c>
      <c r="E504" s="70"/>
      <c r="F504" s="97" t="str">
        <f>HYPERLINK("https://i.ytimg.com/vi/zQRceV6DJ9g/default.jpg")</f>
        <v>https://i.ytimg.com/vi/zQRceV6DJ9g/default.jpg</v>
      </c>
      <c r="G504" s="120" t="s">
        <v>52</v>
      </c>
      <c r="H504" s="71" t="s">
        <v>1491</v>
      </c>
      <c r="I504" s="72"/>
      <c r="J504" s="72" t="s">
        <v>159</v>
      </c>
      <c r="K504" s="71" t="s">
        <v>1491</v>
      </c>
      <c r="L504" s="75">
        <v>213.72340425531914</v>
      </c>
      <c r="M504" s="76">
        <v>4163.80029296875</v>
      </c>
      <c r="N504" s="76">
        <v>9300.658203125</v>
      </c>
      <c r="O504" s="77"/>
      <c r="P504" s="78"/>
      <c r="Q504" s="78"/>
      <c r="R504" s="82"/>
      <c r="S504" s="48"/>
      <c r="T504" s="48"/>
      <c r="U504" s="49"/>
      <c r="V504" s="49"/>
      <c r="W504" s="49"/>
      <c r="X504" s="49"/>
      <c r="Y504" s="49"/>
      <c r="Z504" s="49"/>
      <c r="AA504" s="73">
        <v>504</v>
      </c>
      <c r="AB504" s="73"/>
      <c r="AC504" s="74"/>
      <c r="AD504" s="80" t="s">
        <v>1491</v>
      </c>
      <c r="AE504" s="80" t="s">
        <v>2147</v>
      </c>
      <c r="AF504" s="80" t="s">
        <v>2733</v>
      </c>
      <c r="AG504" s="80" t="s">
        <v>3259</v>
      </c>
      <c r="AH504" s="80" t="s">
        <v>3905</v>
      </c>
      <c r="AI504" s="80">
        <v>35571</v>
      </c>
      <c r="AJ504" s="80">
        <v>34</v>
      </c>
      <c r="AK504" s="80">
        <v>287</v>
      </c>
      <c r="AL504" s="80">
        <v>2</v>
      </c>
      <c r="AM504" s="80" t="s">
        <v>4098</v>
      </c>
      <c r="AN504" s="96" t="str">
        <f>HYPERLINK("https://www.youtube.com/watch?v=zQRceV6DJ9g")</f>
        <v>https://www.youtube.com/watch?v=zQRceV6DJ9g</v>
      </c>
      <c r="AO504" s="80" t="e">
        <f>REPLACE(INDEX(GroupVertices[Group],MATCH(Vertices[[#This Row],[Vertex]],GroupVertices[Vertex],0)),1,1,"")</f>
        <v>#N/A</v>
      </c>
      <c r="AP504" s="48"/>
      <c r="AQ504" s="49"/>
      <c r="AR504" s="48"/>
      <c r="AS504" s="49"/>
      <c r="AT504" s="48"/>
      <c r="AU504" s="49"/>
      <c r="AV504" s="48"/>
      <c r="AW504" s="49"/>
      <c r="AX504" s="48"/>
      <c r="AY504" s="48"/>
      <c r="AZ504" s="48"/>
      <c r="BA504" s="48"/>
      <c r="BB504" s="48"/>
      <c r="BC504" s="2"/>
      <c r="BD504" s="3"/>
      <c r="BE504" s="3"/>
      <c r="BF504" s="3"/>
      <c r="BG504" s="3"/>
    </row>
    <row r="505" spans="1:59" ht="15">
      <c r="A505" s="66" t="s">
        <v>730</v>
      </c>
      <c r="B505" s="67" t="s">
        <v>4461</v>
      </c>
      <c r="C505" s="67"/>
      <c r="D505" s="68">
        <v>670.0990924212394</v>
      </c>
      <c r="E505" s="70"/>
      <c r="F505" s="97" t="str">
        <f>HYPERLINK("https://i.ytimg.com/vi/ueS22AlCWqY/default.jpg")</f>
        <v>https://i.ytimg.com/vi/ueS22AlCWqY/default.jpg</v>
      </c>
      <c r="G505" s="120" t="s">
        <v>52</v>
      </c>
      <c r="H505" s="71" t="s">
        <v>1471</v>
      </c>
      <c r="I505" s="72"/>
      <c r="J505" s="72" t="s">
        <v>159</v>
      </c>
      <c r="K505" s="71" t="s">
        <v>1471</v>
      </c>
      <c r="L505" s="75">
        <v>213.72340425531914</v>
      </c>
      <c r="M505" s="76">
        <v>2058.97705078125</v>
      </c>
      <c r="N505" s="76">
        <v>5712.6005859375</v>
      </c>
      <c r="O505" s="77"/>
      <c r="P505" s="78"/>
      <c r="Q505" s="78"/>
      <c r="R505" s="82"/>
      <c r="S505" s="48"/>
      <c r="T505" s="48"/>
      <c r="U505" s="49"/>
      <c r="V505" s="49"/>
      <c r="W505" s="49"/>
      <c r="X505" s="49"/>
      <c r="Y505" s="49"/>
      <c r="Z505" s="49"/>
      <c r="AA505" s="73">
        <v>505</v>
      </c>
      <c r="AB505" s="73"/>
      <c r="AC505" s="74"/>
      <c r="AD505" s="80" t="s">
        <v>1471</v>
      </c>
      <c r="AE505" s="80" t="s">
        <v>2128</v>
      </c>
      <c r="AF505" s="80"/>
      <c r="AG505" s="80" t="s">
        <v>3242</v>
      </c>
      <c r="AH505" s="80" t="s">
        <v>3884</v>
      </c>
      <c r="AI505" s="80">
        <v>22695</v>
      </c>
      <c r="AJ505" s="80">
        <v>2</v>
      </c>
      <c r="AK505" s="80">
        <v>36</v>
      </c>
      <c r="AL505" s="80">
        <v>2</v>
      </c>
      <c r="AM505" s="80" t="s">
        <v>4098</v>
      </c>
      <c r="AN505" s="96" t="str">
        <f>HYPERLINK("https://www.youtube.com/watch?v=ueS22AlCWqY")</f>
        <v>https://www.youtube.com/watch?v=ueS22AlCWqY</v>
      </c>
      <c r="AO505" s="80" t="e">
        <f>REPLACE(INDEX(GroupVertices[Group],MATCH(Vertices[[#This Row],[Vertex]],GroupVertices[Vertex],0)),1,1,"")</f>
        <v>#N/A</v>
      </c>
      <c r="AP505" s="48"/>
      <c r="AQ505" s="49"/>
      <c r="AR505" s="48"/>
      <c r="AS505" s="49"/>
      <c r="AT505" s="48"/>
      <c r="AU505" s="49"/>
      <c r="AV505" s="48"/>
      <c r="AW505" s="49"/>
      <c r="AX505" s="48"/>
      <c r="AY505" s="48"/>
      <c r="AZ505" s="48"/>
      <c r="BA505" s="48"/>
      <c r="BB505" s="48"/>
      <c r="BC505" s="2"/>
      <c r="BD505" s="3"/>
      <c r="BE505" s="3"/>
      <c r="BF505" s="3"/>
      <c r="BG505" s="3"/>
    </row>
    <row r="506" spans="1:59" ht="15">
      <c r="A506" s="66" t="s">
        <v>285</v>
      </c>
      <c r="B506" s="67" t="s">
        <v>4461</v>
      </c>
      <c r="C506" s="67"/>
      <c r="D506" s="68">
        <v>643.8951202811127</v>
      </c>
      <c r="E506" s="70"/>
      <c r="F506" s="97" t="str">
        <f>HYPERLINK("https://i.ytimg.com/vi/F0lV2YsnBGA/default.jpg")</f>
        <v>https://i.ytimg.com/vi/F0lV2YsnBGA/default.jpg</v>
      </c>
      <c r="G506" s="120" t="s">
        <v>52</v>
      </c>
      <c r="H506" s="71" t="s">
        <v>982</v>
      </c>
      <c r="I506" s="72"/>
      <c r="J506" s="72" t="s">
        <v>159</v>
      </c>
      <c r="K506" s="71" t="s">
        <v>982</v>
      </c>
      <c r="L506" s="75">
        <v>213.72340425531914</v>
      </c>
      <c r="M506" s="76">
        <v>6102.314453125</v>
      </c>
      <c r="N506" s="76">
        <v>7005.97998046875</v>
      </c>
      <c r="O506" s="77"/>
      <c r="P506" s="78"/>
      <c r="Q506" s="78"/>
      <c r="R506" s="82"/>
      <c r="S506" s="48"/>
      <c r="T506" s="48"/>
      <c r="U506" s="49"/>
      <c r="V506" s="49"/>
      <c r="W506" s="49"/>
      <c r="X506" s="49"/>
      <c r="Y506" s="49"/>
      <c r="Z506" s="49"/>
      <c r="AA506" s="73">
        <v>506</v>
      </c>
      <c r="AB506" s="73"/>
      <c r="AC506" s="74"/>
      <c r="AD506" s="80" t="s">
        <v>982</v>
      </c>
      <c r="AE506" s="80" t="s">
        <v>1705</v>
      </c>
      <c r="AF506" s="80" t="s">
        <v>2337</v>
      </c>
      <c r="AG506" s="80" t="s">
        <v>2916</v>
      </c>
      <c r="AH506" s="80" t="s">
        <v>3397</v>
      </c>
      <c r="AI506" s="80">
        <v>16894</v>
      </c>
      <c r="AJ506" s="80">
        <v>4</v>
      </c>
      <c r="AK506" s="80">
        <v>40</v>
      </c>
      <c r="AL506" s="80">
        <v>2</v>
      </c>
      <c r="AM506" s="80" t="s">
        <v>4098</v>
      </c>
      <c r="AN506" s="96" t="str">
        <f>HYPERLINK("https://www.youtube.com/watch?v=F0lV2YsnBGA")</f>
        <v>https://www.youtube.com/watch?v=F0lV2YsnBGA</v>
      </c>
      <c r="AO506" s="80" t="e">
        <f>REPLACE(INDEX(GroupVertices[Group],MATCH(Vertices[[#This Row],[Vertex]],GroupVertices[Vertex],0)),1,1,"")</f>
        <v>#N/A</v>
      </c>
      <c r="AP506" s="48"/>
      <c r="AQ506" s="49"/>
      <c r="AR506" s="48"/>
      <c r="AS506" s="49"/>
      <c r="AT506" s="48"/>
      <c r="AU506" s="49"/>
      <c r="AV506" s="48"/>
      <c r="AW506" s="49"/>
      <c r="AX506" s="48"/>
      <c r="AY506" s="48"/>
      <c r="AZ506" s="48"/>
      <c r="BA506" s="48"/>
      <c r="BB506" s="48"/>
      <c r="BC506" s="2"/>
      <c r="BD506" s="3"/>
      <c r="BE506" s="3"/>
      <c r="BF506" s="3"/>
      <c r="BG506" s="3"/>
    </row>
    <row r="507" spans="1:59" ht="15">
      <c r="A507" s="66" t="s">
        <v>863</v>
      </c>
      <c r="B507" s="67" t="s">
        <v>4461</v>
      </c>
      <c r="C507" s="67"/>
      <c r="D507" s="68">
        <v>640.034318640216</v>
      </c>
      <c r="E507" s="70"/>
      <c r="F507" s="97" t="str">
        <f>HYPERLINK("https://i.ytimg.com/vi/SyAtMIlvJpw/default.jpg")</f>
        <v>https://i.ytimg.com/vi/SyAtMIlvJpw/default.jpg</v>
      </c>
      <c r="G507" s="120" t="s">
        <v>52</v>
      </c>
      <c r="H507" s="71" t="s">
        <v>1602</v>
      </c>
      <c r="I507" s="72"/>
      <c r="J507" s="72" t="s">
        <v>159</v>
      </c>
      <c r="K507" s="71" t="s">
        <v>1602</v>
      </c>
      <c r="L507" s="75">
        <v>213.72340425531914</v>
      </c>
      <c r="M507" s="76">
        <v>808.1121826171875</v>
      </c>
      <c r="N507" s="76">
        <v>1902.3231201171875</v>
      </c>
      <c r="O507" s="77"/>
      <c r="P507" s="78"/>
      <c r="Q507" s="78"/>
      <c r="R507" s="82"/>
      <c r="S507" s="48"/>
      <c r="T507" s="48"/>
      <c r="U507" s="49"/>
      <c r="V507" s="49"/>
      <c r="W507" s="49"/>
      <c r="X507" s="49"/>
      <c r="Y507" s="49"/>
      <c r="Z507" s="49"/>
      <c r="AA507" s="73">
        <v>507</v>
      </c>
      <c r="AB507" s="73"/>
      <c r="AC507" s="74"/>
      <c r="AD507" s="80" t="s">
        <v>1602</v>
      </c>
      <c r="AE507" s="80" t="s">
        <v>2243</v>
      </c>
      <c r="AF507" s="80" t="s">
        <v>1636</v>
      </c>
      <c r="AG507" s="80" t="s">
        <v>3322</v>
      </c>
      <c r="AH507" s="80" t="s">
        <v>4017</v>
      </c>
      <c r="AI507" s="80">
        <v>16175</v>
      </c>
      <c r="AJ507" s="80">
        <v>1</v>
      </c>
      <c r="AK507" s="80">
        <v>26</v>
      </c>
      <c r="AL507" s="80">
        <v>2</v>
      </c>
      <c r="AM507" s="80" t="s">
        <v>4098</v>
      </c>
      <c r="AN507" s="96" t="str">
        <f>HYPERLINK("https://www.youtube.com/watch?v=SyAtMIlvJpw")</f>
        <v>https://www.youtube.com/watch?v=SyAtMIlvJpw</v>
      </c>
      <c r="AO507" s="80" t="e">
        <f>REPLACE(INDEX(GroupVertices[Group],MATCH(Vertices[[#This Row],[Vertex]],GroupVertices[Vertex],0)),1,1,"")</f>
        <v>#N/A</v>
      </c>
      <c r="AP507" s="48"/>
      <c r="AQ507" s="49"/>
      <c r="AR507" s="48"/>
      <c r="AS507" s="49"/>
      <c r="AT507" s="48"/>
      <c r="AU507" s="49"/>
      <c r="AV507" s="48"/>
      <c r="AW507" s="49"/>
      <c r="AX507" s="48"/>
      <c r="AY507" s="48"/>
      <c r="AZ507" s="48"/>
      <c r="BA507" s="48"/>
      <c r="BB507" s="48"/>
      <c r="BC507" s="2"/>
      <c r="BD507" s="3"/>
      <c r="BE507" s="3"/>
      <c r="BF507" s="3"/>
      <c r="BG507" s="3"/>
    </row>
    <row r="508" spans="1:59" ht="15">
      <c r="A508" s="66" t="s">
        <v>305</v>
      </c>
      <c r="B508" s="67" t="s">
        <v>4461</v>
      </c>
      <c r="C508" s="67"/>
      <c r="D508" s="68">
        <v>621.0178754973514</v>
      </c>
      <c r="E508" s="70"/>
      <c r="F508" s="97" t="str">
        <f>HYPERLINK("https://i.ytimg.com/vi/IEp0nVf26F0/default.jpg")</f>
        <v>https://i.ytimg.com/vi/IEp0nVf26F0/default.jpg</v>
      </c>
      <c r="G508" s="120" t="s">
        <v>52</v>
      </c>
      <c r="H508" s="71" t="s">
        <v>1004</v>
      </c>
      <c r="I508" s="72"/>
      <c r="J508" s="72" t="s">
        <v>159</v>
      </c>
      <c r="K508" s="71" t="s">
        <v>1004</v>
      </c>
      <c r="L508" s="75">
        <v>213.72340425531914</v>
      </c>
      <c r="M508" s="76">
        <v>8291.8466796875</v>
      </c>
      <c r="N508" s="76">
        <v>9837.8447265625</v>
      </c>
      <c r="O508" s="77"/>
      <c r="P508" s="78"/>
      <c r="Q508" s="78"/>
      <c r="R508" s="82"/>
      <c r="S508" s="48"/>
      <c r="T508" s="48"/>
      <c r="U508" s="49"/>
      <c r="V508" s="49"/>
      <c r="W508" s="49"/>
      <c r="X508" s="49"/>
      <c r="Y508" s="49"/>
      <c r="Z508" s="49"/>
      <c r="AA508" s="73">
        <v>508</v>
      </c>
      <c r="AB508" s="73"/>
      <c r="AC508" s="74"/>
      <c r="AD508" s="80" t="s">
        <v>1004</v>
      </c>
      <c r="AE508" s="80" t="s">
        <v>1725</v>
      </c>
      <c r="AF508" s="80" t="s">
        <v>2357</v>
      </c>
      <c r="AG508" s="80" t="s">
        <v>2933</v>
      </c>
      <c r="AH508" s="80" t="s">
        <v>3419</v>
      </c>
      <c r="AI508" s="80">
        <v>13056</v>
      </c>
      <c r="AJ508" s="80">
        <v>1</v>
      </c>
      <c r="AK508" s="80">
        <v>11</v>
      </c>
      <c r="AL508" s="80">
        <v>2</v>
      </c>
      <c r="AM508" s="80" t="s">
        <v>4098</v>
      </c>
      <c r="AN508" s="96" t="str">
        <f>HYPERLINK("https://www.youtube.com/watch?v=IEp0nVf26F0")</f>
        <v>https://www.youtube.com/watch?v=IEp0nVf26F0</v>
      </c>
      <c r="AO508" s="80" t="e">
        <f>REPLACE(INDEX(GroupVertices[Group],MATCH(Vertices[[#This Row],[Vertex]],GroupVertices[Vertex],0)),1,1,"")</f>
        <v>#N/A</v>
      </c>
      <c r="AP508" s="48"/>
      <c r="AQ508" s="49"/>
      <c r="AR508" s="48"/>
      <c r="AS508" s="49"/>
      <c r="AT508" s="48"/>
      <c r="AU508" s="49"/>
      <c r="AV508" s="48"/>
      <c r="AW508" s="49"/>
      <c r="AX508" s="48"/>
      <c r="AY508" s="48"/>
      <c r="AZ508" s="48"/>
      <c r="BA508" s="48"/>
      <c r="BB508" s="48"/>
      <c r="BC508" s="2"/>
      <c r="BD508" s="3"/>
      <c r="BE508" s="3"/>
      <c r="BF508" s="3"/>
      <c r="BG508" s="3"/>
    </row>
    <row r="509" spans="1:59" ht="15">
      <c r="A509" s="66" t="s">
        <v>469</v>
      </c>
      <c r="B509" s="67" t="s">
        <v>4461</v>
      </c>
      <c r="C509" s="67"/>
      <c r="D509" s="68">
        <v>612.6685312424722</v>
      </c>
      <c r="E509" s="70"/>
      <c r="F509" s="97" t="str">
        <f>HYPERLINK("https://i.ytimg.com/vi/WsQH3AtJqxY/default.jpg")</f>
        <v>https://i.ytimg.com/vi/WsQH3AtJqxY/default.jpg</v>
      </c>
      <c r="G509" s="120" t="s">
        <v>52</v>
      </c>
      <c r="H509" s="71" t="s">
        <v>1180</v>
      </c>
      <c r="I509" s="72"/>
      <c r="J509" s="72" t="s">
        <v>159</v>
      </c>
      <c r="K509" s="71" t="s">
        <v>1180</v>
      </c>
      <c r="L509" s="75">
        <v>213.72340425531914</v>
      </c>
      <c r="M509" s="76">
        <v>3482.075927734375</v>
      </c>
      <c r="N509" s="76">
        <v>1782.9443359375</v>
      </c>
      <c r="O509" s="77"/>
      <c r="P509" s="78"/>
      <c r="Q509" s="78"/>
      <c r="R509" s="82"/>
      <c r="S509" s="48"/>
      <c r="T509" s="48"/>
      <c r="U509" s="49"/>
      <c r="V509" s="49"/>
      <c r="W509" s="49"/>
      <c r="X509" s="49"/>
      <c r="Y509" s="49"/>
      <c r="Z509" s="49"/>
      <c r="AA509" s="73">
        <v>509</v>
      </c>
      <c r="AB509" s="73"/>
      <c r="AC509" s="74"/>
      <c r="AD509" s="80" t="s">
        <v>1180</v>
      </c>
      <c r="AE509" s="80" t="s">
        <v>1869</v>
      </c>
      <c r="AF509" s="80" t="s">
        <v>2485</v>
      </c>
      <c r="AG509" s="80" t="s">
        <v>3047</v>
      </c>
      <c r="AH509" s="80" t="s">
        <v>3593</v>
      </c>
      <c r="AI509" s="80">
        <v>11884</v>
      </c>
      <c r="AJ509" s="80">
        <v>11</v>
      </c>
      <c r="AK509" s="80">
        <v>54</v>
      </c>
      <c r="AL509" s="80">
        <v>2</v>
      </c>
      <c r="AM509" s="80" t="s">
        <v>4098</v>
      </c>
      <c r="AN509" s="96" t="str">
        <f>HYPERLINK("https://www.youtube.com/watch?v=WsQH3AtJqxY")</f>
        <v>https://www.youtube.com/watch?v=WsQH3AtJqxY</v>
      </c>
      <c r="AO509" s="80" t="e">
        <f>REPLACE(INDEX(GroupVertices[Group],MATCH(Vertices[[#This Row],[Vertex]],GroupVertices[Vertex],0)),1,1,"")</f>
        <v>#N/A</v>
      </c>
      <c r="AP509" s="48"/>
      <c r="AQ509" s="49"/>
      <c r="AR509" s="48"/>
      <c r="AS509" s="49"/>
      <c r="AT509" s="48"/>
      <c r="AU509" s="49"/>
      <c r="AV509" s="48"/>
      <c r="AW509" s="49"/>
      <c r="AX509" s="48"/>
      <c r="AY509" s="48"/>
      <c r="AZ509" s="48"/>
      <c r="BA509" s="48"/>
      <c r="BB509" s="48"/>
      <c r="BC509" s="2"/>
      <c r="BD509" s="3"/>
      <c r="BE509" s="3"/>
      <c r="BF509" s="3"/>
      <c r="BG509" s="3"/>
    </row>
    <row r="510" spans="1:59" ht="15">
      <c r="A510" s="66" t="s">
        <v>934</v>
      </c>
      <c r="B510" s="67" t="s">
        <v>4461</v>
      </c>
      <c r="C510" s="67"/>
      <c r="D510" s="68">
        <v>606.7060167980271</v>
      </c>
      <c r="E510" s="70"/>
      <c r="F510" s="97" t="str">
        <f>HYPERLINK("https://i.ytimg.com/vi/MsDZIc02SkQ/default.jpg")</f>
        <v>https://i.ytimg.com/vi/MsDZIc02SkQ/default.jpg</v>
      </c>
      <c r="G510" s="120" t="s">
        <v>52</v>
      </c>
      <c r="H510" s="71" t="s">
        <v>1672</v>
      </c>
      <c r="I510" s="72"/>
      <c r="J510" s="72" t="s">
        <v>159</v>
      </c>
      <c r="K510" s="71" t="s">
        <v>1672</v>
      </c>
      <c r="L510" s="75">
        <v>213.72340425531914</v>
      </c>
      <c r="M510" s="76">
        <v>2240.849365234375</v>
      </c>
      <c r="N510" s="76">
        <v>4006.904296875</v>
      </c>
      <c r="O510" s="77"/>
      <c r="P510" s="78"/>
      <c r="Q510" s="78"/>
      <c r="R510" s="82"/>
      <c r="S510" s="48"/>
      <c r="T510" s="48"/>
      <c r="U510" s="49"/>
      <c r="V510" s="49"/>
      <c r="W510" s="49"/>
      <c r="X510" s="49"/>
      <c r="Y510" s="49"/>
      <c r="Z510" s="49"/>
      <c r="AA510" s="73">
        <v>510</v>
      </c>
      <c r="AB510" s="73"/>
      <c r="AC510" s="74"/>
      <c r="AD510" s="80" t="s">
        <v>1672</v>
      </c>
      <c r="AE510" s="80" t="s">
        <v>2306</v>
      </c>
      <c r="AF510" s="80" t="s">
        <v>2887</v>
      </c>
      <c r="AG510" s="80" t="s">
        <v>3366</v>
      </c>
      <c r="AH510" s="80" t="s">
        <v>4088</v>
      </c>
      <c r="AI510" s="80">
        <v>11112</v>
      </c>
      <c r="AJ510" s="80">
        <v>2</v>
      </c>
      <c r="AK510" s="80">
        <v>18</v>
      </c>
      <c r="AL510" s="80">
        <v>2</v>
      </c>
      <c r="AM510" s="80" t="s">
        <v>4098</v>
      </c>
      <c r="AN510" s="96" t="str">
        <f>HYPERLINK("https://www.youtube.com/watch?v=MsDZIc02SkQ")</f>
        <v>https://www.youtube.com/watch?v=MsDZIc02SkQ</v>
      </c>
      <c r="AO510" s="80" t="e">
        <f>REPLACE(INDEX(GroupVertices[Group],MATCH(Vertices[[#This Row],[Vertex]],GroupVertices[Vertex],0)),1,1,"")</f>
        <v>#N/A</v>
      </c>
      <c r="AP510" s="48"/>
      <c r="AQ510" s="49"/>
      <c r="AR510" s="48"/>
      <c r="AS510" s="49"/>
      <c r="AT510" s="48"/>
      <c r="AU510" s="49"/>
      <c r="AV510" s="48"/>
      <c r="AW510" s="49"/>
      <c r="AX510" s="48"/>
      <c r="AY510" s="48"/>
      <c r="AZ510" s="48"/>
      <c r="BA510" s="48"/>
      <c r="BB510" s="48"/>
      <c r="BC510" s="2"/>
      <c r="BD510" s="3"/>
      <c r="BE510" s="3"/>
      <c r="BF510" s="3"/>
      <c r="BG510" s="3"/>
    </row>
    <row r="511" spans="1:59" ht="15">
      <c r="A511" s="66" t="s">
        <v>561</v>
      </c>
      <c r="B511" s="67" t="s">
        <v>4461</v>
      </c>
      <c r="C511" s="67"/>
      <c r="D511" s="68">
        <v>591.4367125712482</v>
      </c>
      <c r="E511" s="70"/>
      <c r="F511" s="97" t="str">
        <f>HYPERLINK("https://i.ytimg.com/vi/XNw-DZFsFYA/default.jpg")</f>
        <v>https://i.ytimg.com/vi/XNw-DZFsFYA/default.jpg</v>
      </c>
      <c r="G511" s="120" t="s">
        <v>52</v>
      </c>
      <c r="H511" s="71" t="s">
        <v>1295</v>
      </c>
      <c r="I511" s="72"/>
      <c r="J511" s="72" t="s">
        <v>159</v>
      </c>
      <c r="K511" s="71" t="s">
        <v>1295</v>
      </c>
      <c r="L511" s="75">
        <v>213.72340425531914</v>
      </c>
      <c r="M511" s="76">
        <v>5034.57763671875</v>
      </c>
      <c r="N511" s="76">
        <v>3585.2197265625</v>
      </c>
      <c r="O511" s="77"/>
      <c r="P511" s="78"/>
      <c r="Q511" s="78"/>
      <c r="R511" s="82"/>
      <c r="S511" s="48"/>
      <c r="T511" s="48"/>
      <c r="U511" s="49"/>
      <c r="V511" s="49"/>
      <c r="W511" s="49"/>
      <c r="X511" s="49"/>
      <c r="Y511" s="49"/>
      <c r="Z511" s="49"/>
      <c r="AA511" s="73">
        <v>511</v>
      </c>
      <c r="AB511" s="73"/>
      <c r="AC511" s="74"/>
      <c r="AD511" s="80" t="s">
        <v>1295</v>
      </c>
      <c r="AE511" s="80" t="s">
        <v>1968</v>
      </c>
      <c r="AF511" s="80" t="s">
        <v>2575</v>
      </c>
      <c r="AG511" s="80" t="s">
        <v>3055</v>
      </c>
      <c r="AH511" s="80" t="s">
        <v>3707</v>
      </c>
      <c r="AI511" s="80">
        <v>9356</v>
      </c>
      <c r="AJ511" s="80">
        <v>3</v>
      </c>
      <c r="AK511" s="80">
        <v>94</v>
      </c>
      <c r="AL511" s="80">
        <v>2</v>
      </c>
      <c r="AM511" s="80" t="s">
        <v>4098</v>
      </c>
      <c r="AN511" s="96" t="str">
        <f>HYPERLINK("https://www.youtube.com/watch?v=XNw-DZFsFYA")</f>
        <v>https://www.youtube.com/watch?v=XNw-DZFsFYA</v>
      </c>
      <c r="AO511" s="80" t="e">
        <f>REPLACE(INDEX(GroupVertices[Group],MATCH(Vertices[[#This Row],[Vertex]],GroupVertices[Vertex],0)),1,1,"")</f>
        <v>#N/A</v>
      </c>
      <c r="AP511" s="48"/>
      <c r="AQ511" s="49"/>
      <c r="AR511" s="48"/>
      <c r="AS511" s="49"/>
      <c r="AT511" s="48"/>
      <c r="AU511" s="49"/>
      <c r="AV511" s="48"/>
      <c r="AW511" s="49"/>
      <c r="AX511" s="48"/>
      <c r="AY511" s="48"/>
      <c r="AZ511" s="48"/>
      <c r="BA511" s="48"/>
      <c r="BB511" s="48"/>
      <c r="BC511" s="2"/>
      <c r="BD511" s="3"/>
      <c r="BE511" s="3"/>
      <c r="BF511" s="3"/>
      <c r="BG511" s="3"/>
    </row>
    <row r="512" spans="1:59" ht="15">
      <c r="A512" s="66" t="s">
        <v>815</v>
      </c>
      <c r="B512" s="67" t="s">
        <v>4461</v>
      </c>
      <c r="C512" s="67"/>
      <c r="D512" s="68">
        <v>586.3906037054757</v>
      </c>
      <c r="E512" s="70"/>
      <c r="F512" s="97" t="str">
        <f>HYPERLINK("https://i.ytimg.com/vi/7PzyaPT8qb4/default.jpg")</f>
        <v>https://i.ytimg.com/vi/7PzyaPT8qb4/default.jpg</v>
      </c>
      <c r="G512" s="120" t="s">
        <v>52</v>
      </c>
      <c r="H512" s="71" t="s">
        <v>1554</v>
      </c>
      <c r="I512" s="72"/>
      <c r="J512" s="72" t="s">
        <v>159</v>
      </c>
      <c r="K512" s="71" t="s">
        <v>1554</v>
      </c>
      <c r="L512" s="75">
        <v>213.72340425531914</v>
      </c>
      <c r="M512" s="76">
        <v>1949.5186767578125</v>
      </c>
      <c r="N512" s="76">
        <v>650.911865234375</v>
      </c>
      <c r="O512" s="77"/>
      <c r="P512" s="78"/>
      <c r="Q512" s="78"/>
      <c r="R512" s="82"/>
      <c r="S512" s="48"/>
      <c r="T512" s="48"/>
      <c r="U512" s="49"/>
      <c r="V512" s="49"/>
      <c r="W512" s="49"/>
      <c r="X512" s="49"/>
      <c r="Y512" s="49"/>
      <c r="Z512" s="49"/>
      <c r="AA512" s="73">
        <v>512</v>
      </c>
      <c r="AB512" s="73"/>
      <c r="AC512" s="74"/>
      <c r="AD512" s="80" t="s">
        <v>1554</v>
      </c>
      <c r="AE512" s="80" t="s">
        <v>2203</v>
      </c>
      <c r="AF512" s="80" t="s">
        <v>2788</v>
      </c>
      <c r="AG512" s="80" t="s">
        <v>2907</v>
      </c>
      <c r="AH512" s="80" t="s">
        <v>3969</v>
      </c>
      <c r="AI512" s="80">
        <v>8839</v>
      </c>
      <c r="AJ512" s="80">
        <v>6</v>
      </c>
      <c r="AK512" s="80">
        <v>76</v>
      </c>
      <c r="AL512" s="80">
        <v>2</v>
      </c>
      <c r="AM512" s="80" t="s">
        <v>4098</v>
      </c>
      <c r="AN512" s="96" t="str">
        <f>HYPERLINK("https://www.youtube.com/watch?v=7PzyaPT8qb4")</f>
        <v>https://www.youtube.com/watch?v=7PzyaPT8qb4</v>
      </c>
      <c r="AO512" s="80" t="e">
        <f>REPLACE(INDEX(GroupVertices[Group],MATCH(Vertices[[#This Row],[Vertex]],GroupVertices[Vertex],0)),1,1,"")</f>
        <v>#N/A</v>
      </c>
      <c r="AP512" s="48"/>
      <c r="AQ512" s="49"/>
      <c r="AR512" s="48"/>
      <c r="AS512" s="49"/>
      <c r="AT512" s="48"/>
      <c r="AU512" s="49"/>
      <c r="AV512" s="48"/>
      <c r="AW512" s="49"/>
      <c r="AX512" s="48"/>
      <c r="AY512" s="48"/>
      <c r="AZ512" s="48"/>
      <c r="BA512" s="48"/>
      <c r="BB512" s="48"/>
      <c r="BC512" s="2"/>
      <c r="BD512" s="3"/>
      <c r="BE512" s="3"/>
      <c r="BF512" s="3"/>
      <c r="BG512" s="3"/>
    </row>
    <row r="513" spans="1:59" ht="15">
      <c r="A513" s="66" t="s">
        <v>749</v>
      </c>
      <c r="B513" s="67" t="s">
        <v>4461</v>
      </c>
      <c r="C513" s="67"/>
      <c r="D513" s="68">
        <v>580.794591934578</v>
      </c>
      <c r="E513" s="70"/>
      <c r="F513" s="97" t="str">
        <f>HYPERLINK("https://i.ytimg.com/vi/ZwaTTCcA-fo/default.jpg")</f>
        <v>https://i.ytimg.com/vi/ZwaTTCcA-fo/default.jpg</v>
      </c>
      <c r="G513" s="120" t="s">
        <v>52</v>
      </c>
      <c r="H513" s="71" t="s">
        <v>1489</v>
      </c>
      <c r="I513" s="72"/>
      <c r="J513" s="72" t="s">
        <v>159</v>
      </c>
      <c r="K513" s="71" t="s">
        <v>1489</v>
      </c>
      <c r="L513" s="75">
        <v>213.72340425531914</v>
      </c>
      <c r="M513" s="76">
        <v>3026.684814453125</v>
      </c>
      <c r="N513" s="76">
        <v>4511.2880859375</v>
      </c>
      <c r="O513" s="77"/>
      <c r="P513" s="78"/>
      <c r="Q513" s="78"/>
      <c r="R513" s="82"/>
      <c r="S513" s="48"/>
      <c r="T513" s="48"/>
      <c r="U513" s="49"/>
      <c r="V513" s="49"/>
      <c r="W513" s="49"/>
      <c r="X513" s="49"/>
      <c r="Y513" s="49"/>
      <c r="Z513" s="49"/>
      <c r="AA513" s="73">
        <v>513</v>
      </c>
      <c r="AB513" s="73"/>
      <c r="AC513" s="74"/>
      <c r="AD513" s="80" t="s">
        <v>1489</v>
      </c>
      <c r="AE513" s="80" t="s">
        <v>2145</v>
      </c>
      <c r="AF513" s="80" t="s">
        <v>2731</v>
      </c>
      <c r="AG513" s="80" t="s">
        <v>3258</v>
      </c>
      <c r="AH513" s="80" t="s">
        <v>3903</v>
      </c>
      <c r="AI513" s="80">
        <v>8299</v>
      </c>
      <c r="AJ513" s="80">
        <v>0</v>
      </c>
      <c r="AK513" s="80">
        <v>94</v>
      </c>
      <c r="AL513" s="80">
        <v>2</v>
      </c>
      <c r="AM513" s="80" t="s">
        <v>4098</v>
      </c>
      <c r="AN513" s="96" t="str">
        <f>HYPERLINK("https://www.youtube.com/watch?v=ZwaTTCcA-fo")</f>
        <v>https://www.youtube.com/watch?v=ZwaTTCcA-fo</v>
      </c>
      <c r="AO513" s="80" t="e">
        <f>REPLACE(INDEX(GroupVertices[Group],MATCH(Vertices[[#This Row],[Vertex]],GroupVertices[Vertex],0)),1,1,"")</f>
        <v>#N/A</v>
      </c>
      <c r="AP513" s="48"/>
      <c r="AQ513" s="49"/>
      <c r="AR513" s="48"/>
      <c r="AS513" s="49"/>
      <c r="AT513" s="48"/>
      <c r="AU513" s="49"/>
      <c r="AV513" s="48"/>
      <c r="AW513" s="49"/>
      <c r="AX513" s="48"/>
      <c r="AY513" s="48"/>
      <c r="AZ513" s="48"/>
      <c r="BA513" s="48"/>
      <c r="BB513" s="48"/>
      <c r="BC513" s="2"/>
      <c r="BD513" s="3"/>
      <c r="BE513" s="3"/>
      <c r="BF513" s="3"/>
      <c r="BG513" s="3"/>
    </row>
    <row r="514" spans="1:59" ht="15">
      <c r="A514" s="66" t="s">
        <v>290</v>
      </c>
      <c r="B514" s="67" t="s">
        <v>4461</v>
      </c>
      <c r="C514" s="67"/>
      <c r="D514" s="68">
        <v>579.0555164930367</v>
      </c>
      <c r="E514" s="70"/>
      <c r="F514" s="97" t="str">
        <f>HYPERLINK("https://i.ytimg.com/vi/IluUBP2yKEg/default.jpg")</f>
        <v>https://i.ytimg.com/vi/IluUBP2yKEg/default.jpg</v>
      </c>
      <c r="G514" s="120" t="s">
        <v>52</v>
      </c>
      <c r="H514" s="71" t="s">
        <v>987</v>
      </c>
      <c r="I514" s="72"/>
      <c r="J514" s="72" t="s">
        <v>159</v>
      </c>
      <c r="K514" s="71" t="s">
        <v>987</v>
      </c>
      <c r="L514" s="75">
        <v>213.72340425531914</v>
      </c>
      <c r="M514" s="76">
        <v>5311.2822265625</v>
      </c>
      <c r="N514" s="76">
        <v>6644.501953125</v>
      </c>
      <c r="O514" s="77"/>
      <c r="P514" s="78"/>
      <c r="Q514" s="78"/>
      <c r="R514" s="82"/>
      <c r="S514" s="48"/>
      <c r="T514" s="48"/>
      <c r="U514" s="49"/>
      <c r="V514" s="49"/>
      <c r="W514" s="49"/>
      <c r="X514" s="49"/>
      <c r="Y514" s="49"/>
      <c r="Z514" s="49"/>
      <c r="AA514" s="73">
        <v>514</v>
      </c>
      <c r="AB514" s="73"/>
      <c r="AC514" s="74"/>
      <c r="AD514" s="80" t="s">
        <v>987</v>
      </c>
      <c r="AE514" s="80" t="s">
        <v>1710</v>
      </c>
      <c r="AF514" s="80" t="s">
        <v>2342</v>
      </c>
      <c r="AG514" s="80" t="s">
        <v>2919</v>
      </c>
      <c r="AH514" s="80" t="s">
        <v>3402</v>
      </c>
      <c r="AI514" s="80">
        <v>8138</v>
      </c>
      <c r="AJ514" s="80">
        <v>1</v>
      </c>
      <c r="AK514" s="80">
        <v>37</v>
      </c>
      <c r="AL514" s="80">
        <v>2</v>
      </c>
      <c r="AM514" s="80" t="s">
        <v>4098</v>
      </c>
      <c r="AN514" s="96" t="str">
        <f>HYPERLINK("https://www.youtube.com/watch?v=IluUBP2yKEg")</f>
        <v>https://www.youtube.com/watch?v=IluUBP2yKEg</v>
      </c>
      <c r="AO514" s="80" t="e">
        <f>REPLACE(INDEX(GroupVertices[Group],MATCH(Vertices[[#This Row],[Vertex]],GroupVertices[Vertex],0)),1,1,"")</f>
        <v>#N/A</v>
      </c>
      <c r="AP514" s="48"/>
      <c r="AQ514" s="49"/>
      <c r="AR514" s="48"/>
      <c r="AS514" s="49"/>
      <c r="AT514" s="48"/>
      <c r="AU514" s="49"/>
      <c r="AV514" s="48"/>
      <c r="AW514" s="49"/>
      <c r="AX514" s="48"/>
      <c r="AY514" s="48"/>
      <c r="AZ514" s="48"/>
      <c r="BA514" s="48"/>
      <c r="BB514" s="48"/>
      <c r="BC514" s="2"/>
      <c r="BD514" s="3"/>
      <c r="BE514" s="3"/>
      <c r="BF514" s="3"/>
      <c r="BG514" s="3"/>
    </row>
    <row r="515" spans="1:59" ht="15">
      <c r="A515" s="66" t="s">
        <v>534</v>
      </c>
      <c r="B515" s="67" t="s">
        <v>4461</v>
      </c>
      <c r="C515" s="67"/>
      <c r="D515" s="68">
        <v>575.8117699550874</v>
      </c>
      <c r="E515" s="70"/>
      <c r="F515" s="97" t="str">
        <f>HYPERLINK("https://i.ytimg.com/vi/4-n3UWQUcSE/default.jpg")</f>
        <v>https://i.ytimg.com/vi/4-n3UWQUcSE/default.jpg</v>
      </c>
      <c r="G515" s="120" t="s">
        <v>52</v>
      </c>
      <c r="H515" s="71" t="s">
        <v>1266</v>
      </c>
      <c r="I515" s="72"/>
      <c r="J515" s="72" t="s">
        <v>159</v>
      </c>
      <c r="K515" s="71" t="s">
        <v>1266</v>
      </c>
      <c r="L515" s="75">
        <v>213.72340425531914</v>
      </c>
      <c r="M515" s="76">
        <v>3322.435302734375</v>
      </c>
      <c r="N515" s="76">
        <v>6943.0712890625</v>
      </c>
      <c r="O515" s="77"/>
      <c r="P515" s="78"/>
      <c r="Q515" s="78"/>
      <c r="R515" s="82"/>
      <c r="S515" s="48"/>
      <c r="T515" s="48"/>
      <c r="U515" s="49"/>
      <c r="V515" s="49"/>
      <c r="W515" s="49"/>
      <c r="X515" s="49"/>
      <c r="Y515" s="49"/>
      <c r="Z515" s="49"/>
      <c r="AA515" s="73">
        <v>515</v>
      </c>
      <c r="AB515" s="73"/>
      <c r="AC515" s="74"/>
      <c r="AD515" s="80" t="s">
        <v>1266</v>
      </c>
      <c r="AE515" s="80" t="s">
        <v>1942</v>
      </c>
      <c r="AF515" s="80" t="s">
        <v>2551</v>
      </c>
      <c r="AG515" s="80" t="s">
        <v>3101</v>
      </c>
      <c r="AH515" s="80" t="s">
        <v>3678</v>
      </c>
      <c r="AI515" s="80">
        <v>7846</v>
      </c>
      <c r="AJ515" s="80">
        <v>5</v>
      </c>
      <c r="AK515" s="80">
        <v>54</v>
      </c>
      <c r="AL515" s="80">
        <v>2</v>
      </c>
      <c r="AM515" s="80" t="s">
        <v>4098</v>
      </c>
      <c r="AN515" s="96" t="str">
        <f>HYPERLINK("https://www.youtube.com/watch?v=4-n3UWQUcSE")</f>
        <v>https://www.youtube.com/watch?v=4-n3UWQUcSE</v>
      </c>
      <c r="AO515" s="80" t="e">
        <f>REPLACE(INDEX(GroupVertices[Group],MATCH(Vertices[[#This Row],[Vertex]],GroupVertices[Vertex],0)),1,1,"")</f>
        <v>#N/A</v>
      </c>
      <c r="AP515" s="48"/>
      <c r="AQ515" s="49"/>
      <c r="AR515" s="48"/>
      <c r="AS515" s="49"/>
      <c r="AT515" s="48"/>
      <c r="AU515" s="49"/>
      <c r="AV515" s="48"/>
      <c r="AW515" s="49"/>
      <c r="AX515" s="48"/>
      <c r="AY515" s="48"/>
      <c r="AZ515" s="48"/>
      <c r="BA515" s="48"/>
      <c r="BB515" s="48"/>
      <c r="BC515" s="2"/>
      <c r="BD515" s="3"/>
      <c r="BE515" s="3"/>
      <c r="BF515" s="3"/>
      <c r="BG515" s="3"/>
    </row>
    <row r="516" spans="1:59" ht="15">
      <c r="A516" s="66" t="s">
        <v>362</v>
      </c>
      <c r="B516" s="67" t="s">
        <v>4461</v>
      </c>
      <c r="C516" s="67"/>
      <c r="D516" s="68">
        <v>575.6078808285306</v>
      </c>
      <c r="E516" s="70"/>
      <c r="F516" s="97" t="str">
        <f>HYPERLINK("https://i.ytimg.com/vi/AZMkYst2tRM/default.jpg")</f>
        <v>https://i.ytimg.com/vi/AZMkYst2tRM/default.jpg</v>
      </c>
      <c r="G516" s="120" t="s">
        <v>52</v>
      </c>
      <c r="H516" s="71" t="s">
        <v>1067</v>
      </c>
      <c r="I516" s="72"/>
      <c r="J516" s="72" t="s">
        <v>159</v>
      </c>
      <c r="K516" s="71" t="s">
        <v>1067</v>
      </c>
      <c r="L516" s="75">
        <v>213.72340425531914</v>
      </c>
      <c r="M516" s="76">
        <v>609.3988647460938</v>
      </c>
      <c r="N516" s="76">
        <v>9312.8212890625</v>
      </c>
      <c r="O516" s="77"/>
      <c r="P516" s="78"/>
      <c r="Q516" s="78"/>
      <c r="R516" s="82"/>
      <c r="S516" s="48"/>
      <c r="T516" s="48"/>
      <c r="U516" s="49"/>
      <c r="V516" s="49"/>
      <c r="W516" s="49"/>
      <c r="X516" s="49"/>
      <c r="Y516" s="49"/>
      <c r="Z516" s="49"/>
      <c r="AA516" s="73">
        <v>516</v>
      </c>
      <c r="AB516" s="73"/>
      <c r="AC516" s="74"/>
      <c r="AD516" s="80" t="s">
        <v>1067</v>
      </c>
      <c r="AE516" s="80" t="s">
        <v>1778</v>
      </c>
      <c r="AF516" s="80" t="s">
        <v>2405</v>
      </c>
      <c r="AG516" s="80" t="s">
        <v>2983</v>
      </c>
      <c r="AH516" s="80" t="s">
        <v>3480</v>
      </c>
      <c r="AI516" s="80">
        <v>7828</v>
      </c>
      <c r="AJ516" s="80">
        <v>3</v>
      </c>
      <c r="AK516" s="80">
        <v>15</v>
      </c>
      <c r="AL516" s="80">
        <v>2</v>
      </c>
      <c r="AM516" s="80" t="s">
        <v>4098</v>
      </c>
      <c r="AN516" s="96" t="str">
        <f>HYPERLINK("https://www.youtube.com/watch?v=AZMkYst2tRM")</f>
        <v>https://www.youtube.com/watch?v=AZMkYst2tRM</v>
      </c>
      <c r="AO516" s="80" t="e">
        <f>REPLACE(INDEX(GroupVertices[Group],MATCH(Vertices[[#This Row],[Vertex]],GroupVertices[Vertex],0)),1,1,"")</f>
        <v>#N/A</v>
      </c>
      <c r="AP516" s="48"/>
      <c r="AQ516" s="49"/>
      <c r="AR516" s="48"/>
      <c r="AS516" s="49"/>
      <c r="AT516" s="48"/>
      <c r="AU516" s="49"/>
      <c r="AV516" s="48"/>
      <c r="AW516" s="49"/>
      <c r="AX516" s="48"/>
      <c r="AY516" s="48"/>
      <c r="AZ516" s="48"/>
      <c r="BA516" s="48"/>
      <c r="BB516" s="48"/>
      <c r="BC516" s="2"/>
      <c r="BD516" s="3"/>
      <c r="BE516" s="3"/>
      <c r="BF516" s="3"/>
      <c r="BG516" s="3"/>
    </row>
    <row r="517" spans="1:59" ht="15">
      <c r="A517" s="66" t="s">
        <v>890</v>
      </c>
      <c r="B517" s="67" t="s">
        <v>4461</v>
      </c>
      <c r="C517" s="67"/>
      <c r="D517" s="68">
        <v>543.5297829853171</v>
      </c>
      <c r="E517" s="70"/>
      <c r="F517" s="97" t="str">
        <f>HYPERLINK("https://i.ytimg.com/vi/OEscJk1_YyI/default.jpg")</f>
        <v>https://i.ytimg.com/vi/OEscJk1_YyI/default.jpg</v>
      </c>
      <c r="G517" s="120" t="s">
        <v>52</v>
      </c>
      <c r="H517" s="71" t="s">
        <v>1628</v>
      </c>
      <c r="I517" s="72"/>
      <c r="J517" s="72" t="s">
        <v>159</v>
      </c>
      <c r="K517" s="71" t="s">
        <v>1628</v>
      </c>
      <c r="L517" s="75">
        <v>213.72340425531914</v>
      </c>
      <c r="M517" s="76">
        <v>1909.2132568359375</v>
      </c>
      <c r="N517" s="76">
        <v>4692.5009765625</v>
      </c>
      <c r="O517" s="77"/>
      <c r="P517" s="78"/>
      <c r="Q517" s="78"/>
      <c r="R517" s="82"/>
      <c r="S517" s="48"/>
      <c r="T517" s="48"/>
      <c r="U517" s="49"/>
      <c r="V517" s="49"/>
      <c r="W517" s="49"/>
      <c r="X517" s="49"/>
      <c r="Y517" s="49"/>
      <c r="Z517" s="49"/>
      <c r="AA517" s="73">
        <v>517</v>
      </c>
      <c r="AB517" s="73"/>
      <c r="AC517" s="74"/>
      <c r="AD517" s="80" t="s">
        <v>1628</v>
      </c>
      <c r="AE517" s="80" t="s">
        <v>2266</v>
      </c>
      <c r="AF517" s="80" t="s">
        <v>2848</v>
      </c>
      <c r="AG517" s="80" t="s">
        <v>3337</v>
      </c>
      <c r="AH517" s="80" t="s">
        <v>4044</v>
      </c>
      <c r="AI517" s="80">
        <v>5454</v>
      </c>
      <c r="AJ517" s="80">
        <v>1</v>
      </c>
      <c r="AK517" s="80">
        <v>12</v>
      </c>
      <c r="AL517" s="80">
        <v>2</v>
      </c>
      <c r="AM517" s="80" t="s">
        <v>4098</v>
      </c>
      <c r="AN517" s="96" t="str">
        <f>HYPERLINK("https://www.youtube.com/watch?v=OEscJk1_YyI")</f>
        <v>https://www.youtube.com/watch?v=OEscJk1_YyI</v>
      </c>
      <c r="AO517" s="80" t="e">
        <f>REPLACE(INDEX(GroupVertices[Group],MATCH(Vertices[[#This Row],[Vertex]],GroupVertices[Vertex],0)),1,1,"")</f>
        <v>#N/A</v>
      </c>
      <c r="AP517" s="48"/>
      <c r="AQ517" s="49"/>
      <c r="AR517" s="48"/>
      <c r="AS517" s="49"/>
      <c r="AT517" s="48"/>
      <c r="AU517" s="49"/>
      <c r="AV517" s="48"/>
      <c r="AW517" s="49"/>
      <c r="AX517" s="48"/>
      <c r="AY517" s="48"/>
      <c r="AZ517" s="48"/>
      <c r="BA517" s="48"/>
      <c r="BB517" s="48"/>
      <c r="BC517" s="2"/>
      <c r="BD517" s="3"/>
      <c r="BE517" s="3"/>
      <c r="BF517" s="3"/>
      <c r="BG517" s="3"/>
    </row>
    <row r="518" spans="1:59" ht="15">
      <c r="A518" s="66" t="s">
        <v>434</v>
      </c>
      <c r="B518" s="67" t="s">
        <v>4461</v>
      </c>
      <c r="C518" s="67"/>
      <c r="D518" s="68">
        <v>541.8206990571243</v>
      </c>
      <c r="E518" s="70"/>
      <c r="F518" s="97" t="str">
        <f>HYPERLINK("https://i.ytimg.com/vi/dfJV__vOA04/default.jpg")</f>
        <v>https://i.ytimg.com/vi/dfJV__vOA04/default.jpg</v>
      </c>
      <c r="G518" s="120" t="s">
        <v>52</v>
      </c>
      <c r="H518" s="71" t="s">
        <v>1142</v>
      </c>
      <c r="I518" s="72"/>
      <c r="J518" s="72" t="s">
        <v>159</v>
      </c>
      <c r="K518" s="71" t="s">
        <v>1142</v>
      </c>
      <c r="L518" s="75">
        <v>213.72340425531914</v>
      </c>
      <c r="M518" s="76">
        <v>8419.236328125</v>
      </c>
      <c r="N518" s="76">
        <v>4619.88525390625</v>
      </c>
      <c r="O518" s="77"/>
      <c r="P518" s="78"/>
      <c r="Q518" s="78"/>
      <c r="R518" s="82"/>
      <c r="S518" s="48"/>
      <c r="T518" s="48"/>
      <c r="U518" s="49"/>
      <c r="V518" s="49"/>
      <c r="W518" s="49"/>
      <c r="X518" s="49"/>
      <c r="Y518" s="49"/>
      <c r="Z518" s="49"/>
      <c r="AA518" s="73">
        <v>518</v>
      </c>
      <c r="AB518" s="73"/>
      <c r="AC518" s="74"/>
      <c r="AD518" s="80" t="s">
        <v>1142</v>
      </c>
      <c r="AE518" s="80" t="s">
        <v>1834</v>
      </c>
      <c r="AF518" s="80" t="s">
        <v>2457</v>
      </c>
      <c r="AG518" s="80" t="s">
        <v>3022</v>
      </c>
      <c r="AH518" s="80" t="s">
        <v>3555</v>
      </c>
      <c r="AI518" s="80">
        <v>5350</v>
      </c>
      <c r="AJ518" s="80">
        <v>0</v>
      </c>
      <c r="AK518" s="80">
        <v>54</v>
      </c>
      <c r="AL518" s="80">
        <v>2</v>
      </c>
      <c r="AM518" s="80" t="s">
        <v>4098</v>
      </c>
      <c r="AN518" s="96" t="str">
        <f>HYPERLINK("https://www.youtube.com/watch?v=dfJV__vOA04")</f>
        <v>https://www.youtube.com/watch?v=dfJV__vOA04</v>
      </c>
      <c r="AO518" s="80" t="e">
        <f>REPLACE(INDEX(GroupVertices[Group],MATCH(Vertices[[#This Row],[Vertex]],GroupVertices[Vertex],0)),1,1,"")</f>
        <v>#N/A</v>
      </c>
      <c r="AP518" s="48"/>
      <c r="AQ518" s="49"/>
      <c r="AR518" s="48"/>
      <c r="AS518" s="49"/>
      <c r="AT518" s="48"/>
      <c r="AU518" s="49"/>
      <c r="AV518" s="48"/>
      <c r="AW518" s="49"/>
      <c r="AX518" s="48"/>
      <c r="AY518" s="48"/>
      <c r="AZ518" s="48"/>
      <c r="BA518" s="48"/>
      <c r="BB518" s="48"/>
      <c r="BC518" s="2"/>
      <c r="BD518" s="3"/>
      <c r="BE518" s="3"/>
      <c r="BF518" s="3"/>
      <c r="BG518" s="3"/>
    </row>
    <row r="519" spans="1:59" ht="15">
      <c r="A519" s="66" t="s">
        <v>450</v>
      </c>
      <c r="B519" s="67" t="s">
        <v>4461</v>
      </c>
      <c r="C519" s="67"/>
      <c r="D519" s="68">
        <v>538.2141713092776</v>
      </c>
      <c r="E519" s="70"/>
      <c r="F519" s="97" t="str">
        <f>HYPERLINK("https://i.ytimg.com/vi/n3tG0AKwiRE/default.jpg")</f>
        <v>https://i.ytimg.com/vi/n3tG0AKwiRE/default.jpg</v>
      </c>
      <c r="G519" s="120" t="s">
        <v>52</v>
      </c>
      <c r="H519" s="71" t="s">
        <v>1160</v>
      </c>
      <c r="I519" s="72"/>
      <c r="J519" s="72" t="s">
        <v>159</v>
      </c>
      <c r="K519" s="71" t="s">
        <v>1160</v>
      </c>
      <c r="L519" s="75">
        <v>213.72340425531914</v>
      </c>
      <c r="M519" s="76">
        <v>1404.9176025390625</v>
      </c>
      <c r="N519" s="76">
        <v>9399.7861328125</v>
      </c>
      <c r="O519" s="77"/>
      <c r="P519" s="78"/>
      <c r="Q519" s="78"/>
      <c r="R519" s="82"/>
      <c r="S519" s="48"/>
      <c r="T519" s="48"/>
      <c r="U519" s="49"/>
      <c r="V519" s="49"/>
      <c r="W519" s="49"/>
      <c r="X519" s="49"/>
      <c r="Y519" s="49"/>
      <c r="Z519" s="49"/>
      <c r="AA519" s="73">
        <v>519</v>
      </c>
      <c r="AB519" s="73"/>
      <c r="AC519" s="74"/>
      <c r="AD519" s="80" t="s">
        <v>1160</v>
      </c>
      <c r="AE519" s="80" t="s">
        <v>1851</v>
      </c>
      <c r="AF519" s="80" t="s">
        <v>2471</v>
      </c>
      <c r="AG519" s="80" t="s">
        <v>3030</v>
      </c>
      <c r="AH519" s="80" t="s">
        <v>3573</v>
      </c>
      <c r="AI519" s="80">
        <v>5137</v>
      </c>
      <c r="AJ519" s="80">
        <v>6</v>
      </c>
      <c r="AK519" s="80">
        <v>19</v>
      </c>
      <c r="AL519" s="80">
        <v>2</v>
      </c>
      <c r="AM519" s="80" t="s">
        <v>4098</v>
      </c>
      <c r="AN519" s="96" t="str">
        <f>HYPERLINK("https://www.youtube.com/watch?v=n3tG0AKwiRE")</f>
        <v>https://www.youtube.com/watch?v=n3tG0AKwiRE</v>
      </c>
      <c r="AO519" s="80" t="e">
        <f>REPLACE(INDEX(GroupVertices[Group],MATCH(Vertices[[#This Row],[Vertex]],GroupVertices[Vertex],0)),1,1,"")</f>
        <v>#N/A</v>
      </c>
      <c r="AP519" s="48"/>
      <c r="AQ519" s="49"/>
      <c r="AR519" s="48"/>
      <c r="AS519" s="49"/>
      <c r="AT519" s="48"/>
      <c r="AU519" s="49"/>
      <c r="AV519" s="48"/>
      <c r="AW519" s="49"/>
      <c r="AX519" s="48"/>
      <c r="AY519" s="48"/>
      <c r="AZ519" s="48"/>
      <c r="BA519" s="48"/>
      <c r="BB519" s="48"/>
      <c r="BC519" s="2"/>
      <c r="BD519" s="3"/>
      <c r="BE519" s="3"/>
      <c r="BF519" s="3"/>
      <c r="BG519" s="3"/>
    </row>
    <row r="520" spans="1:59" ht="15">
      <c r="A520" s="66" t="s">
        <v>811</v>
      </c>
      <c r="B520" s="67" t="s">
        <v>4461</v>
      </c>
      <c r="C520" s="67"/>
      <c r="D520" s="68">
        <v>525.8280953872074</v>
      </c>
      <c r="E520" s="70"/>
      <c r="F520" s="97" t="str">
        <f>HYPERLINK("https://i.ytimg.com/vi/SM08TsCldWI/default.jpg")</f>
        <v>https://i.ytimg.com/vi/SM08TsCldWI/default.jpg</v>
      </c>
      <c r="G520" s="120" t="s">
        <v>52</v>
      </c>
      <c r="H520" s="71" t="s">
        <v>1551</v>
      </c>
      <c r="I520" s="72"/>
      <c r="J520" s="72" t="s">
        <v>159</v>
      </c>
      <c r="K520" s="71" t="s">
        <v>1551</v>
      </c>
      <c r="L520" s="75">
        <v>213.72340425531914</v>
      </c>
      <c r="M520" s="76">
        <v>1495.3470458984375</v>
      </c>
      <c r="N520" s="76">
        <v>509.2751159667969</v>
      </c>
      <c r="O520" s="77"/>
      <c r="P520" s="78"/>
      <c r="Q520" s="78"/>
      <c r="R520" s="82"/>
      <c r="S520" s="48"/>
      <c r="T520" s="48"/>
      <c r="U520" s="49"/>
      <c r="V520" s="49"/>
      <c r="W520" s="49"/>
      <c r="X520" s="49"/>
      <c r="Y520" s="49"/>
      <c r="Z520" s="49"/>
      <c r="AA520" s="73">
        <v>520</v>
      </c>
      <c r="AB520" s="73"/>
      <c r="AC520" s="74"/>
      <c r="AD520" s="80" t="s">
        <v>1551</v>
      </c>
      <c r="AE520" s="80" t="s">
        <v>2199</v>
      </c>
      <c r="AF520" s="80" t="s">
        <v>2784</v>
      </c>
      <c r="AG520" s="80" t="s">
        <v>2907</v>
      </c>
      <c r="AH520" s="80" t="s">
        <v>3965</v>
      </c>
      <c r="AI520" s="80">
        <v>4468</v>
      </c>
      <c r="AJ520" s="80">
        <v>3</v>
      </c>
      <c r="AK520" s="80">
        <v>42</v>
      </c>
      <c r="AL520" s="80">
        <v>2</v>
      </c>
      <c r="AM520" s="80" t="s">
        <v>4098</v>
      </c>
      <c r="AN520" s="96" t="str">
        <f>HYPERLINK("https://www.youtube.com/watch?v=SM08TsCldWI")</f>
        <v>https://www.youtube.com/watch?v=SM08TsCldWI</v>
      </c>
      <c r="AO520" s="80" t="e">
        <f>REPLACE(INDEX(GroupVertices[Group],MATCH(Vertices[[#This Row],[Vertex]],GroupVertices[Vertex],0)),1,1,"")</f>
        <v>#N/A</v>
      </c>
      <c r="AP520" s="48"/>
      <c r="AQ520" s="49"/>
      <c r="AR520" s="48"/>
      <c r="AS520" s="49"/>
      <c r="AT520" s="48"/>
      <c r="AU520" s="49"/>
      <c r="AV520" s="48"/>
      <c r="AW520" s="49"/>
      <c r="AX520" s="48"/>
      <c r="AY520" s="48"/>
      <c r="AZ520" s="48"/>
      <c r="BA520" s="48"/>
      <c r="BB520" s="48"/>
      <c r="BC520" s="2"/>
      <c r="BD520" s="3"/>
      <c r="BE520" s="3"/>
      <c r="BF520" s="3"/>
      <c r="BG520" s="3"/>
    </row>
    <row r="521" spans="1:59" ht="15">
      <c r="A521" s="66" t="s">
        <v>327</v>
      </c>
      <c r="B521" s="67" t="s">
        <v>4461</v>
      </c>
      <c r="C521" s="67"/>
      <c r="D521" s="68">
        <v>516.4927936600297</v>
      </c>
      <c r="E521" s="70"/>
      <c r="F521" s="97" t="str">
        <f>HYPERLINK("https://i.ytimg.com/vi/E8Z4Cko8CVI/default.jpg")</f>
        <v>https://i.ytimg.com/vi/E8Z4Cko8CVI/default.jpg</v>
      </c>
      <c r="G521" s="120" t="s">
        <v>52</v>
      </c>
      <c r="H521" s="71" t="s">
        <v>1028</v>
      </c>
      <c r="I521" s="72"/>
      <c r="J521" s="72" t="s">
        <v>159</v>
      </c>
      <c r="K521" s="71" t="s">
        <v>1028</v>
      </c>
      <c r="L521" s="75">
        <v>213.72340425531914</v>
      </c>
      <c r="M521" s="76">
        <v>5334.8984375</v>
      </c>
      <c r="N521" s="76">
        <v>2930.9599609375</v>
      </c>
      <c r="O521" s="77"/>
      <c r="P521" s="78"/>
      <c r="Q521" s="78"/>
      <c r="R521" s="82"/>
      <c r="S521" s="48"/>
      <c r="T521" s="48"/>
      <c r="U521" s="49"/>
      <c r="V521" s="49"/>
      <c r="W521" s="49"/>
      <c r="X521" s="49"/>
      <c r="Y521" s="49"/>
      <c r="Z521" s="49"/>
      <c r="AA521" s="73">
        <v>521</v>
      </c>
      <c r="AB521" s="73"/>
      <c r="AC521" s="74"/>
      <c r="AD521" s="80" t="s">
        <v>1028</v>
      </c>
      <c r="AE521" s="80" t="s">
        <v>1744</v>
      </c>
      <c r="AF521" s="80" t="s">
        <v>2373</v>
      </c>
      <c r="AG521" s="80" t="s">
        <v>2957</v>
      </c>
      <c r="AH521" s="80" t="s">
        <v>3443</v>
      </c>
      <c r="AI521" s="80">
        <v>4022</v>
      </c>
      <c r="AJ521" s="80">
        <v>0</v>
      </c>
      <c r="AK521" s="80">
        <v>2</v>
      </c>
      <c r="AL521" s="80">
        <v>2</v>
      </c>
      <c r="AM521" s="80" t="s">
        <v>4098</v>
      </c>
      <c r="AN521" s="96" t="str">
        <f>HYPERLINK("https://www.youtube.com/watch?v=E8Z4Cko8CVI")</f>
        <v>https://www.youtube.com/watch?v=E8Z4Cko8CVI</v>
      </c>
      <c r="AO521" s="80" t="e">
        <f>REPLACE(INDEX(GroupVertices[Group],MATCH(Vertices[[#This Row],[Vertex]],GroupVertices[Vertex],0)),1,1,"")</f>
        <v>#N/A</v>
      </c>
      <c r="AP521" s="48"/>
      <c r="AQ521" s="49"/>
      <c r="AR521" s="48"/>
      <c r="AS521" s="49"/>
      <c r="AT521" s="48"/>
      <c r="AU521" s="49"/>
      <c r="AV521" s="48"/>
      <c r="AW521" s="49"/>
      <c r="AX521" s="48"/>
      <c r="AY521" s="48"/>
      <c r="AZ521" s="48"/>
      <c r="BA521" s="48"/>
      <c r="BB521" s="48"/>
      <c r="BC521" s="2"/>
      <c r="BD521" s="3"/>
      <c r="BE521" s="3"/>
      <c r="BF521" s="3"/>
      <c r="BG521" s="3"/>
    </row>
    <row r="522" spans="1:59" ht="15">
      <c r="A522" s="66" t="s">
        <v>266</v>
      </c>
      <c r="B522" s="67" t="s">
        <v>4461</v>
      </c>
      <c r="C522" s="67"/>
      <c r="D522" s="68">
        <v>497.682721802033</v>
      </c>
      <c r="E522" s="70"/>
      <c r="F522" s="97" t="str">
        <f>HYPERLINK("https://i.ytimg.com/vi/WvGthq20j-s/default.jpg")</f>
        <v>https://i.ytimg.com/vi/WvGthq20j-s/default.jpg</v>
      </c>
      <c r="G522" s="120" t="s">
        <v>52</v>
      </c>
      <c r="H522" s="71" t="s">
        <v>961</v>
      </c>
      <c r="I522" s="72"/>
      <c r="J522" s="72" t="s">
        <v>159</v>
      </c>
      <c r="K522" s="71" t="s">
        <v>961</v>
      </c>
      <c r="L522" s="75">
        <v>213.72340425531914</v>
      </c>
      <c r="M522" s="76">
        <v>5392.056640625</v>
      </c>
      <c r="N522" s="76">
        <v>9854.505859375</v>
      </c>
      <c r="O522" s="77"/>
      <c r="P522" s="78"/>
      <c r="Q522" s="78"/>
      <c r="R522" s="82"/>
      <c r="S522" s="48"/>
      <c r="T522" s="48"/>
      <c r="U522" s="49"/>
      <c r="V522" s="49"/>
      <c r="W522" s="49"/>
      <c r="X522" s="49"/>
      <c r="Y522" s="49"/>
      <c r="Z522" s="49"/>
      <c r="AA522" s="73">
        <v>522</v>
      </c>
      <c r="AB522" s="73"/>
      <c r="AC522" s="74"/>
      <c r="AD522" s="80" t="s">
        <v>961</v>
      </c>
      <c r="AE522" s="80" t="s">
        <v>1686</v>
      </c>
      <c r="AF522" s="80" t="s">
        <v>2320</v>
      </c>
      <c r="AG522" s="80" t="s">
        <v>2899</v>
      </c>
      <c r="AH522" s="80" t="s">
        <v>3376</v>
      </c>
      <c r="AI522" s="80">
        <v>3254</v>
      </c>
      <c r="AJ522" s="80">
        <v>18</v>
      </c>
      <c r="AK522" s="80">
        <v>136</v>
      </c>
      <c r="AL522" s="80">
        <v>2</v>
      </c>
      <c r="AM522" s="80" t="s">
        <v>4098</v>
      </c>
      <c r="AN522" s="96" t="str">
        <f>HYPERLINK("https://www.youtube.com/watch?v=WvGthq20j-s")</f>
        <v>https://www.youtube.com/watch?v=WvGthq20j-s</v>
      </c>
      <c r="AO522" s="80" t="e">
        <f>REPLACE(INDEX(GroupVertices[Group],MATCH(Vertices[[#This Row],[Vertex]],GroupVertices[Vertex],0)),1,1,"")</f>
        <v>#N/A</v>
      </c>
      <c r="AP522" s="48"/>
      <c r="AQ522" s="49"/>
      <c r="AR522" s="48"/>
      <c r="AS522" s="49"/>
      <c r="AT522" s="48"/>
      <c r="AU522" s="49"/>
      <c r="AV522" s="48"/>
      <c r="AW522" s="49"/>
      <c r="AX522" s="48"/>
      <c r="AY522" s="48"/>
      <c r="AZ522" s="48"/>
      <c r="BA522" s="48"/>
      <c r="BB522" s="48"/>
      <c r="BC522" s="2"/>
      <c r="BD522" s="3"/>
      <c r="BE522" s="3"/>
      <c r="BF522" s="3"/>
      <c r="BG522" s="3"/>
    </row>
    <row r="523" spans="1:59" ht="15">
      <c r="A523" s="66" t="s">
        <v>702</v>
      </c>
      <c r="B523" s="67" t="s">
        <v>4461</v>
      </c>
      <c r="C523" s="67"/>
      <c r="D523" s="68">
        <v>496.3358063382675</v>
      </c>
      <c r="E523" s="70"/>
      <c r="F523" s="97" t="str">
        <f>HYPERLINK("https://i.ytimg.com/vi/GwHDMpewAso/default.jpg")</f>
        <v>https://i.ytimg.com/vi/GwHDMpewAso/default.jpg</v>
      </c>
      <c r="G523" s="120" t="s">
        <v>52</v>
      </c>
      <c r="H523" s="71" t="s">
        <v>1443</v>
      </c>
      <c r="I523" s="72"/>
      <c r="J523" s="72" t="s">
        <v>159</v>
      </c>
      <c r="K523" s="71" t="s">
        <v>1443</v>
      </c>
      <c r="L523" s="75">
        <v>213.72340425531914</v>
      </c>
      <c r="M523" s="76">
        <v>8534.55078125</v>
      </c>
      <c r="N523" s="76">
        <v>2320.771728515625</v>
      </c>
      <c r="O523" s="77"/>
      <c r="P523" s="78"/>
      <c r="Q523" s="78"/>
      <c r="R523" s="82"/>
      <c r="S523" s="48"/>
      <c r="T523" s="48"/>
      <c r="U523" s="49"/>
      <c r="V523" s="49"/>
      <c r="W523" s="49"/>
      <c r="X523" s="49"/>
      <c r="Y523" s="49"/>
      <c r="Z523" s="49"/>
      <c r="AA523" s="73">
        <v>523</v>
      </c>
      <c r="AB523" s="73"/>
      <c r="AC523" s="74"/>
      <c r="AD523" s="80" t="s">
        <v>1443</v>
      </c>
      <c r="AE523" s="80" t="s">
        <v>2100</v>
      </c>
      <c r="AF523" s="80" t="s">
        <v>2691</v>
      </c>
      <c r="AG523" s="80" t="s">
        <v>2948</v>
      </c>
      <c r="AH523" s="80" t="s">
        <v>3855</v>
      </c>
      <c r="AI523" s="80">
        <v>3205</v>
      </c>
      <c r="AJ523" s="80">
        <v>1</v>
      </c>
      <c r="AK523" s="80">
        <v>7</v>
      </c>
      <c r="AL523" s="80">
        <v>2</v>
      </c>
      <c r="AM523" s="80" t="s">
        <v>4098</v>
      </c>
      <c r="AN523" s="96" t="str">
        <f>HYPERLINK("https://www.youtube.com/watch?v=GwHDMpewAso")</f>
        <v>https://www.youtube.com/watch?v=GwHDMpewAso</v>
      </c>
      <c r="AO523" s="80" t="e">
        <f>REPLACE(INDEX(GroupVertices[Group],MATCH(Vertices[[#This Row],[Vertex]],GroupVertices[Vertex],0)),1,1,"")</f>
        <v>#N/A</v>
      </c>
      <c r="AP523" s="48"/>
      <c r="AQ523" s="49"/>
      <c r="AR523" s="48"/>
      <c r="AS523" s="49"/>
      <c r="AT523" s="48"/>
      <c r="AU523" s="49"/>
      <c r="AV523" s="48"/>
      <c r="AW523" s="49"/>
      <c r="AX523" s="48"/>
      <c r="AY523" s="48"/>
      <c r="AZ523" s="48"/>
      <c r="BA523" s="48"/>
      <c r="BB523" s="48"/>
      <c r="BC523" s="2"/>
      <c r="BD523" s="3"/>
      <c r="BE523" s="3"/>
      <c r="BF523" s="3"/>
      <c r="BG523" s="3"/>
    </row>
    <row r="524" spans="1:59" ht="15">
      <c r="A524" s="66" t="s">
        <v>658</v>
      </c>
      <c r="B524" s="67" t="s">
        <v>4461</v>
      </c>
      <c r="C524" s="67"/>
      <c r="D524" s="68">
        <v>479.22097938687097</v>
      </c>
      <c r="E524" s="70"/>
      <c r="F524" s="97" t="str">
        <f>HYPERLINK("https://i.ytimg.com/vi/WCAi9PfIkfE/default.jpg")</f>
        <v>https://i.ytimg.com/vi/WCAi9PfIkfE/default.jpg</v>
      </c>
      <c r="G524" s="120" t="s">
        <v>52</v>
      </c>
      <c r="H524" s="71" t="s">
        <v>1398</v>
      </c>
      <c r="I524" s="72"/>
      <c r="J524" s="72" t="s">
        <v>159</v>
      </c>
      <c r="K524" s="71" t="s">
        <v>1398</v>
      </c>
      <c r="L524" s="75">
        <v>213.72340425531914</v>
      </c>
      <c r="M524" s="76">
        <v>2610.800048828125</v>
      </c>
      <c r="N524" s="76">
        <v>1036.852783203125</v>
      </c>
      <c r="O524" s="77"/>
      <c r="P524" s="78"/>
      <c r="Q524" s="78"/>
      <c r="R524" s="82"/>
      <c r="S524" s="48"/>
      <c r="T524" s="48"/>
      <c r="U524" s="49"/>
      <c r="V524" s="49"/>
      <c r="W524" s="49"/>
      <c r="X524" s="49"/>
      <c r="Y524" s="49"/>
      <c r="Z524" s="49"/>
      <c r="AA524" s="73">
        <v>524</v>
      </c>
      <c r="AB524" s="73"/>
      <c r="AC524" s="74"/>
      <c r="AD524" s="80" t="s">
        <v>1398</v>
      </c>
      <c r="AE524" s="80" t="s">
        <v>2032</v>
      </c>
      <c r="AF524" s="80"/>
      <c r="AG524" s="80" t="s">
        <v>3191</v>
      </c>
      <c r="AH524" s="80" t="s">
        <v>3810</v>
      </c>
      <c r="AI524" s="80">
        <v>2643</v>
      </c>
      <c r="AJ524" s="80">
        <v>6</v>
      </c>
      <c r="AK524" s="80">
        <v>36</v>
      </c>
      <c r="AL524" s="80">
        <v>2</v>
      </c>
      <c r="AM524" s="80" t="s">
        <v>4098</v>
      </c>
      <c r="AN524" s="96" t="str">
        <f>HYPERLINK("https://www.youtube.com/watch?v=WCAi9PfIkfE")</f>
        <v>https://www.youtube.com/watch?v=WCAi9PfIkfE</v>
      </c>
      <c r="AO524" s="80" t="e">
        <f>REPLACE(INDEX(GroupVertices[Group],MATCH(Vertices[[#This Row],[Vertex]],GroupVertices[Vertex],0)),1,1,"")</f>
        <v>#N/A</v>
      </c>
      <c r="AP524" s="48"/>
      <c r="AQ524" s="49"/>
      <c r="AR524" s="48"/>
      <c r="AS524" s="49"/>
      <c r="AT524" s="48"/>
      <c r="AU524" s="49"/>
      <c r="AV524" s="48"/>
      <c r="AW524" s="49"/>
      <c r="AX524" s="48"/>
      <c r="AY524" s="48"/>
      <c r="AZ524" s="48"/>
      <c r="BA524" s="48"/>
      <c r="BB524" s="48"/>
      <c r="BC524" s="2"/>
      <c r="BD524" s="3"/>
      <c r="BE524" s="3"/>
      <c r="BF524" s="3"/>
      <c r="BG524" s="3"/>
    </row>
    <row r="525" spans="1:59" ht="15">
      <c r="A525" s="66" t="s">
        <v>501</v>
      </c>
      <c r="B525" s="67" t="s">
        <v>4461</v>
      </c>
      <c r="C525" s="67"/>
      <c r="D525" s="68">
        <v>459.7726287642173</v>
      </c>
      <c r="E525" s="70"/>
      <c r="F525" s="97" t="str">
        <f>HYPERLINK("https://i.ytimg.com/vi/1EbuwbLrkkg/default.jpg")</f>
        <v>https://i.ytimg.com/vi/1EbuwbLrkkg/default.jpg</v>
      </c>
      <c r="G525" s="120" t="s">
        <v>52</v>
      </c>
      <c r="H525" s="71" t="s">
        <v>1217</v>
      </c>
      <c r="I525" s="72"/>
      <c r="J525" s="72" t="s">
        <v>159</v>
      </c>
      <c r="K525" s="71" t="s">
        <v>1217</v>
      </c>
      <c r="L525" s="75">
        <v>213.72340425531914</v>
      </c>
      <c r="M525" s="76">
        <v>6676.8876953125</v>
      </c>
      <c r="N525" s="76">
        <v>2328.812255859375</v>
      </c>
      <c r="O525" s="77"/>
      <c r="P525" s="78"/>
      <c r="Q525" s="78"/>
      <c r="R525" s="82"/>
      <c r="S525" s="48"/>
      <c r="T525" s="48"/>
      <c r="U525" s="49"/>
      <c r="V525" s="49"/>
      <c r="W525" s="49"/>
      <c r="X525" s="49"/>
      <c r="Y525" s="49"/>
      <c r="Z525" s="49"/>
      <c r="AA525" s="73">
        <v>525</v>
      </c>
      <c r="AB525" s="73"/>
      <c r="AC525" s="74"/>
      <c r="AD525" s="80" t="s">
        <v>1217</v>
      </c>
      <c r="AE525" s="80" t="s">
        <v>1900</v>
      </c>
      <c r="AF525" s="80" t="s">
        <v>2514</v>
      </c>
      <c r="AG525" s="80" t="s">
        <v>3070</v>
      </c>
      <c r="AH525" s="80" t="s">
        <v>3629</v>
      </c>
      <c r="AI525" s="80">
        <v>2123</v>
      </c>
      <c r="AJ525" s="80">
        <v>2</v>
      </c>
      <c r="AK525" s="80">
        <v>5</v>
      </c>
      <c r="AL525" s="80">
        <v>2</v>
      </c>
      <c r="AM525" s="80" t="s">
        <v>4098</v>
      </c>
      <c r="AN525" s="96" t="str">
        <f>HYPERLINK("https://www.youtube.com/watch?v=1EbuwbLrkkg")</f>
        <v>https://www.youtube.com/watch?v=1EbuwbLrkkg</v>
      </c>
      <c r="AO525" s="80" t="e">
        <f>REPLACE(INDEX(GroupVertices[Group],MATCH(Vertices[[#This Row],[Vertex]],GroupVertices[Vertex],0)),1,1,"")</f>
        <v>#N/A</v>
      </c>
      <c r="AP525" s="48"/>
      <c r="AQ525" s="49"/>
      <c r="AR525" s="48"/>
      <c r="AS525" s="49"/>
      <c r="AT525" s="48"/>
      <c r="AU525" s="49"/>
      <c r="AV525" s="48"/>
      <c r="AW525" s="49"/>
      <c r="AX525" s="48"/>
      <c r="AY525" s="48"/>
      <c r="AZ525" s="48"/>
      <c r="BA525" s="48"/>
      <c r="BB525" s="48"/>
      <c r="BC525" s="2"/>
      <c r="BD525" s="3"/>
      <c r="BE525" s="3"/>
      <c r="BF525" s="3"/>
      <c r="BG525" s="3"/>
    </row>
    <row r="526" spans="1:59" ht="15">
      <c r="A526" s="66" t="s">
        <v>546</v>
      </c>
      <c r="B526" s="67" t="s">
        <v>4461</v>
      </c>
      <c r="C526" s="67"/>
      <c r="D526" s="68">
        <v>454.1187115588505</v>
      </c>
      <c r="E526" s="70"/>
      <c r="F526" s="97" t="str">
        <f>HYPERLINK("https://i.ytimg.com/vi/-CEqvD2uAnM/default.jpg")</f>
        <v>https://i.ytimg.com/vi/-CEqvD2uAnM/default.jpg</v>
      </c>
      <c r="G526" s="120" t="s">
        <v>52</v>
      </c>
      <c r="H526" s="71" t="s">
        <v>1278</v>
      </c>
      <c r="I526" s="72"/>
      <c r="J526" s="72" t="s">
        <v>159</v>
      </c>
      <c r="K526" s="71" t="s">
        <v>1278</v>
      </c>
      <c r="L526" s="75">
        <v>213.72340425531914</v>
      </c>
      <c r="M526" s="76">
        <v>3452.94677734375</v>
      </c>
      <c r="N526" s="76">
        <v>6811.08935546875</v>
      </c>
      <c r="O526" s="77"/>
      <c r="P526" s="78"/>
      <c r="Q526" s="78"/>
      <c r="R526" s="82"/>
      <c r="S526" s="48"/>
      <c r="T526" s="48"/>
      <c r="U526" s="49"/>
      <c r="V526" s="49"/>
      <c r="W526" s="49"/>
      <c r="X526" s="49"/>
      <c r="Y526" s="49"/>
      <c r="Z526" s="49"/>
      <c r="AA526" s="73">
        <v>526</v>
      </c>
      <c r="AB526" s="73"/>
      <c r="AC526" s="74"/>
      <c r="AD526" s="80" t="s">
        <v>1278</v>
      </c>
      <c r="AE526" s="80" t="s">
        <v>1952</v>
      </c>
      <c r="AF526" s="80" t="s">
        <v>2560</v>
      </c>
      <c r="AG526" s="80" t="s">
        <v>2985</v>
      </c>
      <c r="AH526" s="80" t="s">
        <v>3690</v>
      </c>
      <c r="AI526" s="80">
        <v>1992</v>
      </c>
      <c r="AJ526" s="80">
        <v>4</v>
      </c>
      <c r="AK526" s="80">
        <v>37</v>
      </c>
      <c r="AL526" s="80">
        <v>2</v>
      </c>
      <c r="AM526" s="80" t="s">
        <v>4098</v>
      </c>
      <c r="AN526" s="96" t="str">
        <f>HYPERLINK("https://www.youtube.com/watch?v=-CEqvD2uAnM")</f>
        <v>https://www.youtube.com/watch?v=-CEqvD2uAnM</v>
      </c>
      <c r="AO526" s="80" t="e">
        <f>REPLACE(INDEX(GroupVertices[Group],MATCH(Vertices[[#This Row],[Vertex]],GroupVertices[Vertex],0)),1,1,"")</f>
        <v>#N/A</v>
      </c>
      <c r="AP526" s="48"/>
      <c r="AQ526" s="49"/>
      <c r="AR526" s="48"/>
      <c r="AS526" s="49"/>
      <c r="AT526" s="48"/>
      <c r="AU526" s="49"/>
      <c r="AV526" s="48"/>
      <c r="AW526" s="49"/>
      <c r="AX526" s="48"/>
      <c r="AY526" s="48"/>
      <c r="AZ526" s="48"/>
      <c r="BA526" s="48"/>
      <c r="BB526" s="48"/>
      <c r="BC526" s="2"/>
      <c r="BD526" s="3"/>
      <c r="BE526" s="3"/>
      <c r="BF526" s="3"/>
      <c r="BG526" s="3"/>
    </row>
    <row r="527" spans="1:59" ht="15">
      <c r="A527" s="66" t="s">
        <v>355</v>
      </c>
      <c r="B527" s="67" t="s">
        <v>4461</v>
      </c>
      <c r="C527" s="67"/>
      <c r="D527" s="68">
        <v>437.1280468421732</v>
      </c>
      <c r="E527" s="70"/>
      <c r="F527" s="97" t="str">
        <f>HYPERLINK("https://i.ytimg.com/vi/v_4_bGZspEE/default.jpg")</f>
        <v>https://i.ytimg.com/vi/v_4_bGZspEE/default.jpg</v>
      </c>
      <c r="G527" s="120" t="s">
        <v>52</v>
      </c>
      <c r="H527" s="71" t="s">
        <v>1059</v>
      </c>
      <c r="I527" s="72"/>
      <c r="J527" s="72" t="s">
        <v>159</v>
      </c>
      <c r="K527" s="71" t="s">
        <v>1059</v>
      </c>
      <c r="L527" s="75">
        <v>213.72340425531914</v>
      </c>
      <c r="M527" s="76">
        <v>4442.2060546875</v>
      </c>
      <c r="N527" s="76">
        <v>6205.74658203125</v>
      </c>
      <c r="O527" s="77"/>
      <c r="P527" s="78"/>
      <c r="Q527" s="78"/>
      <c r="R527" s="82"/>
      <c r="S527" s="48"/>
      <c r="T527" s="48"/>
      <c r="U527" s="49"/>
      <c r="V527" s="49"/>
      <c r="W527" s="49"/>
      <c r="X527" s="49"/>
      <c r="Y527" s="49"/>
      <c r="Z527" s="49"/>
      <c r="AA527" s="73">
        <v>527</v>
      </c>
      <c r="AB527" s="73"/>
      <c r="AC527" s="74"/>
      <c r="AD527" s="80" t="s">
        <v>1059</v>
      </c>
      <c r="AE527" s="80" t="s">
        <v>1770</v>
      </c>
      <c r="AF527" s="80" t="s">
        <v>2398</v>
      </c>
      <c r="AG527" s="80" t="s">
        <v>2975</v>
      </c>
      <c r="AH527" s="80" t="s">
        <v>3474</v>
      </c>
      <c r="AI527" s="80">
        <v>1645</v>
      </c>
      <c r="AJ527" s="80">
        <v>1</v>
      </c>
      <c r="AK527" s="80">
        <v>7</v>
      </c>
      <c r="AL527" s="80">
        <v>2</v>
      </c>
      <c r="AM527" s="80" t="s">
        <v>4098</v>
      </c>
      <c r="AN527" s="96" t="str">
        <f>HYPERLINK("https://www.youtube.com/watch?v=v_4_bGZspEE")</f>
        <v>https://www.youtube.com/watch?v=v_4_bGZspEE</v>
      </c>
      <c r="AO527" s="80" t="e">
        <f>REPLACE(INDEX(GroupVertices[Group],MATCH(Vertices[[#This Row],[Vertex]],GroupVertices[Vertex],0)),1,1,"")</f>
        <v>#N/A</v>
      </c>
      <c r="AP527" s="48"/>
      <c r="AQ527" s="49"/>
      <c r="AR527" s="48"/>
      <c r="AS527" s="49"/>
      <c r="AT527" s="48"/>
      <c r="AU527" s="49"/>
      <c r="AV527" s="48"/>
      <c r="AW527" s="49"/>
      <c r="AX527" s="48"/>
      <c r="AY527" s="48"/>
      <c r="AZ527" s="48"/>
      <c r="BA527" s="48"/>
      <c r="BB527" s="48"/>
      <c r="BC527" s="2"/>
      <c r="BD527" s="3"/>
      <c r="BE527" s="3"/>
      <c r="BF527" s="3"/>
      <c r="BG527" s="3"/>
    </row>
    <row r="528" spans="1:59" ht="15">
      <c r="A528" s="66" t="s">
        <v>345</v>
      </c>
      <c r="B528" s="67" t="s">
        <v>4461</v>
      </c>
      <c r="C528" s="67"/>
      <c r="D528" s="68">
        <v>359.0982478299753</v>
      </c>
      <c r="E528" s="70"/>
      <c r="F528" s="97" t="str">
        <f>HYPERLINK("https://i.ytimg.com/vi/aRZIeTroUog/default.jpg")</f>
        <v>https://i.ytimg.com/vi/aRZIeTroUog/default.jpg</v>
      </c>
      <c r="G528" s="120" t="s">
        <v>52</v>
      </c>
      <c r="H528" s="71" t="s">
        <v>1048</v>
      </c>
      <c r="I528" s="72"/>
      <c r="J528" s="72" t="s">
        <v>159</v>
      </c>
      <c r="K528" s="71" t="s">
        <v>1048</v>
      </c>
      <c r="L528" s="75">
        <v>213.72340425531914</v>
      </c>
      <c r="M528" s="76">
        <v>7360.85107421875</v>
      </c>
      <c r="N528" s="76">
        <v>2551.433349609375</v>
      </c>
      <c r="O528" s="77"/>
      <c r="P528" s="78"/>
      <c r="Q528" s="78"/>
      <c r="R528" s="82"/>
      <c r="S528" s="48"/>
      <c r="T528" s="48"/>
      <c r="U528" s="49"/>
      <c r="V528" s="49"/>
      <c r="W528" s="49"/>
      <c r="X528" s="49"/>
      <c r="Y528" s="49"/>
      <c r="Z528" s="49"/>
      <c r="AA528" s="73">
        <v>528</v>
      </c>
      <c r="AB528" s="73"/>
      <c r="AC528" s="74"/>
      <c r="AD528" s="80" t="s">
        <v>1048</v>
      </c>
      <c r="AE528" s="80" t="s">
        <v>1760</v>
      </c>
      <c r="AF528" s="80" t="s">
        <v>2389</v>
      </c>
      <c r="AG528" s="80" t="s">
        <v>2973</v>
      </c>
      <c r="AH528" s="80" t="s">
        <v>3463</v>
      </c>
      <c r="AI528" s="80">
        <v>683</v>
      </c>
      <c r="AJ528" s="80">
        <v>0</v>
      </c>
      <c r="AK528" s="80">
        <v>8</v>
      </c>
      <c r="AL528" s="80">
        <v>2</v>
      </c>
      <c r="AM528" s="80" t="s">
        <v>4098</v>
      </c>
      <c r="AN528" s="96" t="str">
        <f>HYPERLINK("https://www.youtube.com/watch?v=aRZIeTroUog")</f>
        <v>https://www.youtube.com/watch?v=aRZIeTroUog</v>
      </c>
      <c r="AO528" s="80" t="e">
        <f>REPLACE(INDEX(GroupVertices[Group],MATCH(Vertices[[#This Row],[Vertex]],GroupVertices[Vertex],0)),1,1,"")</f>
        <v>#N/A</v>
      </c>
      <c r="AP528" s="48"/>
      <c r="AQ528" s="49"/>
      <c r="AR528" s="48"/>
      <c r="AS528" s="49"/>
      <c r="AT528" s="48"/>
      <c r="AU528" s="49"/>
      <c r="AV528" s="48"/>
      <c r="AW528" s="49"/>
      <c r="AX528" s="48"/>
      <c r="AY528" s="48"/>
      <c r="AZ528" s="48"/>
      <c r="BA528" s="48"/>
      <c r="BB528" s="48"/>
      <c r="BC528" s="2"/>
      <c r="BD528" s="3"/>
      <c r="BE528" s="3"/>
      <c r="BF528" s="3"/>
      <c r="BG528" s="3"/>
    </row>
    <row r="529" spans="1:59" ht="15">
      <c r="A529" s="66" t="s">
        <v>690</v>
      </c>
      <c r="B529" s="67" t="s">
        <v>4461</v>
      </c>
      <c r="C529" s="67"/>
      <c r="D529" s="68">
        <v>689.3498111658597</v>
      </c>
      <c r="E529" s="70"/>
      <c r="F529" s="97" t="str">
        <f>HYPERLINK("https://i.ytimg.com/vi/00bc9BdUPSw/default.jpg")</f>
        <v>https://i.ytimg.com/vi/00bc9BdUPSw/default.jpg</v>
      </c>
      <c r="G529" s="120" t="s">
        <v>52</v>
      </c>
      <c r="H529" s="71" t="s">
        <v>1431</v>
      </c>
      <c r="I529" s="72"/>
      <c r="J529" s="72" t="s">
        <v>159</v>
      </c>
      <c r="K529" s="71" t="s">
        <v>1431</v>
      </c>
      <c r="L529" s="75">
        <v>213.72340425531914</v>
      </c>
      <c r="M529" s="76">
        <v>9300.12890625</v>
      </c>
      <c r="N529" s="76">
        <v>1947.07275390625</v>
      </c>
      <c r="O529" s="77"/>
      <c r="P529" s="78"/>
      <c r="Q529" s="78"/>
      <c r="R529" s="82"/>
      <c r="S529" s="48"/>
      <c r="T529" s="48"/>
      <c r="U529" s="49"/>
      <c r="V529" s="49"/>
      <c r="W529" s="49"/>
      <c r="X529" s="49"/>
      <c r="Y529" s="49"/>
      <c r="Z529" s="49"/>
      <c r="AA529" s="73">
        <v>529</v>
      </c>
      <c r="AB529" s="73"/>
      <c r="AC529" s="74"/>
      <c r="AD529" s="80" t="s">
        <v>1431</v>
      </c>
      <c r="AE529" s="80" t="s">
        <v>2089</v>
      </c>
      <c r="AF529" s="80" t="s">
        <v>2680</v>
      </c>
      <c r="AG529" s="80" t="s">
        <v>3211</v>
      </c>
      <c r="AH529" s="80" t="s">
        <v>3843</v>
      </c>
      <c r="AI529" s="80">
        <v>28191</v>
      </c>
      <c r="AJ529" s="80">
        <v>62</v>
      </c>
      <c r="AK529" s="80">
        <v>323</v>
      </c>
      <c r="AL529" s="80">
        <v>1</v>
      </c>
      <c r="AM529" s="80" t="s">
        <v>4098</v>
      </c>
      <c r="AN529" s="96" t="str">
        <f>HYPERLINK("https://www.youtube.com/watch?v=00bc9BdUPSw")</f>
        <v>https://www.youtube.com/watch?v=00bc9BdUPSw</v>
      </c>
      <c r="AO529" s="80" t="e">
        <f>REPLACE(INDEX(GroupVertices[Group],MATCH(Vertices[[#This Row],[Vertex]],GroupVertices[Vertex],0)),1,1,"")</f>
        <v>#N/A</v>
      </c>
      <c r="AP529" s="48"/>
      <c r="AQ529" s="49"/>
      <c r="AR529" s="48"/>
      <c r="AS529" s="49"/>
      <c r="AT529" s="48"/>
      <c r="AU529" s="49"/>
      <c r="AV529" s="48"/>
      <c r="AW529" s="49"/>
      <c r="AX529" s="48"/>
      <c r="AY529" s="48"/>
      <c r="AZ529" s="48"/>
      <c r="BA529" s="48"/>
      <c r="BB529" s="48"/>
      <c r="BC529" s="2"/>
      <c r="BD529" s="3"/>
      <c r="BE529" s="3"/>
      <c r="BF529" s="3"/>
      <c r="BG529" s="3"/>
    </row>
    <row r="530" spans="1:59" ht="15">
      <c r="A530" s="66" t="s">
        <v>858</v>
      </c>
      <c r="B530" s="67" t="s">
        <v>4461</v>
      </c>
      <c r="C530" s="67"/>
      <c r="D530" s="68">
        <v>657.3823436219258</v>
      </c>
      <c r="E530" s="70"/>
      <c r="F530" s="97" t="str">
        <f>HYPERLINK("https://i.ytimg.com/vi/1xLjYc7EUEU/default.jpg")</f>
        <v>https://i.ytimg.com/vi/1xLjYc7EUEU/default.jpg</v>
      </c>
      <c r="G530" s="120" t="s">
        <v>52</v>
      </c>
      <c r="H530" s="71" t="s">
        <v>1597</v>
      </c>
      <c r="I530" s="72"/>
      <c r="J530" s="72" t="s">
        <v>159</v>
      </c>
      <c r="K530" s="71" t="s">
        <v>1597</v>
      </c>
      <c r="L530" s="75">
        <v>213.72340425531914</v>
      </c>
      <c r="M530" s="76">
        <v>5380.69140625</v>
      </c>
      <c r="N530" s="76">
        <v>3340.109375</v>
      </c>
      <c r="O530" s="77"/>
      <c r="P530" s="78"/>
      <c r="Q530" s="78"/>
      <c r="R530" s="82"/>
      <c r="S530" s="48"/>
      <c r="T530" s="48"/>
      <c r="U530" s="49"/>
      <c r="V530" s="49"/>
      <c r="W530" s="49"/>
      <c r="X530" s="49"/>
      <c r="Y530" s="49"/>
      <c r="Z530" s="49"/>
      <c r="AA530" s="73">
        <v>530</v>
      </c>
      <c r="AB530" s="73"/>
      <c r="AC530" s="74"/>
      <c r="AD530" s="80" t="s">
        <v>1597</v>
      </c>
      <c r="AE530" s="80" t="s">
        <v>2238</v>
      </c>
      <c r="AF530" s="80" t="s">
        <v>2822</v>
      </c>
      <c r="AG530" s="80" t="s">
        <v>3320</v>
      </c>
      <c r="AH530" s="80" t="s">
        <v>4012</v>
      </c>
      <c r="AI530" s="80">
        <v>19666</v>
      </c>
      <c r="AJ530" s="80">
        <v>3</v>
      </c>
      <c r="AK530" s="80">
        <v>110</v>
      </c>
      <c r="AL530" s="80">
        <v>1</v>
      </c>
      <c r="AM530" s="80" t="s">
        <v>4098</v>
      </c>
      <c r="AN530" s="96" t="str">
        <f>HYPERLINK("https://www.youtube.com/watch?v=1xLjYc7EUEU")</f>
        <v>https://www.youtube.com/watch?v=1xLjYc7EUEU</v>
      </c>
      <c r="AO530" s="80" t="e">
        <f>REPLACE(INDEX(GroupVertices[Group],MATCH(Vertices[[#This Row],[Vertex]],GroupVertices[Vertex],0)),1,1,"")</f>
        <v>#N/A</v>
      </c>
      <c r="AP530" s="48"/>
      <c r="AQ530" s="49"/>
      <c r="AR530" s="48"/>
      <c r="AS530" s="49"/>
      <c r="AT530" s="48"/>
      <c r="AU530" s="49"/>
      <c r="AV530" s="48"/>
      <c r="AW530" s="49"/>
      <c r="AX530" s="48"/>
      <c r="AY530" s="48"/>
      <c r="AZ530" s="48"/>
      <c r="BA530" s="48"/>
      <c r="BB530" s="48"/>
      <c r="BC530" s="2"/>
      <c r="BD530" s="3"/>
      <c r="BE530" s="3"/>
      <c r="BF530" s="3"/>
      <c r="BG530" s="3"/>
    </row>
    <row r="531" spans="1:59" ht="15">
      <c r="A531" s="66" t="s">
        <v>657</v>
      </c>
      <c r="B531" s="67" t="s">
        <v>4461</v>
      </c>
      <c r="C531" s="67"/>
      <c r="D531" s="68">
        <v>650.7245004755515</v>
      </c>
      <c r="E531" s="70"/>
      <c r="F531" s="97" t="str">
        <f>HYPERLINK("https://i.ytimg.com/vi/oy8YxTshZhI/default.jpg")</f>
        <v>https://i.ytimg.com/vi/oy8YxTshZhI/default.jpg</v>
      </c>
      <c r="G531" s="120" t="s">
        <v>52</v>
      </c>
      <c r="H531" s="71" t="s">
        <v>1397</v>
      </c>
      <c r="I531" s="72"/>
      <c r="J531" s="72" t="s">
        <v>159</v>
      </c>
      <c r="K531" s="71" t="s">
        <v>1397</v>
      </c>
      <c r="L531" s="75">
        <v>213.72340425531914</v>
      </c>
      <c r="M531" s="76">
        <v>2919.028564453125</v>
      </c>
      <c r="N531" s="76">
        <v>2326.77490234375</v>
      </c>
      <c r="O531" s="77"/>
      <c r="P531" s="78"/>
      <c r="Q531" s="78"/>
      <c r="R531" s="82"/>
      <c r="S531" s="48"/>
      <c r="T531" s="48"/>
      <c r="U531" s="49"/>
      <c r="V531" s="49"/>
      <c r="W531" s="49"/>
      <c r="X531" s="49"/>
      <c r="Y531" s="49"/>
      <c r="Z531" s="49"/>
      <c r="AA531" s="73">
        <v>531</v>
      </c>
      <c r="AB531" s="73"/>
      <c r="AC531" s="74"/>
      <c r="AD531" s="80" t="s">
        <v>1397</v>
      </c>
      <c r="AE531" s="80" t="s">
        <v>2060</v>
      </c>
      <c r="AF531" s="80" t="s">
        <v>2653</v>
      </c>
      <c r="AG531" s="80" t="s">
        <v>3190</v>
      </c>
      <c r="AH531" s="80" t="s">
        <v>3809</v>
      </c>
      <c r="AI531" s="80">
        <v>18245</v>
      </c>
      <c r="AJ531" s="80">
        <v>9</v>
      </c>
      <c r="AK531" s="80">
        <v>226</v>
      </c>
      <c r="AL531" s="80">
        <v>1</v>
      </c>
      <c r="AM531" s="80" t="s">
        <v>4098</v>
      </c>
      <c r="AN531" s="96" t="str">
        <f>HYPERLINK("https://www.youtube.com/watch?v=oy8YxTshZhI")</f>
        <v>https://www.youtube.com/watch?v=oy8YxTshZhI</v>
      </c>
      <c r="AO531" s="80" t="e">
        <f>REPLACE(INDEX(GroupVertices[Group],MATCH(Vertices[[#This Row],[Vertex]],GroupVertices[Vertex],0)),1,1,"")</f>
        <v>#N/A</v>
      </c>
      <c r="AP531" s="48"/>
      <c r="AQ531" s="49"/>
      <c r="AR531" s="48"/>
      <c r="AS531" s="49"/>
      <c r="AT531" s="48"/>
      <c r="AU531" s="49"/>
      <c r="AV531" s="48"/>
      <c r="AW531" s="49"/>
      <c r="AX531" s="48"/>
      <c r="AY531" s="48"/>
      <c r="AZ531" s="48"/>
      <c r="BA531" s="48"/>
      <c r="BB531" s="48"/>
      <c r="BC531" s="2"/>
      <c r="BD531" s="3"/>
      <c r="BE531" s="3"/>
      <c r="BF531" s="3"/>
      <c r="BG531" s="3"/>
    </row>
    <row r="532" spans="1:59" ht="15">
      <c r="A532" s="66" t="s">
        <v>752</v>
      </c>
      <c r="B532" s="67" t="s">
        <v>4461</v>
      </c>
      <c r="C532" s="67"/>
      <c r="D532" s="68">
        <v>649.2279796683151</v>
      </c>
      <c r="E532" s="70"/>
      <c r="F532" s="97" t="str">
        <f>HYPERLINK("https://i.ytimg.com/vi/NSYyFT8BqeM/default.jpg")</f>
        <v>https://i.ytimg.com/vi/NSYyFT8BqeM/default.jpg</v>
      </c>
      <c r="G532" s="120" t="s">
        <v>52</v>
      </c>
      <c r="H532" s="71" t="s">
        <v>1492</v>
      </c>
      <c r="I532" s="72"/>
      <c r="J532" s="72" t="s">
        <v>159</v>
      </c>
      <c r="K532" s="71" t="s">
        <v>1492</v>
      </c>
      <c r="L532" s="75">
        <v>213.72340425531914</v>
      </c>
      <c r="M532" s="76">
        <v>3975.46435546875</v>
      </c>
      <c r="N532" s="76">
        <v>9450.4208984375</v>
      </c>
      <c r="O532" s="77"/>
      <c r="P532" s="78"/>
      <c r="Q532" s="78"/>
      <c r="R532" s="82"/>
      <c r="S532" s="48"/>
      <c r="T532" s="48"/>
      <c r="U532" s="49"/>
      <c r="V532" s="49"/>
      <c r="W532" s="49"/>
      <c r="X532" s="49"/>
      <c r="Y532" s="49"/>
      <c r="Z532" s="49"/>
      <c r="AA532" s="73">
        <v>532</v>
      </c>
      <c r="AB532" s="73"/>
      <c r="AC532" s="74"/>
      <c r="AD532" s="80" t="s">
        <v>1492</v>
      </c>
      <c r="AE532" s="80" t="s">
        <v>2148</v>
      </c>
      <c r="AF532" s="80" t="s">
        <v>2734</v>
      </c>
      <c r="AG532" s="80" t="s">
        <v>3260</v>
      </c>
      <c r="AH532" s="80" t="s">
        <v>3906</v>
      </c>
      <c r="AI532" s="80">
        <v>17940</v>
      </c>
      <c r="AJ532" s="80">
        <v>13</v>
      </c>
      <c r="AK532" s="80">
        <v>93</v>
      </c>
      <c r="AL532" s="80">
        <v>1</v>
      </c>
      <c r="AM532" s="80" t="s">
        <v>4098</v>
      </c>
      <c r="AN532" s="96" t="str">
        <f>HYPERLINK("https://www.youtube.com/watch?v=NSYyFT8BqeM")</f>
        <v>https://www.youtube.com/watch?v=NSYyFT8BqeM</v>
      </c>
      <c r="AO532" s="80" t="e">
        <f>REPLACE(INDEX(GroupVertices[Group],MATCH(Vertices[[#This Row],[Vertex]],GroupVertices[Vertex],0)),1,1,"")</f>
        <v>#N/A</v>
      </c>
      <c r="AP532" s="48"/>
      <c r="AQ532" s="49"/>
      <c r="AR532" s="48"/>
      <c r="AS532" s="49"/>
      <c r="AT532" s="48"/>
      <c r="AU532" s="49"/>
      <c r="AV532" s="48"/>
      <c r="AW532" s="49"/>
      <c r="AX532" s="48"/>
      <c r="AY532" s="48"/>
      <c r="AZ532" s="48"/>
      <c r="BA532" s="48"/>
      <c r="BB532" s="48"/>
      <c r="BC532" s="2"/>
      <c r="BD532" s="3"/>
      <c r="BE532" s="3"/>
      <c r="BF532" s="3"/>
      <c r="BG532" s="3"/>
    </row>
    <row r="533" spans="1:59" ht="15">
      <c r="A533" s="66" t="s">
        <v>867</v>
      </c>
      <c r="B533" s="67" t="s">
        <v>4461</v>
      </c>
      <c r="C533" s="67"/>
      <c r="D533" s="68">
        <v>641.5632496324326</v>
      </c>
      <c r="E533" s="70"/>
      <c r="F533" s="97" t="str">
        <f>HYPERLINK("https://i.ytimg.com/vi/9-GQ8H2SVWo/default.jpg")</f>
        <v>https://i.ytimg.com/vi/9-GQ8H2SVWo/default.jpg</v>
      </c>
      <c r="G533" s="120" t="s">
        <v>52</v>
      </c>
      <c r="H533" s="71" t="s">
        <v>1606</v>
      </c>
      <c r="I533" s="72"/>
      <c r="J533" s="72" t="s">
        <v>159</v>
      </c>
      <c r="K533" s="71" t="s">
        <v>1606</v>
      </c>
      <c r="L533" s="75">
        <v>213.72340425531914</v>
      </c>
      <c r="M533" s="76">
        <v>683.118408203125</v>
      </c>
      <c r="N533" s="76">
        <v>8728.8935546875</v>
      </c>
      <c r="O533" s="77"/>
      <c r="P533" s="78"/>
      <c r="Q533" s="78"/>
      <c r="R533" s="82"/>
      <c r="S533" s="48"/>
      <c r="T533" s="48"/>
      <c r="U533" s="49"/>
      <c r="V533" s="49"/>
      <c r="W533" s="49"/>
      <c r="X533" s="49"/>
      <c r="Y533" s="49"/>
      <c r="Z533" s="49"/>
      <c r="AA533" s="73">
        <v>533</v>
      </c>
      <c r="AB533" s="73"/>
      <c r="AC533" s="74"/>
      <c r="AD533" s="80" t="s">
        <v>1606</v>
      </c>
      <c r="AE533" s="80" t="s">
        <v>2246</v>
      </c>
      <c r="AF533" s="80"/>
      <c r="AG533" s="80" t="s">
        <v>3325</v>
      </c>
      <c r="AH533" s="80" t="s">
        <v>4021</v>
      </c>
      <c r="AI533" s="80">
        <v>16456</v>
      </c>
      <c r="AJ533" s="80">
        <v>16</v>
      </c>
      <c r="AK533" s="80">
        <v>37</v>
      </c>
      <c r="AL533" s="80">
        <v>1</v>
      </c>
      <c r="AM533" s="80" t="s">
        <v>4098</v>
      </c>
      <c r="AN533" s="96" t="str">
        <f>HYPERLINK("https://www.youtube.com/watch?v=9-GQ8H2SVWo")</f>
        <v>https://www.youtube.com/watch?v=9-GQ8H2SVWo</v>
      </c>
      <c r="AO533" s="80" t="e">
        <f>REPLACE(INDEX(GroupVertices[Group],MATCH(Vertices[[#This Row],[Vertex]],GroupVertices[Vertex],0)),1,1,"")</f>
        <v>#N/A</v>
      </c>
      <c r="AP533" s="48"/>
      <c r="AQ533" s="49"/>
      <c r="AR533" s="48"/>
      <c r="AS533" s="49"/>
      <c r="AT533" s="48"/>
      <c r="AU533" s="49"/>
      <c r="AV533" s="48"/>
      <c r="AW533" s="49"/>
      <c r="AX533" s="48"/>
      <c r="AY533" s="48"/>
      <c r="AZ533" s="48"/>
      <c r="BA533" s="48"/>
      <c r="BB533" s="48"/>
      <c r="BC533" s="2"/>
      <c r="BD533" s="3"/>
      <c r="BE533" s="3"/>
      <c r="BF533" s="3"/>
      <c r="BG533" s="3"/>
    </row>
    <row r="534" spans="1:59" ht="15">
      <c r="A534" s="66" t="s">
        <v>337</v>
      </c>
      <c r="B534" s="67" t="s">
        <v>4461</v>
      </c>
      <c r="C534" s="67"/>
      <c r="D534" s="68">
        <v>627.6198245251529</v>
      </c>
      <c r="E534" s="70"/>
      <c r="F534" s="97" t="str">
        <f>HYPERLINK("https://i.ytimg.com/vi/9_SL7u2VdBk/default.jpg")</f>
        <v>https://i.ytimg.com/vi/9_SL7u2VdBk/default.jpg</v>
      </c>
      <c r="G534" s="120" t="s">
        <v>52</v>
      </c>
      <c r="H534" s="71" t="s">
        <v>1039</v>
      </c>
      <c r="I534" s="72"/>
      <c r="J534" s="72" t="s">
        <v>159</v>
      </c>
      <c r="K534" s="71" t="s">
        <v>1039</v>
      </c>
      <c r="L534" s="75">
        <v>213.72340425531914</v>
      </c>
      <c r="M534" s="76">
        <v>7513.30908203125</v>
      </c>
      <c r="N534" s="76">
        <v>3583.45654296875</v>
      </c>
      <c r="O534" s="77"/>
      <c r="P534" s="78"/>
      <c r="Q534" s="78"/>
      <c r="R534" s="82"/>
      <c r="S534" s="48"/>
      <c r="T534" s="48"/>
      <c r="U534" s="49"/>
      <c r="V534" s="49"/>
      <c r="W534" s="49"/>
      <c r="X534" s="49"/>
      <c r="Y534" s="49"/>
      <c r="Z534" s="49"/>
      <c r="AA534" s="73">
        <v>534</v>
      </c>
      <c r="AB534" s="73"/>
      <c r="AC534" s="74"/>
      <c r="AD534" s="80" t="s">
        <v>1039</v>
      </c>
      <c r="AE534" s="80" t="s">
        <v>1751</v>
      </c>
      <c r="AF534" s="80" t="s">
        <v>2381</v>
      </c>
      <c r="AG534" s="80" t="s">
        <v>2967</v>
      </c>
      <c r="AH534" s="80" t="s">
        <v>3454</v>
      </c>
      <c r="AI534" s="80">
        <v>14064</v>
      </c>
      <c r="AJ534" s="80">
        <v>10</v>
      </c>
      <c r="AK534" s="80">
        <v>96</v>
      </c>
      <c r="AL534" s="80">
        <v>1</v>
      </c>
      <c r="AM534" s="80" t="s">
        <v>4098</v>
      </c>
      <c r="AN534" s="96" t="str">
        <f>HYPERLINK("https://www.youtube.com/watch?v=9_SL7u2VdBk")</f>
        <v>https://www.youtube.com/watch?v=9_SL7u2VdBk</v>
      </c>
      <c r="AO534" s="80" t="e">
        <f>REPLACE(INDEX(GroupVertices[Group],MATCH(Vertices[[#This Row],[Vertex]],GroupVertices[Vertex],0)),1,1,"")</f>
        <v>#N/A</v>
      </c>
      <c r="AP534" s="48"/>
      <c r="AQ534" s="49"/>
      <c r="AR534" s="48"/>
      <c r="AS534" s="49"/>
      <c r="AT534" s="48"/>
      <c r="AU534" s="49"/>
      <c r="AV534" s="48"/>
      <c r="AW534" s="49"/>
      <c r="AX534" s="48"/>
      <c r="AY534" s="48"/>
      <c r="AZ534" s="48"/>
      <c r="BA534" s="48"/>
      <c r="BB534" s="48"/>
      <c r="BC534" s="2"/>
      <c r="BD534" s="3"/>
      <c r="BE534" s="3"/>
      <c r="BF534" s="3"/>
      <c r="BG534" s="3"/>
    </row>
    <row r="535" spans="1:59" ht="15">
      <c r="A535" s="66" t="s">
        <v>703</v>
      </c>
      <c r="B535" s="67" t="s">
        <v>4461</v>
      </c>
      <c r="C535" s="67"/>
      <c r="D535" s="68">
        <v>605.1018475399447</v>
      </c>
      <c r="E535" s="70"/>
      <c r="F535" s="97" t="str">
        <f>HYPERLINK("https://i.ytimg.com/vi/2w0UauaZpsQ/default.jpg")</f>
        <v>https://i.ytimg.com/vi/2w0UauaZpsQ/default.jpg</v>
      </c>
      <c r="G535" s="120" t="s">
        <v>52</v>
      </c>
      <c r="H535" s="71" t="s">
        <v>1444</v>
      </c>
      <c r="I535" s="72"/>
      <c r="J535" s="72" t="s">
        <v>159</v>
      </c>
      <c r="K535" s="71" t="s">
        <v>1444</v>
      </c>
      <c r="L535" s="75">
        <v>213.72340425531914</v>
      </c>
      <c r="M535" s="76">
        <v>8110.36865234375</v>
      </c>
      <c r="N535" s="76">
        <v>2685.51904296875</v>
      </c>
      <c r="O535" s="77"/>
      <c r="P535" s="78"/>
      <c r="Q535" s="78"/>
      <c r="R535" s="82"/>
      <c r="S535" s="48"/>
      <c r="T535" s="48"/>
      <c r="U535" s="49"/>
      <c r="V535" s="49"/>
      <c r="W535" s="49"/>
      <c r="X535" s="49"/>
      <c r="Y535" s="49"/>
      <c r="Z535" s="49"/>
      <c r="AA535" s="73">
        <v>535</v>
      </c>
      <c r="AB535" s="73"/>
      <c r="AC535" s="74"/>
      <c r="AD535" s="80" t="s">
        <v>1444</v>
      </c>
      <c r="AE535" s="80" t="s">
        <v>2101</v>
      </c>
      <c r="AF535" s="80" t="s">
        <v>2692</v>
      </c>
      <c r="AG535" s="80" t="s">
        <v>3207</v>
      </c>
      <c r="AH535" s="80" t="s">
        <v>3856</v>
      </c>
      <c r="AI535" s="80">
        <v>10913</v>
      </c>
      <c r="AJ535" s="80">
        <v>19</v>
      </c>
      <c r="AK535" s="80">
        <v>105</v>
      </c>
      <c r="AL535" s="80">
        <v>1</v>
      </c>
      <c r="AM535" s="80" t="s">
        <v>4098</v>
      </c>
      <c r="AN535" s="96" t="str">
        <f>HYPERLINK("https://www.youtube.com/watch?v=2w0UauaZpsQ")</f>
        <v>https://www.youtube.com/watch?v=2w0UauaZpsQ</v>
      </c>
      <c r="AO535" s="80" t="e">
        <f>REPLACE(INDEX(GroupVertices[Group],MATCH(Vertices[[#This Row],[Vertex]],GroupVertices[Vertex],0)),1,1,"")</f>
        <v>#N/A</v>
      </c>
      <c r="AP535" s="48"/>
      <c r="AQ535" s="49"/>
      <c r="AR535" s="48"/>
      <c r="AS535" s="49"/>
      <c r="AT535" s="48"/>
      <c r="AU535" s="49"/>
      <c r="AV535" s="48"/>
      <c r="AW535" s="49"/>
      <c r="AX535" s="48"/>
      <c r="AY535" s="48"/>
      <c r="AZ535" s="48"/>
      <c r="BA535" s="48"/>
      <c r="BB535" s="48"/>
      <c r="BC535" s="2"/>
      <c r="BD535" s="3"/>
      <c r="BE535" s="3"/>
      <c r="BF535" s="3"/>
      <c r="BG535" s="3"/>
    </row>
    <row r="536" spans="1:59" ht="15">
      <c r="A536" s="66" t="s">
        <v>905</v>
      </c>
      <c r="B536" s="67" t="s">
        <v>4461</v>
      </c>
      <c r="C536" s="67"/>
      <c r="D536" s="68">
        <v>588.1014259175009</v>
      </c>
      <c r="E536" s="70"/>
      <c r="F536" s="97" t="str">
        <f>HYPERLINK("https://i.ytimg.com/vi/uWIhdlnkEOM/default.jpg")</f>
        <v>https://i.ytimg.com/vi/uWIhdlnkEOM/default.jpg</v>
      </c>
      <c r="G536" s="120" t="s">
        <v>52</v>
      </c>
      <c r="H536" s="71" t="s">
        <v>1643</v>
      </c>
      <c r="I536" s="72"/>
      <c r="J536" s="72" t="s">
        <v>159</v>
      </c>
      <c r="K536" s="71" t="s">
        <v>1643</v>
      </c>
      <c r="L536" s="75">
        <v>213.72340425531914</v>
      </c>
      <c r="M536" s="76">
        <v>7847.091796875</v>
      </c>
      <c r="N536" s="76">
        <v>1472.2852783203125</v>
      </c>
      <c r="O536" s="77"/>
      <c r="P536" s="78"/>
      <c r="Q536" s="78"/>
      <c r="R536" s="82"/>
      <c r="S536" s="48"/>
      <c r="T536" s="48"/>
      <c r="U536" s="49"/>
      <c r="V536" s="49"/>
      <c r="W536" s="49"/>
      <c r="X536" s="49"/>
      <c r="Y536" s="49"/>
      <c r="Z536" s="49"/>
      <c r="AA536" s="73">
        <v>536</v>
      </c>
      <c r="AB536" s="73"/>
      <c r="AC536" s="74"/>
      <c r="AD536" s="80" t="s">
        <v>1643</v>
      </c>
      <c r="AE536" s="80" t="s">
        <v>2280</v>
      </c>
      <c r="AF536" s="80" t="s">
        <v>2862</v>
      </c>
      <c r="AG536" s="80" t="s">
        <v>3350</v>
      </c>
      <c r="AH536" s="80" t="s">
        <v>4059</v>
      </c>
      <c r="AI536" s="80">
        <v>9011</v>
      </c>
      <c r="AJ536" s="80">
        <v>5</v>
      </c>
      <c r="AK536" s="80">
        <v>49</v>
      </c>
      <c r="AL536" s="80">
        <v>1</v>
      </c>
      <c r="AM536" s="80" t="s">
        <v>4098</v>
      </c>
      <c r="AN536" s="96" t="str">
        <f>HYPERLINK("https://www.youtube.com/watch?v=uWIhdlnkEOM")</f>
        <v>https://www.youtube.com/watch?v=uWIhdlnkEOM</v>
      </c>
      <c r="AO536" s="80" t="e">
        <f>REPLACE(INDEX(GroupVertices[Group],MATCH(Vertices[[#This Row],[Vertex]],GroupVertices[Vertex],0)),1,1,"")</f>
        <v>#N/A</v>
      </c>
      <c r="AP536" s="48"/>
      <c r="AQ536" s="49"/>
      <c r="AR536" s="48"/>
      <c r="AS536" s="49"/>
      <c r="AT536" s="48"/>
      <c r="AU536" s="49"/>
      <c r="AV536" s="48"/>
      <c r="AW536" s="49"/>
      <c r="AX536" s="48"/>
      <c r="AY536" s="48"/>
      <c r="AZ536" s="48"/>
      <c r="BA536" s="48"/>
      <c r="BB536" s="48"/>
      <c r="BC536" s="2"/>
      <c r="BD536" s="3"/>
      <c r="BE536" s="3"/>
      <c r="BF536" s="3"/>
      <c r="BG536" s="3"/>
    </row>
    <row r="537" spans="1:59" ht="15">
      <c r="A537" s="66" t="s">
        <v>313</v>
      </c>
      <c r="B537" s="67" t="s">
        <v>4461</v>
      </c>
      <c r="C537" s="67"/>
      <c r="D537" s="68">
        <v>577.7478551016807</v>
      </c>
      <c r="E537" s="70"/>
      <c r="F537" s="97" t="str">
        <f>HYPERLINK("https://i.ytimg.com/vi/lxIOcCsvM6Y/default.jpg")</f>
        <v>https://i.ytimg.com/vi/lxIOcCsvM6Y/default.jpg</v>
      </c>
      <c r="G537" s="120" t="s">
        <v>52</v>
      </c>
      <c r="H537" s="71" t="s">
        <v>1013</v>
      </c>
      <c r="I537" s="72"/>
      <c r="J537" s="72" t="s">
        <v>159</v>
      </c>
      <c r="K537" s="71" t="s">
        <v>1013</v>
      </c>
      <c r="L537" s="75">
        <v>213.72340425531914</v>
      </c>
      <c r="M537" s="76">
        <v>6149.7939453125</v>
      </c>
      <c r="N537" s="76">
        <v>4468.2939453125</v>
      </c>
      <c r="O537" s="77"/>
      <c r="P537" s="78"/>
      <c r="Q537" s="78"/>
      <c r="R537" s="82"/>
      <c r="S537" s="48"/>
      <c r="T537" s="48"/>
      <c r="U537" s="49"/>
      <c r="V537" s="49"/>
      <c r="W537" s="49"/>
      <c r="X537" s="49"/>
      <c r="Y537" s="49"/>
      <c r="Z537" s="49"/>
      <c r="AA537" s="73">
        <v>537</v>
      </c>
      <c r="AB537" s="73"/>
      <c r="AC537" s="74"/>
      <c r="AD537" s="80" t="s">
        <v>1013</v>
      </c>
      <c r="AE537" s="80" t="s">
        <v>1731</v>
      </c>
      <c r="AF537" s="80" t="s">
        <v>2364</v>
      </c>
      <c r="AG537" s="80" t="s">
        <v>2942</v>
      </c>
      <c r="AH537" s="80" t="s">
        <v>3428</v>
      </c>
      <c r="AI537" s="80">
        <v>8019</v>
      </c>
      <c r="AJ537" s="80">
        <v>9</v>
      </c>
      <c r="AK537" s="80">
        <v>18</v>
      </c>
      <c r="AL537" s="80">
        <v>1</v>
      </c>
      <c r="AM537" s="80" t="s">
        <v>4098</v>
      </c>
      <c r="AN537" s="96" t="str">
        <f>HYPERLINK("https://www.youtube.com/watch?v=lxIOcCsvM6Y")</f>
        <v>https://www.youtube.com/watch?v=lxIOcCsvM6Y</v>
      </c>
      <c r="AO537" s="80" t="e">
        <f>REPLACE(INDEX(GroupVertices[Group],MATCH(Vertices[[#This Row],[Vertex]],GroupVertices[Vertex],0)),1,1,"")</f>
        <v>#N/A</v>
      </c>
      <c r="AP537" s="48"/>
      <c r="AQ537" s="49"/>
      <c r="AR537" s="48"/>
      <c r="AS537" s="49"/>
      <c r="AT537" s="48"/>
      <c r="AU537" s="49"/>
      <c r="AV537" s="48"/>
      <c r="AW537" s="49"/>
      <c r="AX537" s="48"/>
      <c r="AY537" s="48"/>
      <c r="AZ537" s="48"/>
      <c r="BA537" s="48"/>
      <c r="BB537" s="48"/>
      <c r="BC537" s="2"/>
      <c r="BD537" s="3"/>
      <c r="BE537" s="3"/>
      <c r="BF537" s="3"/>
      <c r="BG537" s="3"/>
    </row>
    <row r="538" spans="1:59" ht="15">
      <c r="A538" s="66" t="s">
        <v>392</v>
      </c>
      <c r="B538" s="67" t="s">
        <v>4461</v>
      </c>
      <c r="C538" s="67"/>
      <c r="D538" s="68">
        <v>567.7641239331188</v>
      </c>
      <c r="E538" s="70"/>
      <c r="F538" s="97" t="str">
        <f>HYPERLINK("https://i.ytimg.com/vi/UBAGJ2LOnRg/default.jpg")</f>
        <v>https://i.ytimg.com/vi/UBAGJ2LOnRg/default.jpg</v>
      </c>
      <c r="G538" s="120" t="s">
        <v>52</v>
      </c>
      <c r="H538" s="71" t="s">
        <v>1099</v>
      </c>
      <c r="I538" s="72"/>
      <c r="J538" s="72" t="s">
        <v>159</v>
      </c>
      <c r="K538" s="71" t="s">
        <v>1099</v>
      </c>
      <c r="L538" s="75">
        <v>213.72340425531914</v>
      </c>
      <c r="M538" s="76">
        <v>4447.4736328125</v>
      </c>
      <c r="N538" s="76">
        <v>322.1108093261719</v>
      </c>
      <c r="O538" s="77"/>
      <c r="P538" s="78"/>
      <c r="Q538" s="78"/>
      <c r="R538" s="82"/>
      <c r="S538" s="48"/>
      <c r="T538" s="48"/>
      <c r="U538" s="49"/>
      <c r="V538" s="49"/>
      <c r="W538" s="49"/>
      <c r="X538" s="49"/>
      <c r="Y538" s="49"/>
      <c r="Z538" s="49"/>
      <c r="AA538" s="73">
        <v>538</v>
      </c>
      <c r="AB538" s="73"/>
      <c r="AC538" s="74"/>
      <c r="AD538" s="80" t="s">
        <v>1099</v>
      </c>
      <c r="AE538" s="80" t="s">
        <v>1745</v>
      </c>
      <c r="AF538" s="80" t="s">
        <v>2427</v>
      </c>
      <c r="AG538" s="80" t="s">
        <v>2958</v>
      </c>
      <c r="AH538" s="80" t="s">
        <v>3513</v>
      </c>
      <c r="AI538" s="80">
        <v>7166</v>
      </c>
      <c r="AJ538" s="80">
        <v>0</v>
      </c>
      <c r="AK538" s="80">
        <v>17</v>
      </c>
      <c r="AL538" s="80">
        <v>1</v>
      </c>
      <c r="AM538" s="80" t="s">
        <v>4098</v>
      </c>
      <c r="AN538" s="96" t="str">
        <f>HYPERLINK("https://www.youtube.com/watch?v=UBAGJ2LOnRg")</f>
        <v>https://www.youtube.com/watch?v=UBAGJ2LOnRg</v>
      </c>
      <c r="AO538" s="80" t="e">
        <f>REPLACE(INDEX(GroupVertices[Group],MATCH(Vertices[[#This Row],[Vertex]],GroupVertices[Vertex],0)),1,1,"")</f>
        <v>#N/A</v>
      </c>
      <c r="AP538" s="48"/>
      <c r="AQ538" s="49"/>
      <c r="AR538" s="48"/>
      <c r="AS538" s="49"/>
      <c r="AT538" s="48"/>
      <c r="AU538" s="49"/>
      <c r="AV538" s="48"/>
      <c r="AW538" s="49"/>
      <c r="AX538" s="48"/>
      <c r="AY538" s="48"/>
      <c r="AZ538" s="48"/>
      <c r="BA538" s="48"/>
      <c r="BB538" s="48"/>
      <c r="BC538" s="2"/>
      <c r="BD538" s="3"/>
      <c r="BE538" s="3"/>
      <c r="BF538" s="3"/>
      <c r="BG538" s="3"/>
    </row>
    <row r="539" spans="1:59" ht="15">
      <c r="A539" s="66" t="s">
        <v>776</v>
      </c>
      <c r="B539" s="67" t="s">
        <v>4461</v>
      </c>
      <c r="C539" s="67"/>
      <c r="D539" s="68">
        <v>567.6029361974894</v>
      </c>
      <c r="E539" s="70"/>
      <c r="F539" s="97" t="str">
        <f>HYPERLINK("https://i.ytimg.com/vi/D6rZwkij-io/default.jpg")</f>
        <v>https://i.ytimg.com/vi/D6rZwkij-io/default.jpg</v>
      </c>
      <c r="G539" s="120" t="s">
        <v>52</v>
      </c>
      <c r="H539" s="71" t="s">
        <v>1516</v>
      </c>
      <c r="I539" s="72"/>
      <c r="J539" s="72" t="s">
        <v>159</v>
      </c>
      <c r="K539" s="71" t="s">
        <v>1516</v>
      </c>
      <c r="L539" s="75">
        <v>213.72340425531914</v>
      </c>
      <c r="M539" s="76">
        <v>146.42474365234375</v>
      </c>
      <c r="N539" s="76">
        <v>8088.876953125</v>
      </c>
      <c r="O539" s="77"/>
      <c r="P539" s="78"/>
      <c r="Q539" s="78"/>
      <c r="R539" s="82"/>
      <c r="S539" s="48"/>
      <c r="T539" s="48"/>
      <c r="U539" s="49"/>
      <c r="V539" s="49"/>
      <c r="W539" s="49"/>
      <c r="X539" s="49"/>
      <c r="Y539" s="49"/>
      <c r="Z539" s="49"/>
      <c r="AA539" s="73">
        <v>539</v>
      </c>
      <c r="AB539" s="73"/>
      <c r="AC539" s="74"/>
      <c r="AD539" s="80" t="s">
        <v>1516</v>
      </c>
      <c r="AE539" s="80" t="s">
        <v>2166</v>
      </c>
      <c r="AF539" s="80" t="s">
        <v>2752</v>
      </c>
      <c r="AG539" s="80" t="s">
        <v>2907</v>
      </c>
      <c r="AH539" s="80" t="s">
        <v>3930</v>
      </c>
      <c r="AI539" s="80">
        <v>7153</v>
      </c>
      <c r="AJ539" s="80">
        <v>10</v>
      </c>
      <c r="AK539" s="80">
        <v>82</v>
      </c>
      <c r="AL539" s="80">
        <v>1</v>
      </c>
      <c r="AM539" s="80" t="s">
        <v>4098</v>
      </c>
      <c r="AN539" s="96" t="str">
        <f>HYPERLINK("https://www.youtube.com/watch?v=D6rZwkij-io")</f>
        <v>https://www.youtube.com/watch?v=D6rZwkij-io</v>
      </c>
      <c r="AO539" s="80" t="e">
        <f>REPLACE(INDEX(GroupVertices[Group],MATCH(Vertices[[#This Row],[Vertex]],GroupVertices[Vertex],0)),1,1,"")</f>
        <v>#N/A</v>
      </c>
      <c r="AP539" s="48"/>
      <c r="AQ539" s="49"/>
      <c r="AR539" s="48"/>
      <c r="AS539" s="49"/>
      <c r="AT539" s="48"/>
      <c r="AU539" s="49"/>
      <c r="AV539" s="48"/>
      <c r="AW539" s="49"/>
      <c r="AX539" s="48"/>
      <c r="AY539" s="48"/>
      <c r="AZ539" s="48"/>
      <c r="BA539" s="48"/>
      <c r="BB539" s="48"/>
      <c r="BC539" s="2"/>
      <c r="BD539" s="3"/>
      <c r="BE539" s="3"/>
      <c r="BF539" s="3"/>
      <c r="BG539" s="3"/>
    </row>
    <row r="540" spans="1:59" ht="15">
      <c r="A540" s="66" t="s">
        <v>623</v>
      </c>
      <c r="B540" s="67" t="s">
        <v>4461</v>
      </c>
      <c r="C540" s="67"/>
      <c r="D540" s="68">
        <v>562.9665860955487</v>
      </c>
      <c r="E540" s="70"/>
      <c r="F540" s="97" t="str">
        <f>HYPERLINK("https://i.ytimg.com/vi/75QOz69EnJ4/default.jpg")</f>
        <v>https://i.ytimg.com/vi/75QOz69EnJ4/default.jpg</v>
      </c>
      <c r="G540" s="120" t="s">
        <v>52</v>
      </c>
      <c r="H540" s="71" t="s">
        <v>1363</v>
      </c>
      <c r="I540" s="72"/>
      <c r="J540" s="72" t="s">
        <v>159</v>
      </c>
      <c r="K540" s="71" t="s">
        <v>1363</v>
      </c>
      <c r="L540" s="75">
        <v>213.72340425531914</v>
      </c>
      <c r="M540" s="76">
        <v>720.7660522460938</v>
      </c>
      <c r="N540" s="76">
        <v>5506.13671875</v>
      </c>
      <c r="O540" s="77"/>
      <c r="P540" s="78"/>
      <c r="Q540" s="78"/>
      <c r="R540" s="82"/>
      <c r="S540" s="48"/>
      <c r="T540" s="48"/>
      <c r="U540" s="49"/>
      <c r="V540" s="49"/>
      <c r="W540" s="49"/>
      <c r="X540" s="49"/>
      <c r="Y540" s="49"/>
      <c r="Z540" s="49"/>
      <c r="AA540" s="73">
        <v>540</v>
      </c>
      <c r="AB540" s="73"/>
      <c r="AC540" s="74"/>
      <c r="AD540" s="80" t="s">
        <v>1363</v>
      </c>
      <c r="AE540" s="80" t="s">
        <v>2029</v>
      </c>
      <c r="AF540" s="80" t="s">
        <v>2627</v>
      </c>
      <c r="AG540" s="80" t="s">
        <v>3169</v>
      </c>
      <c r="AH540" s="80" t="s">
        <v>3775</v>
      </c>
      <c r="AI540" s="80">
        <v>6789</v>
      </c>
      <c r="AJ540" s="80">
        <v>0</v>
      </c>
      <c r="AK540" s="80">
        <v>13</v>
      </c>
      <c r="AL540" s="80">
        <v>1</v>
      </c>
      <c r="AM540" s="80" t="s">
        <v>4098</v>
      </c>
      <c r="AN540" s="96" t="str">
        <f>HYPERLINK("https://www.youtube.com/watch?v=75QOz69EnJ4")</f>
        <v>https://www.youtube.com/watch?v=75QOz69EnJ4</v>
      </c>
      <c r="AO540" s="80" t="e">
        <f>REPLACE(INDEX(GroupVertices[Group],MATCH(Vertices[[#This Row],[Vertex]],GroupVertices[Vertex],0)),1,1,"")</f>
        <v>#N/A</v>
      </c>
      <c r="AP540" s="48"/>
      <c r="AQ540" s="49"/>
      <c r="AR540" s="48"/>
      <c r="AS540" s="49"/>
      <c r="AT540" s="48"/>
      <c r="AU540" s="49"/>
      <c r="AV540" s="48"/>
      <c r="AW540" s="49"/>
      <c r="AX540" s="48"/>
      <c r="AY540" s="48"/>
      <c r="AZ540" s="48"/>
      <c r="BA540" s="48"/>
      <c r="BB540" s="48"/>
      <c r="BC540" s="2"/>
      <c r="BD540" s="3"/>
      <c r="BE540" s="3"/>
      <c r="BF540" s="3"/>
      <c r="BG540" s="3"/>
    </row>
    <row r="541" spans="1:59" ht="15">
      <c r="A541" s="66" t="s">
        <v>750</v>
      </c>
      <c r="B541" s="67" t="s">
        <v>4461</v>
      </c>
      <c r="C541" s="67"/>
      <c r="D541" s="68">
        <v>555.651654852943</v>
      </c>
      <c r="E541" s="70"/>
      <c r="F541" s="97" t="str">
        <f>HYPERLINK("https://i.ytimg.com/vi/0DBVDpGJLAA/default.jpg")</f>
        <v>https://i.ytimg.com/vi/0DBVDpGJLAA/default.jpg</v>
      </c>
      <c r="G541" s="120" t="s">
        <v>52</v>
      </c>
      <c r="H541" s="71" t="s">
        <v>1490</v>
      </c>
      <c r="I541" s="72"/>
      <c r="J541" s="72" t="s">
        <v>159</v>
      </c>
      <c r="K541" s="71" t="s">
        <v>1490</v>
      </c>
      <c r="L541" s="75">
        <v>213.72340425531914</v>
      </c>
      <c r="M541" s="76">
        <v>3207.59326171875</v>
      </c>
      <c r="N541" s="76">
        <v>5286.81005859375</v>
      </c>
      <c r="O541" s="77"/>
      <c r="P541" s="78"/>
      <c r="Q541" s="78"/>
      <c r="R541" s="82"/>
      <c r="S541" s="48"/>
      <c r="T541" s="48"/>
      <c r="U541" s="49"/>
      <c r="V541" s="49"/>
      <c r="W541" s="49"/>
      <c r="X541" s="49"/>
      <c r="Y541" s="49"/>
      <c r="Z541" s="49"/>
      <c r="AA541" s="73">
        <v>541</v>
      </c>
      <c r="AB541" s="73"/>
      <c r="AC541" s="74"/>
      <c r="AD541" s="80" t="s">
        <v>1490</v>
      </c>
      <c r="AE541" s="80" t="s">
        <v>2146</v>
      </c>
      <c r="AF541" s="80" t="s">
        <v>2732</v>
      </c>
      <c r="AG541" s="80" t="s">
        <v>2912</v>
      </c>
      <c r="AH541" s="80" t="s">
        <v>3904</v>
      </c>
      <c r="AI541" s="80">
        <v>6252</v>
      </c>
      <c r="AJ541" s="80">
        <v>5</v>
      </c>
      <c r="AK541" s="80">
        <v>53</v>
      </c>
      <c r="AL541" s="80">
        <v>1</v>
      </c>
      <c r="AM541" s="80" t="s">
        <v>4098</v>
      </c>
      <c r="AN541" s="96" t="str">
        <f>HYPERLINK("https://www.youtube.com/watch?v=0DBVDpGJLAA")</f>
        <v>https://www.youtube.com/watch?v=0DBVDpGJLAA</v>
      </c>
      <c r="AO541" s="80" t="e">
        <f>REPLACE(INDEX(GroupVertices[Group],MATCH(Vertices[[#This Row],[Vertex]],GroupVertices[Vertex],0)),1,1,"")</f>
        <v>#N/A</v>
      </c>
      <c r="AP541" s="48"/>
      <c r="AQ541" s="49"/>
      <c r="AR541" s="48"/>
      <c r="AS541" s="49"/>
      <c r="AT541" s="48"/>
      <c r="AU541" s="49"/>
      <c r="AV541" s="48"/>
      <c r="AW541" s="49"/>
      <c r="AX541" s="48"/>
      <c r="AY541" s="48"/>
      <c r="AZ541" s="48"/>
      <c r="BA541" s="48"/>
      <c r="BB541" s="48"/>
      <c r="BC541" s="2"/>
      <c r="BD541" s="3"/>
      <c r="BE541" s="3"/>
      <c r="BF541" s="3"/>
      <c r="BG541" s="3"/>
    </row>
    <row r="542" spans="1:59" ht="15">
      <c r="A542" s="66" t="s">
        <v>666</v>
      </c>
      <c r="B542" s="67" t="s">
        <v>4461</v>
      </c>
      <c r="C542" s="67"/>
      <c r="D542" s="68">
        <v>555.509552979724</v>
      </c>
      <c r="E542" s="70"/>
      <c r="F542" s="97" t="str">
        <f>HYPERLINK("https://i.ytimg.com/vi/qqHM0eekq1E/default.jpg")</f>
        <v>https://i.ytimg.com/vi/qqHM0eekq1E/default.jpg</v>
      </c>
      <c r="G542" s="120" t="s">
        <v>52</v>
      </c>
      <c r="H542" s="71" t="s">
        <v>1406</v>
      </c>
      <c r="I542" s="72"/>
      <c r="J542" s="72" t="s">
        <v>159</v>
      </c>
      <c r="K542" s="71" t="s">
        <v>1406</v>
      </c>
      <c r="L542" s="75">
        <v>213.72340425531914</v>
      </c>
      <c r="M542" s="76">
        <v>293.97235107421875</v>
      </c>
      <c r="N542" s="76">
        <v>8224.947265625</v>
      </c>
      <c r="O542" s="77"/>
      <c r="P542" s="78"/>
      <c r="Q542" s="78"/>
      <c r="R542" s="82"/>
      <c r="S542" s="48"/>
      <c r="T542" s="48"/>
      <c r="U542" s="49"/>
      <c r="V542" s="49"/>
      <c r="W542" s="49"/>
      <c r="X542" s="49"/>
      <c r="Y542" s="49"/>
      <c r="Z542" s="49"/>
      <c r="AA542" s="73">
        <v>542</v>
      </c>
      <c r="AB542" s="73"/>
      <c r="AC542" s="74"/>
      <c r="AD542" s="80" t="s">
        <v>1406</v>
      </c>
      <c r="AE542" s="80" t="s">
        <v>2066</v>
      </c>
      <c r="AF542" s="80" t="s">
        <v>2658</v>
      </c>
      <c r="AG542" s="80" t="s">
        <v>3198</v>
      </c>
      <c r="AH542" s="80" t="s">
        <v>3818</v>
      </c>
      <c r="AI542" s="80">
        <v>6242</v>
      </c>
      <c r="AJ542" s="80">
        <v>12</v>
      </c>
      <c r="AK542" s="80">
        <v>4</v>
      </c>
      <c r="AL542" s="80">
        <v>1</v>
      </c>
      <c r="AM542" s="80" t="s">
        <v>4098</v>
      </c>
      <c r="AN542" s="96" t="str">
        <f>HYPERLINK("https://www.youtube.com/watch?v=qqHM0eekq1E")</f>
        <v>https://www.youtube.com/watch?v=qqHM0eekq1E</v>
      </c>
      <c r="AO542" s="80" t="e">
        <f>REPLACE(INDEX(GroupVertices[Group],MATCH(Vertices[[#This Row],[Vertex]],GroupVertices[Vertex],0)),1,1,"")</f>
        <v>#N/A</v>
      </c>
      <c r="AP542" s="48"/>
      <c r="AQ542" s="49"/>
      <c r="AR542" s="48"/>
      <c r="AS542" s="49"/>
      <c r="AT542" s="48"/>
      <c r="AU542" s="49"/>
      <c r="AV542" s="48"/>
      <c r="AW542" s="49"/>
      <c r="AX542" s="48"/>
      <c r="AY542" s="48"/>
      <c r="AZ542" s="48"/>
      <c r="BA542" s="48"/>
      <c r="BB542" s="48"/>
      <c r="BC542" s="2"/>
      <c r="BD542" s="3"/>
      <c r="BE542" s="3"/>
      <c r="BF542" s="3"/>
      <c r="BG542" s="3"/>
    </row>
    <row r="543" spans="1:59" ht="15">
      <c r="A543" s="66" t="s">
        <v>395</v>
      </c>
      <c r="B543" s="67" t="s">
        <v>4461</v>
      </c>
      <c r="C543" s="67"/>
      <c r="D543" s="68">
        <v>551.6287905433016</v>
      </c>
      <c r="E543" s="70"/>
      <c r="F543" s="97" t="str">
        <f>HYPERLINK("https://i.ytimg.com/vi/bOF_ysGQ6hU/default.jpg")</f>
        <v>https://i.ytimg.com/vi/bOF_ysGQ6hU/default.jpg</v>
      </c>
      <c r="G543" s="120" t="s">
        <v>52</v>
      </c>
      <c r="H543" s="71" t="s">
        <v>1102</v>
      </c>
      <c r="I543" s="72"/>
      <c r="J543" s="72" t="s">
        <v>159</v>
      </c>
      <c r="K543" s="71" t="s">
        <v>1102</v>
      </c>
      <c r="L543" s="75">
        <v>213.72340425531914</v>
      </c>
      <c r="M543" s="76">
        <v>5387.04931640625</v>
      </c>
      <c r="N543" s="76">
        <v>403.2900695800781</v>
      </c>
      <c r="O543" s="77"/>
      <c r="P543" s="78"/>
      <c r="Q543" s="78"/>
      <c r="R543" s="82"/>
      <c r="S543" s="48"/>
      <c r="T543" s="48"/>
      <c r="U543" s="49"/>
      <c r="V543" s="49"/>
      <c r="W543" s="49"/>
      <c r="X543" s="49"/>
      <c r="Y543" s="49"/>
      <c r="Z543" s="49"/>
      <c r="AA543" s="73">
        <v>543</v>
      </c>
      <c r="AB543" s="73"/>
      <c r="AC543" s="74"/>
      <c r="AD543" s="80" t="s">
        <v>1102</v>
      </c>
      <c r="AE543" s="80" t="s">
        <v>1803</v>
      </c>
      <c r="AF543" s="80" t="s">
        <v>2426</v>
      </c>
      <c r="AG543" s="80" t="s">
        <v>2951</v>
      </c>
      <c r="AH543" s="80" t="s">
        <v>3512</v>
      </c>
      <c r="AI543" s="80">
        <v>5975</v>
      </c>
      <c r="AJ543" s="80">
        <v>2</v>
      </c>
      <c r="AK543" s="80">
        <v>26</v>
      </c>
      <c r="AL543" s="80">
        <v>1</v>
      </c>
      <c r="AM543" s="80" t="s">
        <v>4098</v>
      </c>
      <c r="AN543" s="96" t="str">
        <f>HYPERLINK("https://www.youtube.com/watch?v=bOF_ysGQ6hU")</f>
        <v>https://www.youtube.com/watch?v=bOF_ysGQ6hU</v>
      </c>
      <c r="AO543" s="80" t="e">
        <f>REPLACE(INDEX(GroupVertices[Group],MATCH(Vertices[[#This Row],[Vertex]],GroupVertices[Vertex],0)),1,1,"")</f>
        <v>#N/A</v>
      </c>
      <c r="AP543" s="48"/>
      <c r="AQ543" s="49"/>
      <c r="AR543" s="48"/>
      <c r="AS543" s="49"/>
      <c r="AT543" s="48"/>
      <c r="AU543" s="49"/>
      <c r="AV543" s="48"/>
      <c r="AW543" s="49"/>
      <c r="AX543" s="48"/>
      <c r="AY543" s="48"/>
      <c r="AZ543" s="48"/>
      <c r="BA543" s="48"/>
      <c r="BB543" s="48"/>
      <c r="BC543" s="2"/>
      <c r="BD543" s="3"/>
      <c r="BE543" s="3"/>
      <c r="BF543" s="3"/>
      <c r="BG543" s="3"/>
    </row>
    <row r="544" spans="1:59" ht="15">
      <c r="A544" s="66" t="s">
        <v>729</v>
      </c>
      <c r="B544" s="67" t="s">
        <v>4461</v>
      </c>
      <c r="C544" s="67"/>
      <c r="D544" s="68">
        <v>538.5935352252823</v>
      </c>
      <c r="E544" s="70"/>
      <c r="F544" s="97" t="str">
        <f>HYPERLINK("https://i.ytimg.com/vi/l0S_V9flX4U/default.jpg")</f>
        <v>https://i.ytimg.com/vi/l0S_V9flX4U/default.jpg</v>
      </c>
      <c r="G544" s="120" t="s">
        <v>52</v>
      </c>
      <c r="H544" s="71" t="s">
        <v>1470</v>
      </c>
      <c r="I544" s="72"/>
      <c r="J544" s="72" t="s">
        <v>159</v>
      </c>
      <c r="K544" s="71" t="s">
        <v>1470</v>
      </c>
      <c r="L544" s="75">
        <v>213.72340425531914</v>
      </c>
      <c r="M544" s="76">
        <v>2180.576904296875</v>
      </c>
      <c r="N544" s="76">
        <v>5618.99462890625</v>
      </c>
      <c r="O544" s="77"/>
      <c r="P544" s="78"/>
      <c r="Q544" s="78"/>
      <c r="R544" s="82"/>
      <c r="S544" s="48"/>
      <c r="T544" s="48"/>
      <c r="U544" s="49"/>
      <c r="V544" s="49"/>
      <c r="W544" s="49"/>
      <c r="X544" s="49"/>
      <c r="Y544" s="49"/>
      <c r="Z544" s="49"/>
      <c r="AA544" s="73">
        <v>544</v>
      </c>
      <c r="AB544" s="73"/>
      <c r="AC544" s="74"/>
      <c r="AD544" s="80" t="s">
        <v>1470</v>
      </c>
      <c r="AE544" s="80" t="s">
        <v>2127</v>
      </c>
      <c r="AF544" s="80" t="s">
        <v>2717</v>
      </c>
      <c r="AG544" s="80" t="s">
        <v>2912</v>
      </c>
      <c r="AH544" s="80" t="s">
        <v>3883</v>
      </c>
      <c r="AI544" s="80">
        <v>5159</v>
      </c>
      <c r="AJ544" s="80">
        <v>3</v>
      </c>
      <c r="AK544" s="80">
        <v>29</v>
      </c>
      <c r="AL544" s="80">
        <v>1</v>
      </c>
      <c r="AM544" s="80" t="s">
        <v>4098</v>
      </c>
      <c r="AN544" s="96" t="str">
        <f>HYPERLINK("https://www.youtube.com/watch?v=l0S_V9flX4U")</f>
        <v>https://www.youtube.com/watch?v=l0S_V9flX4U</v>
      </c>
      <c r="AO544" s="80" t="e">
        <f>REPLACE(INDEX(GroupVertices[Group],MATCH(Vertices[[#This Row],[Vertex]],GroupVertices[Vertex],0)),1,1,"")</f>
        <v>#N/A</v>
      </c>
      <c r="AP544" s="48"/>
      <c r="AQ544" s="49"/>
      <c r="AR544" s="48"/>
      <c r="AS544" s="49"/>
      <c r="AT544" s="48"/>
      <c r="AU544" s="49"/>
      <c r="AV544" s="48"/>
      <c r="AW544" s="49"/>
      <c r="AX544" s="48"/>
      <c r="AY544" s="48"/>
      <c r="AZ544" s="48"/>
      <c r="BA544" s="48"/>
      <c r="BB544" s="48"/>
      <c r="BC544" s="2"/>
      <c r="BD544" s="3"/>
      <c r="BE544" s="3"/>
      <c r="BF544" s="3"/>
      <c r="BG544" s="3"/>
    </row>
    <row r="545" spans="1:59" ht="15">
      <c r="A545" s="66" t="s">
        <v>653</v>
      </c>
      <c r="B545" s="67" t="s">
        <v>4461</v>
      </c>
      <c r="C545" s="67"/>
      <c r="D545" s="68">
        <v>537.4853980816674</v>
      </c>
      <c r="E545" s="70"/>
      <c r="F545" s="97" t="str">
        <f>HYPERLINK("https://i.ytimg.com/vi/CDA9TrAAi4E/default.jpg")</f>
        <v>https://i.ytimg.com/vi/CDA9TrAAi4E/default.jpg</v>
      </c>
      <c r="G545" s="120" t="s">
        <v>52</v>
      </c>
      <c r="H545" s="71" t="s">
        <v>1393</v>
      </c>
      <c r="I545" s="72"/>
      <c r="J545" s="72" t="s">
        <v>159</v>
      </c>
      <c r="K545" s="71" t="s">
        <v>1393</v>
      </c>
      <c r="L545" s="75">
        <v>213.72340425531914</v>
      </c>
      <c r="M545" s="76">
        <v>2668.50927734375</v>
      </c>
      <c r="N545" s="76">
        <v>1356.3089599609375</v>
      </c>
      <c r="O545" s="77"/>
      <c r="P545" s="78"/>
      <c r="Q545" s="78"/>
      <c r="R545" s="82"/>
      <c r="S545" s="48"/>
      <c r="T545" s="48"/>
      <c r="U545" s="49"/>
      <c r="V545" s="49"/>
      <c r="W545" s="49"/>
      <c r="X545" s="49"/>
      <c r="Y545" s="49"/>
      <c r="Z545" s="49"/>
      <c r="AA545" s="73">
        <v>545</v>
      </c>
      <c r="AB545" s="73"/>
      <c r="AC545" s="74"/>
      <c r="AD545" s="80" t="s">
        <v>1393</v>
      </c>
      <c r="AE545" s="80" t="s">
        <v>2057</v>
      </c>
      <c r="AF545" s="80"/>
      <c r="AG545" s="80" t="s">
        <v>3186</v>
      </c>
      <c r="AH545" s="80" t="s">
        <v>3805</v>
      </c>
      <c r="AI545" s="80">
        <v>5095</v>
      </c>
      <c r="AJ545" s="80">
        <v>15</v>
      </c>
      <c r="AK545" s="80">
        <v>70</v>
      </c>
      <c r="AL545" s="80">
        <v>1</v>
      </c>
      <c r="AM545" s="80" t="s">
        <v>4098</v>
      </c>
      <c r="AN545" s="96" t="str">
        <f>HYPERLINK("https://www.youtube.com/watch?v=CDA9TrAAi4E")</f>
        <v>https://www.youtube.com/watch?v=CDA9TrAAi4E</v>
      </c>
      <c r="AO545" s="80" t="e">
        <f>REPLACE(INDEX(GroupVertices[Group],MATCH(Vertices[[#This Row],[Vertex]],GroupVertices[Vertex],0)),1,1,"")</f>
        <v>#N/A</v>
      </c>
      <c r="AP545" s="48"/>
      <c r="AQ545" s="49"/>
      <c r="AR545" s="48"/>
      <c r="AS545" s="49"/>
      <c r="AT545" s="48"/>
      <c r="AU545" s="49"/>
      <c r="AV545" s="48"/>
      <c r="AW545" s="49"/>
      <c r="AX545" s="48"/>
      <c r="AY545" s="48"/>
      <c r="AZ545" s="48"/>
      <c r="BA545" s="48"/>
      <c r="BB545" s="48"/>
      <c r="BC545" s="2"/>
      <c r="BD545" s="3"/>
      <c r="BE545" s="3"/>
      <c r="BF545" s="3"/>
      <c r="BG545" s="3"/>
    </row>
    <row r="546" spans="1:59" ht="15">
      <c r="A546" s="66" t="s">
        <v>827</v>
      </c>
      <c r="B546" s="67" t="s">
        <v>4461</v>
      </c>
      <c r="C546" s="67"/>
      <c r="D546" s="68">
        <v>532.9091117792261</v>
      </c>
      <c r="E546" s="70"/>
      <c r="F546" s="97" t="str">
        <f>HYPERLINK("https://i.ytimg.com/vi/H8iIT7I6I_Y/default.jpg")</f>
        <v>https://i.ytimg.com/vi/H8iIT7I6I_Y/default.jpg</v>
      </c>
      <c r="G546" s="120" t="s">
        <v>52</v>
      </c>
      <c r="H546" s="71" t="s">
        <v>1566</v>
      </c>
      <c r="I546" s="72"/>
      <c r="J546" s="72" t="s">
        <v>159</v>
      </c>
      <c r="K546" s="71" t="s">
        <v>1566</v>
      </c>
      <c r="L546" s="75">
        <v>213.72340425531914</v>
      </c>
      <c r="M546" s="76">
        <v>106.14649963378906</v>
      </c>
      <c r="N546" s="76">
        <v>2417.46044921875</v>
      </c>
      <c r="O546" s="77"/>
      <c r="P546" s="78"/>
      <c r="Q546" s="78"/>
      <c r="R546" s="82"/>
      <c r="S546" s="48"/>
      <c r="T546" s="48"/>
      <c r="U546" s="49"/>
      <c r="V546" s="49"/>
      <c r="W546" s="49"/>
      <c r="X546" s="49"/>
      <c r="Y546" s="49"/>
      <c r="Z546" s="49"/>
      <c r="AA546" s="73">
        <v>546</v>
      </c>
      <c r="AB546" s="73"/>
      <c r="AC546" s="74"/>
      <c r="AD546" s="80" t="s">
        <v>1566</v>
      </c>
      <c r="AE546" s="80" t="s">
        <v>2213</v>
      </c>
      <c r="AF546" s="80" t="s">
        <v>2797</v>
      </c>
      <c r="AG546" s="80" t="s">
        <v>3054</v>
      </c>
      <c r="AH546" s="80" t="s">
        <v>3981</v>
      </c>
      <c r="AI546" s="80">
        <v>4839</v>
      </c>
      <c r="AJ546" s="80">
        <v>3</v>
      </c>
      <c r="AK546" s="80">
        <v>9</v>
      </c>
      <c r="AL546" s="80">
        <v>1</v>
      </c>
      <c r="AM546" s="80" t="s">
        <v>4098</v>
      </c>
      <c r="AN546" s="96" t="str">
        <f>HYPERLINK("https://www.youtube.com/watch?v=H8iIT7I6I_Y")</f>
        <v>https://www.youtube.com/watch?v=H8iIT7I6I_Y</v>
      </c>
      <c r="AO546" s="80" t="e">
        <f>REPLACE(INDEX(GroupVertices[Group],MATCH(Vertices[[#This Row],[Vertex]],GroupVertices[Vertex],0)),1,1,"")</f>
        <v>#N/A</v>
      </c>
      <c r="AP546" s="48"/>
      <c r="AQ546" s="49"/>
      <c r="AR546" s="48"/>
      <c r="AS546" s="49"/>
      <c r="AT546" s="48"/>
      <c r="AU546" s="49"/>
      <c r="AV546" s="48"/>
      <c r="AW546" s="49"/>
      <c r="AX546" s="48"/>
      <c r="AY546" s="48"/>
      <c r="AZ546" s="48"/>
      <c r="BA546" s="48"/>
      <c r="BB546" s="48"/>
      <c r="BC546" s="2"/>
      <c r="BD546" s="3"/>
      <c r="BE546" s="3"/>
      <c r="BF546" s="3"/>
      <c r="BG546" s="3"/>
    </row>
    <row r="547" spans="1:59" ht="15">
      <c r="A547" s="66" t="s">
        <v>573</v>
      </c>
      <c r="B547" s="67" t="s">
        <v>4461</v>
      </c>
      <c r="C547" s="67"/>
      <c r="D547" s="68">
        <v>529.772396062203</v>
      </c>
      <c r="E547" s="70"/>
      <c r="F547" s="97" t="str">
        <f>HYPERLINK("https://i.ytimg.com/vi/j82yFgX17lQ/default.jpg")</f>
        <v>https://i.ytimg.com/vi/j82yFgX17lQ/default.jpg</v>
      </c>
      <c r="G547" s="120" t="s">
        <v>52</v>
      </c>
      <c r="H547" s="71" t="s">
        <v>1308</v>
      </c>
      <c r="I547" s="72"/>
      <c r="J547" s="72" t="s">
        <v>159</v>
      </c>
      <c r="K547" s="71" t="s">
        <v>1308</v>
      </c>
      <c r="L547" s="75">
        <v>213.72340425531914</v>
      </c>
      <c r="M547" s="76">
        <v>8800.9208984375</v>
      </c>
      <c r="N547" s="76">
        <v>7692.10693359375</v>
      </c>
      <c r="O547" s="77"/>
      <c r="P547" s="78"/>
      <c r="Q547" s="78"/>
      <c r="R547" s="82"/>
      <c r="S547" s="48"/>
      <c r="T547" s="48"/>
      <c r="U547" s="49"/>
      <c r="V547" s="49"/>
      <c r="W547" s="49"/>
      <c r="X547" s="49"/>
      <c r="Y547" s="49"/>
      <c r="Z547" s="49"/>
      <c r="AA547" s="73">
        <v>547</v>
      </c>
      <c r="AB547" s="73"/>
      <c r="AC547" s="74"/>
      <c r="AD547" s="80" t="s">
        <v>1308</v>
      </c>
      <c r="AE547" s="80" t="s">
        <v>1976</v>
      </c>
      <c r="AF547" s="80" t="s">
        <v>2580</v>
      </c>
      <c r="AG547" s="80" t="s">
        <v>3122</v>
      </c>
      <c r="AH547" s="80" t="s">
        <v>3719</v>
      </c>
      <c r="AI547" s="80">
        <v>4671</v>
      </c>
      <c r="AJ547" s="80">
        <v>0</v>
      </c>
      <c r="AK547" s="80">
        <v>15</v>
      </c>
      <c r="AL547" s="80">
        <v>1</v>
      </c>
      <c r="AM547" s="80" t="s">
        <v>4098</v>
      </c>
      <c r="AN547" s="96" t="str">
        <f>HYPERLINK("https://www.youtube.com/watch?v=j82yFgX17lQ")</f>
        <v>https://www.youtube.com/watch?v=j82yFgX17lQ</v>
      </c>
      <c r="AO547" s="80" t="e">
        <f>REPLACE(INDEX(GroupVertices[Group],MATCH(Vertices[[#This Row],[Vertex]],GroupVertices[Vertex],0)),1,1,"")</f>
        <v>#N/A</v>
      </c>
      <c r="AP547" s="48"/>
      <c r="AQ547" s="49"/>
      <c r="AR547" s="48"/>
      <c r="AS547" s="49"/>
      <c r="AT547" s="48"/>
      <c r="AU547" s="49"/>
      <c r="AV547" s="48"/>
      <c r="AW547" s="49"/>
      <c r="AX547" s="48"/>
      <c r="AY547" s="48"/>
      <c r="AZ547" s="48"/>
      <c r="BA547" s="48"/>
      <c r="BB547" s="48"/>
      <c r="BC547" s="2"/>
      <c r="BD547" s="3"/>
      <c r="BE547" s="3"/>
      <c r="BF547" s="3"/>
      <c r="BG547" s="3"/>
    </row>
    <row r="548" spans="1:59" ht="15">
      <c r="A548" s="66" t="s">
        <v>644</v>
      </c>
      <c r="B548" s="67" t="s">
        <v>4461</v>
      </c>
      <c r="C548" s="67"/>
      <c r="D548" s="68">
        <v>525.2500402142496</v>
      </c>
      <c r="E548" s="70"/>
      <c r="F548" s="97" t="str">
        <f>HYPERLINK("https://i.ytimg.com/vi/EmbRsPf67h8/default.jpg")</f>
        <v>https://i.ytimg.com/vi/EmbRsPf67h8/default.jpg</v>
      </c>
      <c r="G548" s="120" t="s">
        <v>52</v>
      </c>
      <c r="H548" s="71" t="s">
        <v>1384</v>
      </c>
      <c r="I548" s="72"/>
      <c r="J548" s="72" t="s">
        <v>159</v>
      </c>
      <c r="K548" s="71" t="s">
        <v>1384</v>
      </c>
      <c r="L548" s="75">
        <v>213.72340425531914</v>
      </c>
      <c r="M548" s="76">
        <v>335.7477722167969</v>
      </c>
      <c r="N548" s="76">
        <v>5748.2548828125</v>
      </c>
      <c r="O548" s="77"/>
      <c r="P548" s="78"/>
      <c r="Q548" s="78"/>
      <c r="R548" s="82"/>
      <c r="S548" s="48"/>
      <c r="T548" s="48"/>
      <c r="U548" s="49"/>
      <c r="V548" s="49"/>
      <c r="W548" s="49"/>
      <c r="X548" s="49"/>
      <c r="Y548" s="49"/>
      <c r="Z548" s="49"/>
      <c r="AA548" s="73">
        <v>548</v>
      </c>
      <c r="AB548" s="73"/>
      <c r="AC548" s="74"/>
      <c r="AD548" s="80" t="s">
        <v>1384</v>
      </c>
      <c r="AE548" s="80" t="s">
        <v>2049</v>
      </c>
      <c r="AF548" s="80"/>
      <c r="AG548" s="80" t="s">
        <v>2978</v>
      </c>
      <c r="AH548" s="80" t="s">
        <v>3796</v>
      </c>
      <c r="AI548" s="80">
        <v>4439</v>
      </c>
      <c r="AJ548" s="80">
        <v>11</v>
      </c>
      <c r="AK548" s="80">
        <v>27</v>
      </c>
      <c r="AL548" s="80">
        <v>1</v>
      </c>
      <c r="AM548" s="80" t="s">
        <v>4098</v>
      </c>
      <c r="AN548" s="96" t="str">
        <f>HYPERLINK("https://www.youtube.com/watch?v=EmbRsPf67h8")</f>
        <v>https://www.youtube.com/watch?v=EmbRsPf67h8</v>
      </c>
      <c r="AO548" s="80" t="e">
        <f>REPLACE(INDEX(GroupVertices[Group],MATCH(Vertices[[#This Row],[Vertex]],GroupVertices[Vertex],0)),1,1,"")</f>
        <v>#N/A</v>
      </c>
      <c r="AP548" s="48"/>
      <c r="AQ548" s="49"/>
      <c r="AR548" s="48"/>
      <c r="AS548" s="49"/>
      <c r="AT548" s="48"/>
      <c r="AU548" s="49"/>
      <c r="AV548" s="48"/>
      <c r="AW548" s="49"/>
      <c r="AX548" s="48"/>
      <c r="AY548" s="48"/>
      <c r="AZ548" s="48"/>
      <c r="BA548" s="48"/>
      <c r="BB548" s="48"/>
      <c r="BC548" s="2"/>
      <c r="BD548" s="3"/>
      <c r="BE548" s="3"/>
      <c r="BF548" s="3"/>
      <c r="BG548" s="3"/>
    </row>
    <row r="549" spans="1:59" ht="15">
      <c r="A549" s="66" t="s">
        <v>310</v>
      </c>
      <c r="B549" s="67" t="s">
        <v>4461</v>
      </c>
      <c r="C549" s="67"/>
      <c r="D549" s="68">
        <v>522.3432536612129</v>
      </c>
      <c r="E549" s="70"/>
      <c r="F549" s="97" t="str">
        <f>HYPERLINK("https://i.ytimg.com/vi/d6bi0QTaX5Y/default.jpg")</f>
        <v>https://i.ytimg.com/vi/d6bi0QTaX5Y/default.jpg</v>
      </c>
      <c r="G549" s="120" t="s">
        <v>52</v>
      </c>
      <c r="H549" s="71" t="s">
        <v>1010</v>
      </c>
      <c r="I549" s="72"/>
      <c r="J549" s="72" t="s">
        <v>159</v>
      </c>
      <c r="K549" s="71" t="s">
        <v>1010</v>
      </c>
      <c r="L549" s="75">
        <v>213.72340425531914</v>
      </c>
      <c r="M549" s="76">
        <v>5784.57470703125</v>
      </c>
      <c r="N549" s="76">
        <v>5601.77001953125</v>
      </c>
      <c r="O549" s="77"/>
      <c r="P549" s="78"/>
      <c r="Q549" s="78"/>
      <c r="R549" s="82"/>
      <c r="S549" s="48"/>
      <c r="T549" s="48"/>
      <c r="U549" s="49"/>
      <c r="V549" s="49"/>
      <c r="W549" s="49"/>
      <c r="X549" s="49"/>
      <c r="Y549" s="49"/>
      <c r="Z549" s="49"/>
      <c r="AA549" s="73">
        <v>549</v>
      </c>
      <c r="AB549" s="73"/>
      <c r="AC549" s="74"/>
      <c r="AD549" s="80" t="s">
        <v>1010</v>
      </c>
      <c r="AE549" s="80"/>
      <c r="AF549" s="80" t="s">
        <v>2361</v>
      </c>
      <c r="AG549" s="80" t="s">
        <v>2939</v>
      </c>
      <c r="AH549" s="80" t="s">
        <v>3425</v>
      </c>
      <c r="AI549" s="80">
        <v>4296</v>
      </c>
      <c r="AJ549" s="80">
        <v>2</v>
      </c>
      <c r="AK549" s="80">
        <v>27</v>
      </c>
      <c r="AL549" s="80">
        <v>1</v>
      </c>
      <c r="AM549" s="80" t="s">
        <v>4098</v>
      </c>
      <c r="AN549" s="96" t="str">
        <f>HYPERLINK("https://www.youtube.com/watch?v=d6bi0QTaX5Y")</f>
        <v>https://www.youtube.com/watch?v=d6bi0QTaX5Y</v>
      </c>
      <c r="AO549" s="80" t="e">
        <f>REPLACE(INDEX(GroupVertices[Group],MATCH(Vertices[[#This Row],[Vertex]],GroupVertices[Vertex],0)),1,1,"")</f>
        <v>#N/A</v>
      </c>
      <c r="AP549" s="48"/>
      <c r="AQ549" s="49"/>
      <c r="AR549" s="48"/>
      <c r="AS549" s="49"/>
      <c r="AT549" s="48"/>
      <c r="AU549" s="49"/>
      <c r="AV549" s="48"/>
      <c r="AW549" s="49"/>
      <c r="AX549" s="48"/>
      <c r="AY549" s="48"/>
      <c r="AZ549" s="48"/>
      <c r="BA549" s="48"/>
      <c r="BB549" s="48"/>
      <c r="BC549" s="2"/>
      <c r="BD549" s="3"/>
      <c r="BE549" s="3"/>
      <c r="BF549" s="3"/>
      <c r="BG549" s="3"/>
    </row>
    <row r="550" spans="1:59" ht="15">
      <c r="A550" s="66" t="s">
        <v>634</v>
      </c>
      <c r="B550" s="67" t="s">
        <v>4461</v>
      </c>
      <c r="C550" s="67"/>
      <c r="D550" s="68">
        <v>518.6513996136878</v>
      </c>
      <c r="E550" s="70"/>
      <c r="F550" s="97" t="str">
        <f>HYPERLINK("https://i.ytimg.com/vi/phvoSHdj-Bk/default.jpg")</f>
        <v>https://i.ytimg.com/vi/phvoSHdj-Bk/default.jpg</v>
      </c>
      <c r="G550" s="120" t="s">
        <v>52</v>
      </c>
      <c r="H550" s="71" t="s">
        <v>1374</v>
      </c>
      <c r="I550" s="72"/>
      <c r="J550" s="72" t="s">
        <v>159</v>
      </c>
      <c r="K550" s="71" t="s">
        <v>1374</v>
      </c>
      <c r="L550" s="75">
        <v>213.72340425531914</v>
      </c>
      <c r="M550" s="76">
        <v>861.2735595703125</v>
      </c>
      <c r="N550" s="76">
        <v>4460.609375</v>
      </c>
      <c r="O550" s="77"/>
      <c r="P550" s="78"/>
      <c r="Q550" s="78"/>
      <c r="R550" s="82"/>
      <c r="S550" s="48"/>
      <c r="T550" s="48"/>
      <c r="U550" s="49"/>
      <c r="V550" s="49"/>
      <c r="W550" s="49"/>
      <c r="X550" s="49"/>
      <c r="Y550" s="49"/>
      <c r="Z550" s="49"/>
      <c r="AA550" s="73">
        <v>550</v>
      </c>
      <c r="AB550" s="73"/>
      <c r="AC550" s="74"/>
      <c r="AD550" s="80" t="s">
        <v>1374</v>
      </c>
      <c r="AE550" s="80" t="s">
        <v>2040</v>
      </c>
      <c r="AF550" s="80" t="s">
        <v>2636</v>
      </c>
      <c r="AG550" s="80" t="s">
        <v>3175</v>
      </c>
      <c r="AH550" s="80" t="s">
        <v>3786</v>
      </c>
      <c r="AI550" s="80">
        <v>4121</v>
      </c>
      <c r="AJ550" s="80">
        <v>7</v>
      </c>
      <c r="AK550" s="80">
        <v>25</v>
      </c>
      <c r="AL550" s="80">
        <v>1</v>
      </c>
      <c r="AM550" s="80" t="s">
        <v>4098</v>
      </c>
      <c r="AN550" s="96" t="str">
        <f>HYPERLINK("https://www.youtube.com/watch?v=phvoSHdj-Bk")</f>
        <v>https://www.youtube.com/watch?v=phvoSHdj-Bk</v>
      </c>
      <c r="AO550" s="80" t="e">
        <f>REPLACE(INDEX(GroupVertices[Group],MATCH(Vertices[[#This Row],[Vertex]],GroupVertices[Vertex],0)),1,1,"")</f>
        <v>#N/A</v>
      </c>
      <c r="AP550" s="48"/>
      <c r="AQ550" s="49"/>
      <c r="AR550" s="48"/>
      <c r="AS550" s="49"/>
      <c r="AT550" s="48"/>
      <c r="AU550" s="49"/>
      <c r="AV550" s="48"/>
      <c r="AW550" s="49"/>
      <c r="AX550" s="48"/>
      <c r="AY550" s="48"/>
      <c r="AZ550" s="48"/>
      <c r="BA550" s="48"/>
      <c r="BB550" s="48"/>
      <c r="BC550" s="2"/>
      <c r="BD550" s="3"/>
      <c r="BE550" s="3"/>
      <c r="BF550" s="3"/>
      <c r="BG550" s="3"/>
    </row>
    <row r="551" spans="1:59" ht="15">
      <c r="A551" s="66" t="s">
        <v>444</v>
      </c>
      <c r="B551" s="67" t="s">
        <v>4461</v>
      </c>
      <c r="C551" s="67"/>
      <c r="D551" s="68">
        <v>517.2838277965011</v>
      </c>
      <c r="E551" s="70"/>
      <c r="F551" s="97" t="str">
        <f>HYPERLINK("https://i.ytimg.com/vi/R12mM5OLE60/default.jpg")</f>
        <v>https://i.ytimg.com/vi/R12mM5OLE60/default.jpg</v>
      </c>
      <c r="G551" s="120" t="s">
        <v>52</v>
      </c>
      <c r="H551" s="71" t="s">
        <v>1153</v>
      </c>
      <c r="I551" s="72"/>
      <c r="J551" s="72" t="s">
        <v>159</v>
      </c>
      <c r="K551" s="71" t="s">
        <v>1153</v>
      </c>
      <c r="L551" s="75">
        <v>213.72340425531914</v>
      </c>
      <c r="M551" s="76">
        <v>2595.16796875</v>
      </c>
      <c r="N551" s="76">
        <v>9473.787109375</v>
      </c>
      <c r="O551" s="77"/>
      <c r="P551" s="78"/>
      <c r="Q551" s="78"/>
      <c r="R551" s="82"/>
      <c r="S551" s="48"/>
      <c r="T551" s="48"/>
      <c r="U551" s="49"/>
      <c r="V551" s="49"/>
      <c r="W551" s="49"/>
      <c r="X551" s="49"/>
      <c r="Y551" s="49"/>
      <c r="Z551" s="49"/>
      <c r="AA551" s="73">
        <v>551</v>
      </c>
      <c r="AB551" s="73"/>
      <c r="AC551" s="74"/>
      <c r="AD551" s="80" t="s">
        <v>1153</v>
      </c>
      <c r="AE551" s="80" t="s">
        <v>1844</v>
      </c>
      <c r="AF551" s="80" t="s">
        <v>2464</v>
      </c>
      <c r="AG551" s="80" t="s">
        <v>2907</v>
      </c>
      <c r="AH551" s="80" t="s">
        <v>3566</v>
      </c>
      <c r="AI551" s="80">
        <v>4058</v>
      </c>
      <c r="AJ551" s="80">
        <v>7</v>
      </c>
      <c r="AK551" s="80">
        <v>30</v>
      </c>
      <c r="AL551" s="80">
        <v>1</v>
      </c>
      <c r="AM551" s="80" t="s">
        <v>4098</v>
      </c>
      <c r="AN551" s="96" t="str">
        <f>HYPERLINK("https://www.youtube.com/watch?v=R12mM5OLE60")</f>
        <v>https://www.youtube.com/watch?v=R12mM5OLE60</v>
      </c>
      <c r="AO551" s="80" t="e">
        <f>REPLACE(INDEX(GroupVertices[Group],MATCH(Vertices[[#This Row],[Vertex]],GroupVertices[Vertex],0)),1,1,"")</f>
        <v>#N/A</v>
      </c>
      <c r="AP551" s="48"/>
      <c r="AQ551" s="49"/>
      <c r="AR551" s="48"/>
      <c r="AS551" s="49"/>
      <c r="AT551" s="48"/>
      <c r="AU551" s="49"/>
      <c r="AV551" s="48"/>
      <c r="AW551" s="49"/>
      <c r="AX551" s="48"/>
      <c r="AY551" s="48"/>
      <c r="AZ551" s="48"/>
      <c r="BA551" s="48"/>
      <c r="BB551" s="48"/>
      <c r="BC551" s="2"/>
      <c r="BD551" s="3"/>
      <c r="BE551" s="3"/>
      <c r="BF551" s="3"/>
      <c r="BG551" s="3"/>
    </row>
    <row r="552" spans="1:59" ht="15">
      <c r="A552" s="66" t="s">
        <v>765</v>
      </c>
      <c r="B552" s="67" t="s">
        <v>4461</v>
      </c>
      <c r="C552" s="67"/>
      <c r="D552" s="68">
        <v>515.5609223453082</v>
      </c>
      <c r="E552" s="70"/>
      <c r="F552" s="97" t="str">
        <f>HYPERLINK("https://i.ytimg.com/vi/UOhG5D5k1hc/default.jpg")</f>
        <v>https://i.ytimg.com/vi/UOhG5D5k1hc/default.jpg</v>
      </c>
      <c r="G552" s="120" t="s">
        <v>52</v>
      </c>
      <c r="H552" s="71" t="s">
        <v>1505</v>
      </c>
      <c r="I552" s="72"/>
      <c r="J552" s="72" t="s">
        <v>159</v>
      </c>
      <c r="K552" s="71" t="s">
        <v>1505</v>
      </c>
      <c r="L552" s="75">
        <v>213.72340425531914</v>
      </c>
      <c r="M552" s="76">
        <v>3348.35107421875</v>
      </c>
      <c r="N552" s="76">
        <v>8770.904296875</v>
      </c>
      <c r="O552" s="77"/>
      <c r="P552" s="78"/>
      <c r="Q552" s="78"/>
      <c r="R552" s="82"/>
      <c r="S552" s="48"/>
      <c r="T552" s="48"/>
      <c r="U552" s="49"/>
      <c r="V552" s="49"/>
      <c r="W552" s="49"/>
      <c r="X552" s="49"/>
      <c r="Y552" s="49"/>
      <c r="Z552" s="49"/>
      <c r="AA552" s="73">
        <v>552</v>
      </c>
      <c r="AB552" s="73"/>
      <c r="AC552" s="74"/>
      <c r="AD552" s="80" t="s">
        <v>1505</v>
      </c>
      <c r="AE552" s="80"/>
      <c r="AF552" s="80"/>
      <c r="AG552" s="80" t="s">
        <v>3057</v>
      </c>
      <c r="AH552" s="80" t="s">
        <v>3919</v>
      </c>
      <c r="AI552" s="80">
        <v>3980</v>
      </c>
      <c r="AJ552" s="80">
        <v>1</v>
      </c>
      <c r="AK552" s="80">
        <v>14</v>
      </c>
      <c r="AL552" s="80">
        <v>1</v>
      </c>
      <c r="AM552" s="80" t="s">
        <v>4098</v>
      </c>
      <c r="AN552" s="96" t="str">
        <f>HYPERLINK("https://www.youtube.com/watch?v=UOhG5D5k1hc")</f>
        <v>https://www.youtube.com/watch?v=UOhG5D5k1hc</v>
      </c>
      <c r="AO552" s="80" t="e">
        <f>REPLACE(INDEX(GroupVertices[Group],MATCH(Vertices[[#This Row],[Vertex]],GroupVertices[Vertex],0)),1,1,"")</f>
        <v>#N/A</v>
      </c>
      <c r="AP552" s="48"/>
      <c r="AQ552" s="49"/>
      <c r="AR552" s="48"/>
      <c r="AS552" s="49"/>
      <c r="AT552" s="48"/>
      <c r="AU552" s="49"/>
      <c r="AV552" s="48"/>
      <c r="AW552" s="49"/>
      <c r="AX552" s="48"/>
      <c r="AY552" s="48"/>
      <c r="AZ552" s="48"/>
      <c r="BA552" s="48"/>
      <c r="BB552" s="48"/>
      <c r="BC552" s="2"/>
      <c r="BD552" s="3"/>
      <c r="BE552" s="3"/>
      <c r="BF552" s="3"/>
      <c r="BG552" s="3"/>
    </row>
    <row r="553" spans="1:59" ht="15">
      <c r="A553" s="66" t="s">
        <v>769</v>
      </c>
      <c r="B553" s="67" t="s">
        <v>4461</v>
      </c>
      <c r="C553" s="67"/>
      <c r="D553" s="68">
        <v>513.4391645914438</v>
      </c>
      <c r="E553" s="70"/>
      <c r="F553" s="97" t="str">
        <f>HYPERLINK("https://i.ytimg.com/vi/SQDSoVKjI8o/default.jpg")</f>
        <v>https://i.ytimg.com/vi/SQDSoVKjI8o/default.jpg</v>
      </c>
      <c r="G553" s="120" t="s">
        <v>52</v>
      </c>
      <c r="H553" s="71" t="s">
        <v>1509</v>
      </c>
      <c r="I553" s="72"/>
      <c r="J553" s="72" t="s">
        <v>159</v>
      </c>
      <c r="K553" s="71" t="s">
        <v>1509</v>
      </c>
      <c r="L553" s="75">
        <v>213.72340425531914</v>
      </c>
      <c r="M553" s="76">
        <v>3736.395263671875</v>
      </c>
      <c r="N553" s="76">
        <v>8695.744140625</v>
      </c>
      <c r="O553" s="77"/>
      <c r="P553" s="78"/>
      <c r="Q553" s="78"/>
      <c r="R553" s="82"/>
      <c r="S553" s="48"/>
      <c r="T553" s="48"/>
      <c r="U553" s="49"/>
      <c r="V553" s="49"/>
      <c r="W553" s="49"/>
      <c r="X553" s="49"/>
      <c r="Y553" s="49"/>
      <c r="Z553" s="49"/>
      <c r="AA553" s="73">
        <v>553</v>
      </c>
      <c r="AB553" s="73"/>
      <c r="AC553" s="74"/>
      <c r="AD553" s="80" t="s">
        <v>1509</v>
      </c>
      <c r="AE553" s="80" t="s">
        <v>2160</v>
      </c>
      <c r="AF553" s="80" t="s">
        <v>2746</v>
      </c>
      <c r="AG553" s="80" t="s">
        <v>3270</v>
      </c>
      <c r="AH553" s="80" t="s">
        <v>3923</v>
      </c>
      <c r="AI553" s="80">
        <v>3886</v>
      </c>
      <c r="AJ553" s="80">
        <v>1</v>
      </c>
      <c r="AK553" s="80">
        <v>20</v>
      </c>
      <c r="AL553" s="80">
        <v>1</v>
      </c>
      <c r="AM553" s="80" t="s">
        <v>4098</v>
      </c>
      <c r="AN553" s="96" t="str">
        <f>HYPERLINK("https://www.youtube.com/watch?v=SQDSoVKjI8o")</f>
        <v>https://www.youtube.com/watch?v=SQDSoVKjI8o</v>
      </c>
      <c r="AO553" s="80" t="e">
        <f>REPLACE(INDEX(GroupVertices[Group],MATCH(Vertices[[#This Row],[Vertex]],GroupVertices[Vertex],0)),1,1,"")</f>
        <v>#N/A</v>
      </c>
      <c r="AP553" s="48"/>
      <c r="AQ553" s="49"/>
      <c r="AR553" s="48"/>
      <c r="AS553" s="49"/>
      <c r="AT553" s="48"/>
      <c r="AU553" s="49"/>
      <c r="AV553" s="48"/>
      <c r="AW553" s="49"/>
      <c r="AX553" s="48"/>
      <c r="AY553" s="48"/>
      <c r="AZ553" s="48"/>
      <c r="BA553" s="48"/>
      <c r="BB553" s="48"/>
      <c r="BC553" s="2"/>
      <c r="BD553" s="3"/>
      <c r="BE553" s="3"/>
      <c r="BF553" s="3"/>
      <c r="BG553" s="3"/>
    </row>
    <row r="554" spans="1:59" ht="15">
      <c r="A554" s="66" t="s">
        <v>916</v>
      </c>
      <c r="B554" s="67" t="s">
        <v>4461</v>
      </c>
      <c r="C554" s="67"/>
      <c r="D554" s="68">
        <v>509.3247631915557</v>
      </c>
      <c r="E554" s="70"/>
      <c r="F554" s="97" t="str">
        <f>HYPERLINK("https://i.ytimg.com/vi/dfoYAPistYg/default.jpg")</f>
        <v>https://i.ytimg.com/vi/dfoYAPistYg/default.jpg</v>
      </c>
      <c r="G554" s="120" t="s">
        <v>52</v>
      </c>
      <c r="H554" s="71" t="s">
        <v>1654</v>
      </c>
      <c r="I554" s="72"/>
      <c r="J554" s="72" t="s">
        <v>159</v>
      </c>
      <c r="K554" s="71" t="s">
        <v>1654</v>
      </c>
      <c r="L554" s="75">
        <v>213.72340425531914</v>
      </c>
      <c r="M554" s="76">
        <v>1718.628662109375</v>
      </c>
      <c r="N554" s="76">
        <v>4960.94189453125</v>
      </c>
      <c r="O554" s="77"/>
      <c r="P554" s="78"/>
      <c r="Q554" s="78"/>
      <c r="R554" s="82"/>
      <c r="S554" s="48"/>
      <c r="T554" s="48"/>
      <c r="U554" s="49"/>
      <c r="V554" s="49"/>
      <c r="W554" s="49"/>
      <c r="X554" s="49"/>
      <c r="Y554" s="49"/>
      <c r="Z554" s="49"/>
      <c r="AA554" s="73">
        <v>554</v>
      </c>
      <c r="AB554" s="73"/>
      <c r="AC554" s="74"/>
      <c r="AD554" s="80" t="s">
        <v>1654</v>
      </c>
      <c r="AE554" s="80" t="s">
        <v>2290</v>
      </c>
      <c r="AF554" s="80"/>
      <c r="AG554" s="80" t="s">
        <v>3331</v>
      </c>
      <c r="AH554" s="80" t="s">
        <v>4070</v>
      </c>
      <c r="AI554" s="80">
        <v>3710</v>
      </c>
      <c r="AJ554" s="80">
        <v>2</v>
      </c>
      <c r="AK554" s="80">
        <v>22</v>
      </c>
      <c r="AL554" s="80">
        <v>1</v>
      </c>
      <c r="AM554" s="80" t="s">
        <v>4098</v>
      </c>
      <c r="AN554" s="96" t="str">
        <f>HYPERLINK("https://www.youtube.com/watch?v=dfoYAPistYg")</f>
        <v>https://www.youtube.com/watch?v=dfoYAPistYg</v>
      </c>
      <c r="AO554" s="80" t="e">
        <f>REPLACE(INDEX(GroupVertices[Group],MATCH(Vertices[[#This Row],[Vertex]],GroupVertices[Vertex],0)),1,1,"")</f>
        <v>#N/A</v>
      </c>
      <c r="AP554" s="48"/>
      <c r="AQ554" s="49"/>
      <c r="AR554" s="48"/>
      <c r="AS554" s="49"/>
      <c r="AT554" s="48"/>
      <c r="AU554" s="49"/>
      <c r="AV554" s="48"/>
      <c r="AW554" s="49"/>
      <c r="AX554" s="48"/>
      <c r="AY554" s="48"/>
      <c r="AZ554" s="48"/>
      <c r="BA554" s="48"/>
      <c r="BB554" s="48"/>
      <c r="BC554" s="2"/>
      <c r="BD554" s="3"/>
      <c r="BE554" s="3"/>
      <c r="BF554" s="3"/>
      <c r="BG554" s="3"/>
    </row>
    <row r="555" spans="1:59" ht="15">
      <c r="A555" s="66" t="s">
        <v>627</v>
      </c>
      <c r="B555" s="67" t="s">
        <v>4461</v>
      </c>
      <c r="C555" s="67"/>
      <c r="D555" s="68">
        <v>507.97460756427034</v>
      </c>
      <c r="E555" s="70"/>
      <c r="F555" s="97" t="str">
        <f>HYPERLINK("https://i.ytimg.com/vi/byu67p_P1A8/default.jpg")</f>
        <v>https://i.ytimg.com/vi/byu67p_P1A8/default.jpg</v>
      </c>
      <c r="G555" s="120" t="s">
        <v>52</v>
      </c>
      <c r="H555" s="71" t="s">
        <v>1367</v>
      </c>
      <c r="I555" s="72"/>
      <c r="J555" s="72" t="s">
        <v>159</v>
      </c>
      <c r="K555" s="71" t="s">
        <v>1367</v>
      </c>
      <c r="L555" s="75">
        <v>213.72340425531914</v>
      </c>
      <c r="M555" s="76">
        <v>1511.3138427734375</v>
      </c>
      <c r="N555" s="76">
        <v>9662.5205078125</v>
      </c>
      <c r="O555" s="77"/>
      <c r="P555" s="78"/>
      <c r="Q555" s="78"/>
      <c r="R555" s="82"/>
      <c r="S555" s="48"/>
      <c r="T555" s="48"/>
      <c r="U555" s="49"/>
      <c r="V555" s="49"/>
      <c r="W555" s="49"/>
      <c r="X555" s="49"/>
      <c r="Y555" s="49"/>
      <c r="Z555" s="49"/>
      <c r="AA555" s="73">
        <v>555</v>
      </c>
      <c r="AB555" s="73"/>
      <c r="AC555" s="74"/>
      <c r="AD555" s="80" t="s">
        <v>1367</v>
      </c>
      <c r="AE555" s="80" t="s">
        <v>2033</v>
      </c>
      <c r="AF555" s="80" t="s">
        <v>2629</v>
      </c>
      <c r="AG555" s="80" t="s">
        <v>3171</v>
      </c>
      <c r="AH555" s="80" t="s">
        <v>3779</v>
      </c>
      <c r="AI555" s="80">
        <v>3654</v>
      </c>
      <c r="AJ555" s="80">
        <v>0</v>
      </c>
      <c r="AK555" s="80">
        <v>7</v>
      </c>
      <c r="AL555" s="80">
        <v>1</v>
      </c>
      <c r="AM555" s="80" t="s">
        <v>4098</v>
      </c>
      <c r="AN555" s="96" t="str">
        <f>HYPERLINK("https://www.youtube.com/watch?v=byu67p_P1A8")</f>
        <v>https://www.youtube.com/watch?v=byu67p_P1A8</v>
      </c>
      <c r="AO555" s="80" t="e">
        <f>REPLACE(INDEX(GroupVertices[Group],MATCH(Vertices[[#This Row],[Vertex]],GroupVertices[Vertex],0)),1,1,"")</f>
        <v>#N/A</v>
      </c>
      <c r="AP555" s="48"/>
      <c r="AQ555" s="49"/>
      <c r="AR555" s="48"/>
      <c r="AS555" s="49"/>
      <c r="AT555" s="48"/>
      <c r="AU555" s="49"/>
      <c r="AV555" s="48"/>
      <c r="AW555" s="49"/>
      <c r="AX555" s="48"/>
      <c r="AY555" s="48"/>
      <c r="AZ555" s="48"/>
      <c r="BA555" s="48"/>
      <c r="BB555" s="48"/>
      <c r="BC555" s="2"/>
      <c r="BD555" s="3"/>
      <c r="BE555" s="3"/>
      <c r="BF555" s="3"/>
      <c r="BG555" s="3"/>
    </row>
    <row r="556" spans="1:59" ht="15">
      <c r="A556" s="66" t="s">
        <v>539</v>
      </c>
      <c r="B556" s="67" t="s">
        <v>4461</v>
      </c>
      <c r="C556" s="67"/>
      <c r="D556" s="68">
        <v>500.50193868874334</v>
      </c>
      <c r="E556" s="70"/>
      <c r="F556" s="97" t="str">
        <f>HYPERLINK("https://i.ytimg.com/vi/cCnolpuZbZo/default.jpg")</f>
        <v>https://i.ytimg.com/vi/cCnolpuZbZo/default.jpg</v>
      </c>
      <c r="G556" s="120" t="s">
        <v>52</v>
      </c>
      <c r="H556" s="71" t="s">
        <v>1271</v>
      </c>
      <c r="I556" s="72"/>
      <c r="J556" s="72" t="s">
        <v>159</v>
      </c>
      <c r="K556" s="71" t="s">
        <v>1271</v>
      </c>
      <c r="L556" s="75">
        <v>213.72340425531914</v>
      </c>
      <c r="M556" s="76">
        <v>3865.607666015625</v>
      </c>
      <c r="N556" s="76">
        <v>6816.94921875</v>
      </c>
      <c r="O556" s="77"/>
      <c r="P556" s="78"/>
      <c r="Q556" s="78"/>
      <c r="R556" s="82"/>
      <c r="S556" s="48"/>
      <c r="T556" s="48"/>
      <c r="U556" s="49"/>
      <c r="V556" s="49"/>
      <c r="W556" s="49"/>
      <c r="X556" s="49"/>
      <c r="Y556" s="49"/>
      <c r="Z556" s="49"/>
      <c r="AA556" s="73">
        <v>556</v>
      </c>
      <c r="AB556" s="73"/>
      <c r="AC556" s="74"/>
      <c r="AD556" s="80" t="s">
        <v>1271</v>
      </c>
      <c r="AE556" s="80"/>
      <c r="AF556" s="80" t="s">
        <v>2556</v>
      </c>
      <c r="AG556" s="80" t="s">
        <v>2939</v>
      </c>
      <c r="AH556" s="80" t="s">
        <v>3683</v>
      </c>
      <c r="AI556" s="80">
        <v>3359</v>
      </c>
      <c r="AJ556" s="80">
        <v>0</v>
      </c>
      <c r="AK556" s="80">
        <v>16</v>
      </c>
      <c r="AL556" s="80">
        <v>1</v>
      </c>
      <c r="AM556" s="80" t="s">
        <v>4098</v>
      </c>
      <c r="AN556" s="96" t="str">
        <f>HYPERLINK("https://www.youtube.com/watch?v=cCnolpuZbZo")</f>
        <v>https://www.youtube.com/watch?v=cCnolpuZbZo</v>
      </c>
      <c r="AO556" s="80" t="e">
        <f>REPLACE(INDEX(GroupVertices[Group],MATCH(Vertices[[#This Row],[Vertex]],GroupVertices[Vertex],0)),1,1,"")</f>
        <v>#N/A</v>
      </c>
      <c r="AP556" s="48"/>
      <c r="AQ556" s="49"/>
      <c r="AR556" s="48"/>
      <c r="AS556" s="49"/>
      <c r="AT556" s="48"/>
      <c r="AU556" s="49"/>
      <c r="AV556" s="48"/>
      <c r="AW556" s="49"/>
      <c r="AX556" s="48"/>
      <c r="AY556" s="48"/>
      <c r="AZ556" s="48"/>
      <c r="BA556" s="48"/>
      <c r="BB556" s="48"/>
      <c r="BC556" s="2"/>
      <c r="BD556" s="3"/>
      <c r="BE556" s="3"/>
      <c r="BF556" s="3"/>
      <c r="BG556" s="3"/>
    </row>
    <row r="557" spans="1:59" ht="15">
      <c r="A557" s="66" t="s">
        <v>529</v>
      </c>
      <c r="B557" s="67" t="s">
        <v>4461</v>
      </c>
      <c r="C557" s="67"/>
      <c r="D557" s="68">
        <v>500.0780834102364</v>
      </c>
      <c r="E557" s="70"/>
      <c r="F557" s="97" t="str">
        <f>HYPERLINK("https://i.ytimg.com/vi/cRvqkWrgiWc/default.jpg")</f>
        <v>https://i.ytimg.com/vi/cRvqkWrgiWc/default.jpg</v>
      </c>
      <c r="G557" s="120" t="s">
        <v>52</v>
      </c>
      <c r="H557" s="71" t="s">
        <v>1260</v>
      </c>
      <c r="I557" s="72"/>
      <c r="J557" s="72" t="s">
        <v>159</v>
      </c>
      <c r="K557" s="71" t="s">
        <v>1260</v>
      </c>
      <c r="L557" s="75">
        <v>213.72340425531914</v>
      </c>
      <c r="M557" s="76">
        <v>9892.853515625</v>
      </c>
      <c r="N557" s="76">
        <v>8411.0458984375</v>
      </c>
      <c r="O557" s="77"/>
      <c r="P557" s="78"/>
      <c r="Q557" s="78"/>
      <c r="R557" s="82"/>
      <c r="S557" s="48"/>
      <c r="T557" s="48"/>
      <c r="U557" s="49"/>
      <c r="V557" s="49"/>
      <c r="W557" s="49"/>
      <c r="X557" s="49"/>
      <c r="Y557" s="49"/>
      <c r="Z557" s="49"/>
      <c r="AA557" s="73">
        <v>557</v>
      </c>
      <c r="AB557" s="73"/>
      <c r="AC557" s="74"/>
      <c r="AD557" s="80" t="s">
        <v>1260</v>
      </c>
      <c r="AE557" s="80" t="s">
        <v>1937</v>
      </c>
      <c r="AF557" s="80" t="s">
        <v>2546</v>
      </c>
      <c r="AG557" s="80" t="s">
        <v>3096</v>
      </c>
      <c r="AH557" s="80" t="s">
        <v>3672</v>
      </c>
      <c r="AI557" s="80">
        <v>3343</v>
      </c>
      <c r="AJ557" s="80">
        <v>2</v>
      </c>
      <c r="AK557" s="80">
        <v>13</v>
      </c>
      <c r="AL557" s="80">
        <v>1</v>
      </c>
      <c r="AM557" s="80" t="s">
        <v>4098</v>
      </c>
      <c r="AN557" s="96" t="str">
        <f>HYPERLINK("https://www.youtube.com/watch?v=cRvqkWrgiWc")</f>
        <v>https://www.youtube.com/watch?v=cRvqkWrgiWc</v>
      </c>
      <c r="AO557" s="80" t="e">
        <f>REPLACE(INDEX(GroupVertices[Group],MATCH(Vertices[[#This Row],[Vertex]],GroupVertices[Vertex],0)),1,1,"")</f>
        <v>#N/A</v>
      </c>
      <c r="AP557" s="48"/>
      <c r="AQ557" s="49"/>
      <c r="AR557" s="48"/>
      <c r="AS557" s="49"/>
      <c r="AT557" s="48"/>
      <c r="AU557" s="49"/>
      <c r="AV557" s="48"/>
      <c r="AW557" s="49"/>
      <c r="AX557" s="48"/>
      <c r="AY557" s="48"/>
      <c r="AZ557" s="48"/>
      <c r="BA557" s="48"/>
      <c r="BB557" s="48"/>
      <c r="BC557" s="2"/>
      <c r="BD557" s="3"/>
      <c r="BE557" s="3"/>
      <c r="BF557" s="3"/>
      <c r="BG557" s="3"/>
    </row>
    <row r="558" spans="1:59" ht="15">
      <c r="A558" s="66" t="s">
        <v>386</v>
      </c>
      <c r="B558" s="67" t="s">
        <v>4461</v>
      </c>
      <c r="C558" s="67"/>
      <c r="D558" s="68">
        <v>490.4384641637132</v>
      </c>
      <c r="E558" s="70"/>
      <c r="F558" s="97" t="str">
        <f>HYPERLINK("https://i.ytimg.com/vi/QrkqXvlKZYk/default.jpg")</f>
        <v>https://i.ytimg.com/vi/QrkqXvlKZYk/default.jpg</v>
      </c>
      <c r="G558" s="120" t="s">
        <v>52</v>
      </c>
      <c r="H558" s="71" t="s">
        <v>1093</v>
      </c>
      <c r="I558" s="72"/>
      <c r="J558" s="72" t="s">
        <v>159</v>
      </c>
      <c r="K558" s="71" t="s">
        <v>1093</v>
      </c>
      <c r="L558" s="75">
        <v>213.72340425531914</v>
      </c>
      <c r="M558" s="76">
        <v>4284.64599609375</v>
      </c>
      <c r="N558" s="76">
        <v>219.07489013671875</v>
      </c>
      <c r="O558" s="77"/>
      <c r="P558" s="78"/>
      <c r="Q558" s="78"/>
      <c r="R558" s="82"/>
      <c r="S558" s="48"/>
      <c r="T558" s="48"/>
      <c r="U558" s="49"/>
      <c r="V558" s="49"/>
      <c r="W558" s="49"/>
      <c r="X558" s="49"/>
      <c r="Y558" s="49"/>
      <c r="Z558" s="49"/>
      <c r="AA558" s="73">
        <v>558</v>
      </c>
      <c r="AB558" s="73"/>
      <c r="AC558" s="74"/>
      <c r="AD558" s="80" t="s">
        <v>1093</v>
      </c>
      <c r="AE558" s="80" t="s">
        <v>1798</v>
      </c>
      <c r="AF558" s="80" t="s">
        <v>2424</v>
      </c>
      <c r="AG558" s="80" t="s">
        <v>2997</v>
      </c>
      <c r="AH558" s="80" t="s">
        <v>3507</v>
      </c>
      <c r="AI558" s="80">
        <v>2999</v>
      </c>
      <c r="AJ558" s="80">
        <v>0</v>
      </c>
      <c r="AK558" s="80">
        <v>7</v>
      </c>
      <c r="AL558" s="80">
        <v>1</v>
      </c>
      <c r="AM558" s="80" t="s">
        <v>4098</v>
      </c>
      <c r="AN558" s="96" t="str">
        <f>HYPERLINK("https://www.youtube.com/watch?v=QrkqXvlKZYk")</f>
        <v>https://www.youtube.com/watch?v=QrkqXvlKZYk</v>
      </c>
      <c r="AO558" s="80" t="e">
        <f>REPLACE(INDEX(GroupVertices[Group],MATCH(Vertices[[#This Row],[Vertex]],GroupVertices[Vertex],0)),1,1,"")</f>
        <v>#N/A</v>
      </c>
      <c r="AP558" s="48"/>
      <c r="AQ558" s="49"/>
      <c r="AR558" s="48"/>
      <c r="AS558" s="49"/>
      <c r="AT558" s="48"/>
      <c r="AU558" s="49"/>
      <c r="AV558" s="48"/>
      <c r="AW558" s="49"/>
      <c r="AX558" s="48"/>
      <c r="AY558" s="48"/>
      <c r="AZ558" s="48"/>
      <c r="BA558" s="48"/>
      <c r="BB558" s="48"/>
      <c r="BC558" s="2"/>
      <c r="BD558" s="3"/>
      <c r="BE558" s="3"/>
      <c r="BF558" s="3"/>
      <c r="BG558" s="3"/>
    </row>
    <row r="559" spans="1:59" ht="15">
      <c r="A559" s="66" t="s">
        <v>744</v>
      </c>
      <c r="B559" s="67" t="s">
        <v>4461</v>
      </c>
      <c r="C559" s="67"/>
      <c r="D559" s="68">
        <v>486.7517312855489</v>
      </c>
      <c r="E559" s="70"/>
      <c r="F559" s="97" t="str">
        <f>HYPERLINK("https://i.ytimg.com/vi/8noAx8lj6eg/default.jpg")</f>
        <v>https://i.ytimg.com/vi/8noAx8lj6eg/default.jpg</v>
      </c>
      <c r="G559" s="120" t="s">
        <v>52</v>
      </c>
      <c r="H559" s="71" t="s">
        <v>1485</v>
      </c>
      <c r="I559" s="72"/>
      <c r="J559" s="72" t="s">
        <v>159</v>
      </c>
      <c r="K559" s="71" t="s">
        <v>1485</v>
      </c>
      <c r="L559" s="75">
        <v>213.72340425531914</v>
      </c>
      <c r="M559" s="76">
        <v>3280.9169921875</v>
      </c>
      <c r="N559" s="76">
        <v>4370.86181640625</v>
      </c>
      <c r="O559" s="77"/>
      <c r="P559" s="78"/>
      <c r="Q559" s="78"/>
      <c r="R559" s="82"/>
      <c r="S559" s="48"/>
      <c r="T559" s="48"/>
      <c r="U559" s="49"/>
      <c r="V559" s="49"/>
      <c r="W559" s="49"/>
      <c r="X559" s="49"/>
      <c r="Y559" s="49"/>
      <c r="Z559" s="49"/>
      <c r="AA559" s="73">
        <v>559</v>
      </c>
      <c r="AB559" s="73"/>
      <c r="AC559" s="74"/>
      <c r="AD559" s="80" t="s">
        <v>1485</v>
      </c>
      <c r="AE559" s="80" t="s">
        <v>2140</v>
      </c>
      <c r="AF559" s="80" t="s">
        <v>2728</v>
      </c>
      <c r="AG559" s="80" t="s">
        <v>3254</v>
      </c>
      <c r="AH559" s="80" t="s">
        <v>3898</v>
      </c>
      <c r="AI559" s="80">
        <v>2877</v>
      </c>
      <c r="AJ559" s="80">
        <v>12</v>
      </c>
      <c r="AK559" s="80">
        <v>30</v>
      </c>
      <c r="AL559" s="80">
        <v>1</v>
      </c>
      <c r="AM559" s="80" t="s">
        <v>4098</v>
      </c>
      <c r="AN559" s="96" t="str">
        <f>HYPERLINK("https://www.youtube.com/watch?v=8noAx8lj6eg")</f>
        <v>https://www.youtube.com/watch?v=8noAx8lj6eg</v>
      </c>
      <c r="AO559" s="80" t="e">
        <f>REPLACE(INDEX(GroupVertices[Group],MATCH(Vertices[[#This Row],[Vertex]],GroupVertices[Vertex],0)),1,1,"")</f>
        <v>#N/A</v>
      </c>
      <c r="AP559" s="48"/>
      <c r="AQ559" s="49"/>
      <c r="AR559" s="48"/>
      <c r="AS559" s="49"/>
      <c r="AT559" s="48"/>
      <c r="AU559" s="49"/>
      <c r="AV559" s="48"/>
      <c r="AW559" s="49"/>
      <c r="AX559" s="48"/>
      <c r="AY559" s="48"/>
      <c r="AZ559" s="48"/>
      <c r="BA559" s="48"/>
      <c r="BB559" s="48"/>
      <c r="BC559" s="2"/>
      <c r="BD559" s="3"/>
      <c r="BE559" s="3"/>
      <c r="BF559" s="3"/>
      <c r="BG559" s="3"/>
    </row>
    <row r="560" spans="1:59" ht="15">
      <c r="A560" s="66" t="s">
        <v>593</v>
      </c>
      <c r="B560" s="67" t="s">
        <v>4461</v>
      </c>
      <c r="C560" s="67"/>
      <c r="D560" s="68">
        <v>484.84931092992645</v>
      </c>
      <c r="E560" s="70"/>
      <c r="F560" s="97" t="str">
        <f>HYPERLINK("https://i.ytimg.com/vi/n3rBtl9hv1A/default.jpg")</f>
        <v>https://i.ytimg.com/vi/n3rBtl9hv1A/default.jpg</v>
      </c>
      <c r="G560" s="120" t="s">
        <v>52</v>
      </c>
      <c r="H560" s="71" t="s">
        <v>1328</v>
      </c>
      <c r="I560" s="72"/>
      <c r="J560" s="72" t="s">
        <v>159</v>
      </c>
      <c r="K560" s="71" t="s">
        <v>1328</v>
      </c>
      <c r="L560" s="75">
        <v>213.72340425531914</v>
      </c>
      <c r="M560" s="76">
        <v>8849.5341796875</v>
      </c>
      <c r="N560" s="76">
        <v>6512.0498046875</v>
      </c>
      <c r="O560" s="77"/>
      <c r="P560" s="78"/>
      <c r="Q560" s="78"/>
      <c r="R560" s="82"/>
      <c r="S560" s="48"/>
      <c r="T560" s="48"/>
      <c r="U560" s="49"/>
      <c r="V560" s="49"/>
      <c r="W560" s="49"/>
      <c r="X560" s="49"/>
      <c r="Y560" s="49"/>
      <c r="Z560" s="49"/>
      <c r="AA560" s="73">
        <v>560</v>
      </c>
      <c r="AB560" s="73"/>
      <c r="AC560" s="74"/>
      <c r="AD560" s="80" t="s">
        <v>1328</v>
      </c>
      <c r="AE560" s="80" t="s">
        <v>1995</v>
      </c>
      <c r="AF560" s="80" t="s">
        <v>2596</v>
      </c>
      <c r="AG560" s="80" t="s">
        <v>3141</v>
      </c>
      <c r="AH560" s="80" t="s">
        <v>3739</v>
      </c>
      <c r="AI560" s="80">
        <v>2816</v>
      </c>
      <c r="AJ560" s="80">
        <v>0</v>
      </c>
      <c r="AK560" s="80">
        <v>5</v>
      </c>
      <c r="AL560" s="80">
        <v>1</v>
      </c>
      <c r="AM560" s="80" t="s">
        <v>4098</v>
      </c>
      <c r="AN560" s="96" t="str">
        <f>HYPERLINK("https://www.youtube.com/watch?v=n3rBtl9hv1A")</f>
        <v>https://www.youtube.com/watch?v=n3rBtl9hv1A</v>
      </c>
      <c r="AO560" s="80" t="e">
        <f>REPLACE(INDEX(GroupVertices[Group],MATCH(Vertices[[#This Row],[Vertex]],GroupVertices[Vertex],0)),1,1,"")</f>
        <v>#N/A</v>
      </c>
      <c r="AP560" s="48"/>
      <c r="AQ560" s="49"/>
      <c r="AR560" s="48"/>
      <c r="AS560" s="49"/>
      <c r="AT560" s="48"/>
      <c r="AU560" s="49"/>
      <c r="AV560" s="48"/>
      <c r="AW560" s="49"/>
      <c r="AX560" s="48"/>
      <c r="AY560" s="48"/>
      <c r="AZ560" s="48"/>
      <c r="BA560" s="48"/>
      <c r="BB560" s="48"/>
      <c r="BC560" s="2"/>
      <c r="BD560" s="3"/>
      <c r="BE560" s="3"/>
      <c r="BF560" s="3"/>
      <c r="BG560" s="3"/>
    </row>
    <row r="561" spans="1:59" ht="15">
      <c r="A561" s="66" t="s">
        <v>818</v>
      </c>
      <c r="B561" s="67" t="s">
        <v>4461</v>
      </c>
      <c r="C561" s="67"/>
      <c r="D561" s="68">
        <v>471.65247672987476</v>
      </c>
      <c r="E561" s="70"/>
      <c r="F561" s="97" t="str">
        <f>HYPERLINK("https://i.ytimg.com/vi/2ELP6yd21tw/default.jpg")</f>
        <v>https://i.ytimg.com/vi/2ELP6yd21tw/default.jpg</v>
      </c>
      <c r="G561" s="120" t="s">
        <v>52</v>
      </c>
      <c r="H561" s="71" t="s">
        <v>1557</v>
      </c>
      <c r="I561" s="72"/>
      <c r="J561" s="72" t="s">
        <v>159</v>
      </c>
      <c r="K561" s="71" t="s">
        <v>1557</v>
      </c>
      <c r="L561" s="75">
        <v>213.72340425531914</v>
      </c>
      <c r="M561" s="76">
        <v>1225.118896484375</v>
      </c>
      <c r="N561" s="76">
        <v>326.2946472167969</v>
      </c>
      <c r="O561" s="77"/>
      <c r="P561" s="78"/>
      <c r="Q561" s="78"/>
      <c r="R561" s="82"/>
      <c r="S561" s="48"/>
      <c r="T561" s="48"/>
      <c r="U561" s="49"/>
      <c r="V561" s="49"/>
      <c r="W561" s="49"/>
      <c r="X561" s="49"/>
      <c r="Y561" s="49"/>
      <c r="Z561" s="49"/>
      <c r="AA561" s="73">
        <v>561</v>
      </c>
      <c r="AB561" s="73"/>
      <c r="AC561" s="74"/>
      <c r="AD561" s="80" t="s">
        <v>1557</v>
      </c>
      <c r="AE561" s="80"/>
      <c r="AF561" s="80"/>
      <c r="AG561" s="80" t="s">
        <v>3302</v>
      </c>
      <c r="AH561" s="80" t="s">
        <v>3972</v>
      </c>
      <c r="AI561" s="80">
        <v>2427</v>
      </c>
      <c r="AJ561" s="80">
        <v>5</v>
      </c>
      <c r="AK561" s="80">
        <v>51</v>
      </c>
      <c r="AL561" s="80">
        <v>1</v>
      </c>
      <c r="AM561" s="80" t="s">
        <v>4098</v>
      </c>
      <c r="AN561" s="96" t="str">
        <f>HYPERLINK("https://www.youtube.com/watch?v=2ELP6yd21tw")</f>
        <v>https://www.youtube.com/watch?v=2ELP6yd21tw</v>
      </c>
      <c r="AO561" s="80" t="e">
        <f>REPLACE(INDEX(GroupVertices[Group],MATCH(Vertices[[#This Row],[Vertex]],GroupVertices[Vertex],0)),1,1,"")</f>
        <v>#N/A</v>
      </c>
      <c r="AP561" s="48"/>
      <c r="AQ561" s="49"/>
      <c r="AR561" s="48"/>
      <c r="AS561" s="49"/>
      <c r="AT561" s="48"/>
      <c r="AU561" s="49"/>
      <c r="AV561" s="48"/>
      <c r="AW561" s="49"/>
      <c r="AX561" s="48"/>
      <c r="AY561" s="48"/>
      <c r="AZ561" s="48"/>
      <c r="BA561" s="48"/>
      <c r="BB561" s="48"/>
      <c r="BC561" s="2"/>
      <c r="BD561" s="3"/>
      <c r="BE561" s="3"/>
      <c r="BF561" s="3"/>
      <c r="BG561" s="3"/>
    </row>
    <row r="562" spans="1:59" ht="15">
      <c r="A562" s="66" t="s">
        <v>726</v>
      </c>
      <c r="B562" s="67" t="s">
        <v>4461</v>
      </c>
      <c r="C562" s="67"/>
      <c r="D562" s="68">
        <v>466.06707717784786</v>
      </c>
      <c r="E562" s="70"/>
      <c r="F562" s="97" t="str">
        <f>HYPERLINK("https://i.ytimg.com/vi/l8xv-qWMeQw/default.jpg")</f>
        <v>https://i.ytimg.com/vi/l8xv-qWMeQw/default.jpg</v>
      </c>
      <c r="G562" s="120" t="s">
        <v>52</v>
      </c>
      <c r="H562" s="71" t="s">
        <v>1467</v>
      </c>
      <c r="I562" s="72"/>
      <c r="J562" s="72" t="s">
        <v>159</v>
      </c>
      <c r="K562" s="71" t="s">
        <v>1467</v>
      </c>
      <c r="L562" s="75">
        <v>213.72340425531914</v>
      </c>
      <c r="M562" s="76">
        <v>7001.4189453125</v>
      </c>
      <c r="N562" s="76">
        <v>8160.81005859375</v>
      </c>
      <c r="O562" s="77"/>
      <c r="P562" s="78"/>
      <c r="Q562" s="78"/>
      <c r="R562" s="82"/>
      <c r="S562" s="48"/>
      <c r="T562" s="48"/>
      <c r="U562" s="49"/>
      <c r="V562" s="49"/>
      <c r="W562" s="49"/>
      <c r="X562" s="49"/>
      <c r="Y562" s="49"/>
      <c r="Z562" s="49"/>
      <c r="AA562" s="73">
        <v>562</v>
      </c>
      <c r="AB562" s="73"/>
      <c r="AC562" s="74"/>
      <c r="AD562" s="80" t="s">
        <v>1467</v>
      </c>
      <c r="AE562" s="80" t="s">
        <v>2124</v>
      </c>
      <c r="AF562" s="80" t="s">
        <v>2714</v>
      </c>
      <c r="AG562" s="80" t="s">
        <v>3224</v>
      </c>
      <c r="AH562" s="80" t="s">
        <v>3880</v>
      </c>
      <c r="AI562" s="80">
        <v>2279</v>
      </c>
      <c r="AJ562" s="80">
        <v>1</v>
      </c>
      <c r="AK562" s="80">
        <v>7</v>
      </c>
      <c r="AL562" s="80">
        <v>1</v>
      </c>
      <c r="AM562" s="80" t="s">
        <v>4098</v>
      </c>
      <c r="AN562" s="96" t="str">
        <f>HYPERLINK("https://www.youtube.com/watch?v=l8xv-qWMeQw")</f>
        <v>https://www.youtube.com/watch?v=l8xv-qWMeQw</v>
      </c>
      <c r="AO562" s="80" t="e">
        <f>REPLACE(INDEX(GroupVertices[Group],MATCH(Vertices[[#This Row],[Vertex]],GroupVertices[Vertex],0)),1,1,"")</f>
        <v>#N/A</v>
      </c>
      <c r="AP562" s="48"/>
      <c r="AQ562" s="49"/>
      <c r="AR562" s="48"/>
      <c r="AS562" s="49"/>
      <c r="AT562" s="48"/>
      <c r="AU562" s="49"/>
      <c r="AV562" s="48"/>
      <c r="AW562" s="49"/>
      <c r="AX562" s="48"/>
      <c r="AY562" s="48"/>
      <c r="AZ562" s="48"/>
      <c r="BA562" s="48"/>
      <c r="BB562" s="48"/>
      <c r="BC562" s="2"/>
      <c r="BD562" s="3"/>
      <c r="BE562" s="3"/>
      <c r="BF562" s="3"/>
      <c r="BG562" s="3"/>
    </row>
    <row r="563" spans="1:59" ht="15">
      <c r="A563" s="66" t="s">
        <v>547</v>
      </c>
      <c r="B563" s="67" t="s">
        <v>4461</v>
      </c>
      <c r="C563" s="67"/>
      <c r="D563" s="68">
        <v>465.79399537659725</v>
      </c>
      <c r="E563" s="70"/>
      <c r="F563" s="97" t="str">
        <f>HYPERLINK("https://i.ytimg.com/vi/hstzxKOvRlc/default.jpg")</f>
        <v>https://i.ytimg.com/vi/hstzxKOvRlc/default.jpg</v>
      </c>
      <c r="G563" s="120" t="s">
        <v>52</v>
      </c>
      <c r="H563" s="71" t="s">
        <v>1279</v>
      </c>
      <c r="I563" s="72"/>
      <c r="J563" s="72" t="s">
        <v>159</v>
      </c>
      <c r="K563" s="71" t="s">
        <v>1279</v>
      </c>
      <c r="L563" s="75">
        <v>213.72340425531914</v>
      </c>
      <c r="M563" s="76">
        <v>3025.175048828125</v>
      </c>
      <c r="N563" s="76">
        <v>7463.35400390625</v>
      </c>
      <c r="O563" s="77"/>
      <c r="P563" s="78"/>
      <c r="Q563" s="78"/>
      <c r="R563" s="82"/>
      <c r="S563" s="48"/>
      <c r="T563" s="48"/>
      <c r="U563" s="49"/>
      <c r="V563" s="49"/>
      <c r="W563" s="49"/>
      <c r="X563" s="49"/>
      <c r="Y563" s="49"/>
      <c r="Z563" s="49"/>
      <c r="AA563" s="73">
        <v>563</v>
      </c>
      <c r="AB563" s="73"/>
      <c r="AC563" s="74"/>
      <c r="AD563" s="80" t="s">
        <v>1279</v>
      </c>
      <c r="AE563" s="80" t="s">
        <v>1953</v>
      </c>
      <c r="AF563" s="80" t="s">
        <v>2561</v>
      </c>
      <c r="AG563" s="80" t="s">
        <v>2985</v>
      </c>
      <c r="AH563" s="80" t="s">
        <v>3691</v>
      </c>
      <c r="AI563" s="80">
        <v>2272</v>
      </c>
      <c r="AJ563" s="80">
        <v>6</v>
      </c>
      <c r="AK563" s="80">
        <v>44</v>
      </c>
      <c r="AL563" s="80">
        <v>1</v>
      </c>
      <c r="AM563" s="80" t="s">
        <v>4098</v>
      </c>
      <c r="AN563" s="96" t="str">
        <f>HYPERLINK("https://www.youtube.com/watch?v=hstzxKOvRlc")</f>
        <v>https://www.youtube.com/watch?v=hstzxKOvRlc</v>
      </c>
      <c r="AO563" s="80" t="e">
        <f>REPLACE(INDEX(GroupVertices[Group],MATCH(Vertices[[#This Row],[Vertex]],GroupVertices[Vertex],0)),1,1,"")</f>
        <v>#N/A</v>
      </c>
      <c r="AP563" s="48"/>
      <c r="AQ563" s="49"/>
      <c r="AR563" s="48"/>
      <c r="AS563" s="49"/>
      <c r="AT563" s="48"/>
      <c r="AU563" s="49"/>
      <c r="AV563" s="48"/>
      <c r="AW563" s="49"/>
      <c r="AX563" s="48"/>
      <c r="AY563" s="48"/>
      <c r="AZ563" s="48"/>
      <c r="BA563" s="48"/>
      <c r="BB563" s="48"/>
      <c r="BC563" s="2"/>
      <c r="BD563" s="3"/>
      <c r="BE563" s="3"/>
      <c r="BF563" s="3"/>
      <c r="BG563" s="3"/>
    </row>
    <row r="564" spans="1:59" ht="15">
      <c r="A564" s="66" t="s">
        <v>794</v>
      </c>
      <c r="B564" s="67" t="s">
        <v>4461</v>
      </c>
      <c r="C564" s="67"/>
      <c r="D564" s="68">
        <v>462.0431111300744</v>
      </c>
      <c r="E564" s="70"/>
      <c r="F564" s="97" t="str">
        <f>HYPERLINK("https://i.ytimg.com/vi/KEECJdIEwho/default.jpg")</f>
        <v>https://i.ytimg.com/vi/KEECJdIEwho/default.jpg</v>
      </c>
      <c r="G564" s="120" t="s">
        <v>52</v>
      </c>
      <c r="H564" s="71" t="s">
        <v>1534</v>
      </c>
      <c r="I564" s="72"/>
      <c r="J564" s="72" t="s">
        <v>159</v>
      </c>
      <c r="K564" s="71" t="s">
        <v>1534</v>
      </c>
      <c r="L564" s="75">
        <v>213.72340425531914</v>
      </c>
      <c r="M564" s="76">
        <v>5812.14208984375</v>
      </c>
      <c r="N564" s="76">
        <v>7927.046875</v>
      </c>
      <c r="O564" s="77"/>
      <c r="P564" s="78"/>
      <c r="Q564" s="78"/>
      <c r="R564" s="82"/>
      <c r="S564" s="48"/>
      <c r="T564" s="48"/>
      <c r="U564" s="49"/>
      <c r="V564" s="49"/>
      <c r="W564" s="49"/>
      <c r="X564" s="49"/>
      <c r="Y564" s="49"/>
      <c r="Z564" s="49"/>
      <c r="AA564" s="73">
        <v>564</v>
      </c>
      <c r="AB564" s="73"/>
      <c r="AC564" s="74"/>
      <c r="AD564" s="80" t="s">
        <v>1534</v>
      </c>
      <c r="AE564" s="80" t="s">
        <v>2183</v>
      </c>
      <c r="AF564" s="80" t="s">
        <v>2769</v>
      </c>
      <c r="AG564" s="80" t="s">
        <v>3286</v>
      </c>
      <c r="AH564" s="80" t="s">
        <v>3948</v>
      </c>
      <c r="AI564" s="80">
        <v>2178</v>
      </c>
      <c r="AJ564" s="80">
        <v>2</v>
      </c>
      <c r="AK564" s="80">
        <v>11</v>
      </c>
      <c r="AL564" s="80">
        <v>1</v>
      </c>
      <c r="AM564" s="80" t="s">
        <v>4098</v>
      </c>
      <c r="AN564" s="96" t="str">
        <f>HYPERLINK("https://www.youtube.com/watch?v=KEECJdIEwho")</f>
        <v>https://www.youtube.com/watch?v=KEECJdIEwho</v>
      </c>
      <c r="AO564" s="80" t="e">
        <f>REPLACE(INDEX(GroupVertices[Group],MATCH(Vertices[[#This Row],[Vertex]],GroupVertices[Vertex],0)),1,1,"")</f>
        <v>#N/A</v>
      </c>
      <c r="AP564" s="48"/>
      <c r="AQ564" s="49"/>
      <c r="AR564" s="48"/>
      <c r="AS564" s="49"/>
      <c r="AT564" s="48"/>
      <c r="AU564" s="49"/>
      <c r="AV564" s="48"/>
      <c r="AW564" s="49"/>
      <c r="AX564" s="48"/>
      <c r="AY564" s="48"/>
      <c r="AZ564" s="48"/>
      <c r="BA564" s="48"/>
      <c r="BB564" s="48"/>
      <c r="BC564" s="2"/>
      <c r="BD564" s="3"/>
      <c r="BE564" s="3"/>
      <c r="BF564" s="3"/>
      <c r="BG564" s="3"/>
    </row>
    <row r="565" spans="1:59" ht="15">
      <c r="A565" s="66" t="s">
        <v>754</v>
      </c>
      <c r="B565" s="67" t="s">
        <v>4461</v>
      </c>
      <c r="C565" s="67"/>
      <c r="D565" s="68">
        <v>460.1065117012853</v>
      </c>
      <c r="E565" s="70"/>
      <c r="F565" s="97" t="str">
        <f>HYPERLINK("https://i.ytimg.com/vi/kzTIlameVuU/default.jpg")</f>
        <v>https://i.ytimg.com/vi/kzTIlameVuU/default.jpg</v>
      </c>
      <c r="G565" s="120" t="s">
        <v>52</v>
      </c>
      <c r="H565" s="71" t="s">
        <v>1494</v>
      </c>
      <c r="I565" s="72"/>
      <c r="J565" s="72" t="s">
        <v>159</v>
      </c>
      <c r="K565" s="71" t="s">
        <v>1494</v>
      </c>
      <c r="L565" s="75">
        <v>213.72340425531914</v>
      </c>
      <c r="M565" s="76">
        <v>3297.05419921875</v>
      </c>
      <c r="N565" s="76">
        <v>8618.7294921875</v>
      </c>
      <c r="O565" s="77"/>
      <c r="P565" s="78"/>
      <c r="Q565" s="78"/>
      <c r="R565" s="82"/>
      <c r="S565" s="48"/>
      <c r="T565" s="48"/>
      <c r="U565" s="49"/>
      <c r="V565" s="49"/>
      <c r="W565" s="49"/>
      <c r="X565" s="49"/>
      <c r="Y565" s="49"/>
      <c r="Z565" s="49"/>
      <c r="AA565" s="73">
        <v>565</v>
      </c>
      <c r="AB565" s="73"/>
      <c r="AC565" s="74"/>
      <c r="AD565" s="80" t="s">
        <v>1494</v>
      </c>
      <c r="AE565" s="80" t="s">
        <v>2150</v>
      </c>
      <c r="AF565" s="80" t="s">
        <v>2736</v>
      </c>
      <c r="AG565" s="80" t="s">
        <v>3057</v>
      </c>
      <c r="AH565" s="80" t="s">
        <v>3908</v>
      </c>
      <c r="AI565" s="80">
        <v>2131</v>
      </c>
      <c r="AJ565" s="80">
        <v>0</v>
      </c>
      <c r="AK565" s="80">
        <v>3</v>
      </c>
      <c r="AL565" s="80">
        <v>1</v>
      </c>
      <c r="AM565" s="80" t="s">
        <v>4098</v>
      </c>
      <c r="AN565" s="96" t="str">
        <f>HYPERLINK("https://www.youtube.com/watch?v=kzTIlameVuU")</f>
        <v>https://www.youtube.com/watch?v=kzTIlameVuU</v>
      </c>
      <c r="AO565" s="80" t="e">
        <f>REPLACE(INDEX(GroupVertices[Group],MATCH(Vertices[[#This Row],[Vertex]],GroupVertices[Vertex],0)),1,1,"")</f>
        <v>#N/A</v>
      </c>
      <c r="AP565" s="48"/>
      <c r="AQ565" s="49"/>
      <c r="AR565" s="48"/>
      <c r="AS565" s="49"/>
      <c r="AT565" s="48"/>
      <c r="AU565" s="49"/>
      <c r="AV565" s="48"/>
      <c r="AW565" s="49"/>
      <c r="AX565" s="48"/>
      <c r="AY565" s="48"/>
      <c r="AZ565" s="48"/>
      <c r="BA565" s="48"/>
      <c r="BB565" s="48"/>
      <c r="BC565" s="2"/>
      <c r="BD565" s="3"/>
      <c r="BE565" s="3"/>
      <c r="BF565" s="3"/>
      <c r="BG565" s="3"/>
    </row>
    <row r="566" spans="1:59" ht="15">
      <c r="A566" s="66" t="s">
        <v>652</v>
      </c>
      <c r="B566" s="67" t="s">
        <v>4461</v>
      </c>
      <c r="C566" s="67"/>
      <c r="D566" s="68">
        <v>453.8956126194988</v>
      </c>
      <c r="E566" s="70"/>
      <c r="F566" s="97" t="str">
        <f>HYPERLINK("https://i.ytimg.com/vi/18_5uOyO5i0/default.jpg")</f>
        <v>https://i.ytimg.com/vi/18_5uOyO5i0/default.jpg</v>
      </c>
      <c r="G566" s="120" t="s">
        <v>52</v>
      </c>
      <c r="H566" s="71" t="s">
        <v>1392</v>
      </c>
      <c r="I566" s="72"/>
      <c r="J566" s="72" t="s">
        <v>159</v>
      </c>
      <c r="K566" s="71" t="s">
        <v>1392</v>
      </c>
      <c r="L566" s="75">
        <v>213.72340425531914</v>
      </c>
      <c r="M566" s="76">
        <v>2887.476318359375</v>
      </c>
      <c r="N566" s="76">
        <v>1980.17138671875</v>
      </c>
      <c r="O566" s="77"/>
      <c r="P566" s="78"/>
      <c r="Q566" s="78"/>
      <c r="R566" s="82"/>
      <c r="S566" s="48"/>
      <c r="T566" s="48"/>
      <c r="U566" s="49"/>
      <c r="V566" s="49"/>
      <c r="W566" s="49"/>
      <c r="X566" s="49"/>
      <c r="Y566" s="49"/>
      <c r="Z566" s="49"/>
      <c r="AA566" s="73">
        <v>566</v>
      </c>
      <c r="AB566" s="73"/>
      <c r="AC566" s="74"/>
      <c r="AD566" s="80" t="s">
        <v>1392</v>
      </c>
      <c r="AE566" s="80" t="s">
        <v>2056</v>
      </c>
      <c r="AF566" s="80" t="s">
        <v>2650</v>
      </c>
      <c r="AG566" s="80" t="s">
        <v>3146</v>
      </c>
      <c r="AH566" s="80" t="s">
        <v>3804</v>
      </c>
      <c r="AI566" s="80">
        <v>1987</v>
      </c>
      <c r="AJ566" s="80">
        <v>3</v>
      </c>
      <c r="AK566" s="80">
        <v>12</v>
      </c>
      <c r="AL566" s="80">
        <v>1</v>
      </c>
      <c r="AM566" s="80" t="s">
        <v>4098</v>
      </c>
      <c r="AN566" s="96" t="str">
        <f>HYPERLINK("https://www.youtube.com/watch?v=18_5uOyO5i0")</f>
        <v>https://www.youtube.com/watch?v=18_5uOyO5i0</v>
      </c>
      <c r="AO566" s="80" t="e">
        <f>REPLACE(INDEX(GroupVertices[Group],MATCH(Vertices[[#This Row],[Vertex]],GroupVertices[Vertex],0)),1,1,"")</f>
        <v>#N/A</v>
      </c>
      <c r="AP566" s="48"/>
      <c r="AQ566" s="49"/>
      <c r="AR566" s="48"/>
      <c r="AS566" s="49"/>
      <c r="AT566" s="48"/>
      <c r="AU566" s="49"/>
      <c r="AV566" s="48"/>
      <c r="AW566" s="49"/>
      <c r="AX566" s="48"/>
      <c r="AY566" s="48"/>
      <c r="AZ566" s="48"/>
      <c r="BA566" s="48"/>
      <c r="BB566" s="48"/>
      <c r="BC566" s="2"/>
      <c r="BD566" s="3"/>
      <c r="BE566" s="3"/>
      <c r="BF566" s="3"/>
      <c r="BG566" s="3"/>
    </row>
    <row r="567" spans="1:59" ht="15">
      <c r="A567" s="66" t="s">
        <v>306</v>
      </c>
      <c r="B567" s="67" t="s">
        <v>4461</v>
      </c>
      <c r="C567" s="67"/>
      <c r="D567" s="68">
        <v>448.4133252884673</v>
      </c>
      <c r="E567" s="70"/>
      <c r="F567" s="97" t="str">
        <f>HYPERLINK("https://i.ytimg.com/vi/pSEmVUbjf2M/default.jpg")</f>
        <v>https://i.ytimg.com/vi/pSEmVUbjf2M/default.jpg</v>
      </c>
      <c r="G567" s="120" t="s">
        <v>52</v>
      </c>
      <c r="H567" s="71" t="s">
        <v>1005</v>
      </c>
      <c r="I567" s="72"/>
      <c r="J567" s="72" t="s">
        <v>159</v>
      </c>
      <c r="K567" s="71" t="s">
        <v>1005</v>
      </c>
      <c r="L567" s="75">
        <v>213.72340425531914</v>
      </c>
      <c r="M567" s="76">
        <v>7844.7080078125</v>
      </c>
      <c r="N567" s="76">
        <v>9548.62890625</v>
      </c>
      <c r="O567" s="77"/>
      <c r="P567" s="78"/>
      <c r="Q567" s="78"/>
      <c r="R567" s="82"/>
      <c r="S567" s="48"/>
      <c r="T567" s="48"/>
      <c r="U567" s="49"/>
      <c r="V567" s="49"/>
      <c r="W567" s="49"/>
      <c r="X567" s="49"/>
      <c r="Y567" s="49"/>
      <c r="Z567" s="49"/>
      <c r="AA567" s="73">
        <v>567</v>
      </c>
      <c r="AB567" s="73"/>
      <c r="AC567" s="74"/>
      <c r="AD567" s="80" t="s">
        <v>1005</v>
      </c>
      <c r="AE567" s="80"/>
      <c r="AF567" s="80" t="s">
        <v>2358</v>
      </c>
      <c r="AG567" s="80" t="s">
        <v>2934</v>
      </c>
      <c r="AH567" s="80" t="s">
        <v>3420</v>
      </c>
      <c r="AI567" s="80">
        <v>1868</v>
      </c>
      <c r="AJ567" s="80">
        <v>1</v>
      </c>
      <c r="AK567" s="80">
        <v>4</v>
      </c>
      <c r="AL567" s="80">
        <v>1</v>
      </c>
      <c r="AM567" s="80" t="s">
        <v>4098</v>
      </c>
      <c r="AN567" s="96" t="str">
        <f>HYPERLINK("https://www.youtube.com/watch?v=pSEmVUbjf2M")</f>
        <v>https://www.youtube.com/watch?v=pSEmVUbjf2M</v>
      </c>
      <c r="AO567" s="80" t="e">
        <f>REPLACE(INDEX(GroupVertices[Group],MATCH(Vertices[[#This Row],[Vertex]],GroupVertices[Vertex],0)),1,1,"")</f>
        <v>#N/A</v>
      </c>
      <c r="AP567" s="48"/>
      <c r="AQ567" s="49"/>
      <c r="AR567" s="48"/>
      <c r="AS567" s="49"/>
      <c r="AT567" s="48"/>
      <c r="AU567" s="49"/>
      <c r="AV567" s="48"/>
      <c r="AW567" s="49"/>
      <c r="AX567" s="48"/>
      <c r="AY567" s="48"/>
      <c r="AZ567" s="48"/>
      <c r="BA567" s="48"/>
      <c r="BB567" s="48"/>
      <c r="BC567" s="2"/>
      <c r="BD567" s="3"/>
      <c r="BE567" s="3"/>
      <c r="BF567" s="3"/>
      <c r="BG567" s="3"/>
    </row>
    <row r="568" spans="1:59" ht="15">
      <c r="A568" s="66" t="s">
        <v>457</v>
      </c>
      <c r="B568" s="67" t="s">
        <v>4461</v>
      </c>
      <c r="C568" s="67"/>
      <c r="D568" s="68">
        <v>437.28979183908064</v>
      </c>
      <c r="E568" s="70"/>
      <c r="F568" s="97" t="str">
        <f>HYPERLINK("https://i.ytimg.com/vi/uGhV1u0F29w/default_live.jpg")</f>
        <v>https://i.ytimg.com/vi/uGhV1u0F29w/default_live.jpg</v>
      </c>
      <c r="G568" s="120" t="s">
        <v>52</v>
      </c>
      <c r="H568" s="71" t="s">
        <v>1168</v>
      </c>
      <c r="I568" s="72"/>
      <c r="J568" s="72" t="s">
        <v>159</v>
      </c>
      <c r="K568" s="71" t="s">
        <v>1168</v>
      </c>
      <c r="L568" s="75">
        <v>213.72340425531914</v>
      </c>
      <c r="M568" s="76">
        <v>3224.84423828125</v>
      </c>
      <c r="N568" s="76">
        <v>2251.813232421875</v>
      </c>
      <c r="O568" s="77"/>
      <c r="P568" s="78"/>
      <c r="Q568" s="78"/>
      <c r="R568" s="82"/>
      <c r="S568" s="48"/>
      <c r="T568" s="48"/>
      <c r="U568" s="49"/>
      <c r="V568" s="49"/>
      <c r="W568" s="49"/>
      <c r="X568" s="49"/>
      <c r="Y568" s="49"/>
      <c r="Z568" s="49"/>
      <c r="AA568" s="73">
        <v>568</v>
      </c>
      <c r="AB568" s="73"/>
      <c r="AC568" s="74"/>
      <c r="AD568" s="80" t="s">
        <v>1168</v>
      </c>
      <c r="AE568" s="80" t="s">
        <v>1857</v>
      </c>
      <c r="AF568" s="80" t="s">
        <v>2477</v>
      </c>
      <c r="AG568" s="80" t="s">
        <v>3035</v>
      </c>
      <c r="AH568" s="80" t="s">
        <v>3581</v>
      </c>
      <c r="AI568" s="80">
        <v>1648</v>
      </c>
      <c r="AJ568" s="80">
        <v>0</v>
      </c>
      <c r="AK568" s="80">
        <v>59</v>
      </c>
      <c r="AL568" s="80">
        <v>1</v>
      </c>
      <c r="AM568" s="80" t="s">
        <v>4098</v>
      </c>
      <c r="AN568" s="96" t="str">
        <f>HYPERLINK("https://www.youtube.com/watch?v=uGhV1u0F29w")</f>
        <v>https://www.youtube.com/watch?v=uGhV1u0F29w</v>
      </c>
      <c r="AO568" s="80" t="e">
        <f>REPLACE(INDEX(GroupVertices[Group],MATCH(Vertices[[#This Row],[Vertex]],GroupVertices[Vertex],0)),1,1,"")</f>
        <v>#N/A</v>
      </c>
      <c r="AP568" s="48"/>
      <c r="AQ568" s="49"/>
      <c r="AR568" s="48"/>
      <c r="AS568" s="49"/>
      <c r="AT568" s="48"/>
      <c r="AU568" s="49"/>
      <c r="AV568" s="48"/>
      <c r="AW568" s="49"/>
      <c r="AX568" s="48"/>
      <c r="AY568" s="48"/>
      <c r="AZ568" s="48"/>
      <c r="BA568" s="48"/>
      <c r="BB568" s="48"/>
      <c r="BC568" s="2"/>
      <c r="BD568" s="3"/>
      <c r="BE568" s="3"/>
      <c r="BF568" s="3"/>
      <c r="BG568" s="3"/>
    </row>
    <row r="569" spans="1:59" ht="15">
      <c r="A569" s="66" t="s">
        <v>329</v>
      </c>
      <c r="B569" s="67" t="s">
        <v>4461</v>
      </c>
      <c r="C569" s="67"/>
      <c r="D569" s="68">
        <v>434.2766015069396</v>
      </c>
      <c r="E569" s="70"/>
      <c r="F569" s="97" t="str">
        <f>HYPERLINK("https://i.ytimg.com/vi/pp1PoMiCQlk/default.jpg")</f>
        <v>https://i.ytimg.com/vi/pp1PoMiCQlk/default.jpg</v>
      </c>
      <c r="G569" s="120" t="s">
        <v>52</v>
      </c>
      <c r="H569" s="71" t="s">
        <v>1030</v>
      </c>
      <c r="I569" s="72"/>
      <c r="J569" s="72" t="s">
        <v>159</v>
      </c>
      <c r="K569" s="71" t="s">
        <v>1030</v>
      </c>
      <c r="L569" s="75">
        <v>213.72340425531914</v>
      </c>
      <c r="M569" s="76">
        <v>5408.060546875</v>
      </c>
      <c r="N569" s="76">
        <v>2679.783935546875</v>
      </c>
      <c r="O569" s="77"/>
      <c r="P569" s="78"/>
      <c r="Q569" s="78"/>
      <c r="R569" s="82"/>
      <c r="S569" s="48"/>
      <c r="T569" s="48"/>
      <c r="U569" s="49"/>
      <c r="V569" s="49"/>
      <c r="W569" s="49"/>
      <c r="X569" s="49"/>
      <c r="Y569" s="49"/>
      <c r="Z569" s="49"/>
      <c r="AA569" s="73">
        <v>569</v>
      </c>
      <c r="AB569" s="73"/>
      <c r="AC569" s="74"/>
      <c r="AD569" s="80" t="s">
        <v>1030</v>
      </c>
      <c r="AE569" s="80"/>
      <c r="AF569" s="80" t="s">
        <v>2374</v>
      </c>
      <c r="AG569" s="80" t="s">
        <v>2959</v>
      </c>
      <c r="AH569" s="80" t="s">
        <v>3445</v>
      </c>
      <c r="AI569" s="80">
        <v>1593</v>
      </c>
      <c r="AJ569" s="80">
        <v>0</v>
      </c>
      <c r="AK569" s="80">
        <v>18</v>
      </c>
      <c r="AL569" s="80">
        <v>1</v>
      </c>
      <c r="AM569" s="80" t="s">
        <v>4098</v>
      </c>
      <c r="AN569" s="96" t="str">
        <f>HYPERLINK("https://www.youtube.com/watch?v=pp1PoMiCQlk")</f>
        <v>https://www.youtube.com/watch?v=pp1PoMiCQlk</v>
      </c>
      <c r="AO569" s="80" t="e">
        <f>REPLACE(INDEX(GroupVertices[Group],MATCH(Vertices[[#This Row],[Vertex]],GroupVertices[Vertex],0)),1,1,"")</f>
        <v>#N/A</v>
      </c>
      <c r="AP569" s="48"/>
      <c r="AQ569" s="49"/>
      <c r="AR569" s="48"/>
      <c r="AS569" s="49"/>
      <c r="AT569" s="48"/>
      <c r="AU569" s="49"/>
      <c r="AV569" s="48"/>
      <c r="AW569" s="49"/>
      <c r="AX569" s="48"/>
      <c r="AY569" s="48"/>
      <c r="AZ569" s="48"/>
      <c r="BA569" s="48"/>
      <c r="BB569" s="48"/>
      <c r="BC569" s="2"/>
      <c r="BD569" s="3"/>
      <c r="BE569" s="3"/>
      <c r="BF569" s="3"/>
      <c r="BG569" s="3"/>
    </row>
    <row r="570" spans="1:59" ht="15">
      <c r="A570" s="66" t="s">
        <v>810</v>
      </c>
      <c r="B570" s="67" t="s">
        <v>4461</v>
      </c>
      <c r="C570" s="67"/>
      <c r="D570" s="68">
        <v>419.320300086108</v>
      </c>
      <c r="E570" s="70"/>
      <c r="F570" s="97" t="str">
        <f>HYPERLINK("https://i.ytimg.com/vi/2aZ97hyP0LA/default.jpg")</f>
        <v>https://i.ytimg.com/vi/2aZ97hyP0LA/default.jpg</v>
      </c>
      <c r="G570" s="120" t="s">
        <v>52</v>
      </c>
      <c r="H570" s="71" t="s">
        <v>1550</v>
      </c>
      <c r="I570" s="72"/>
      <c r="J570" s="72" t="s">
        <v>159</v>
      </c>
      <c r="K570" s="71" t="s">
        <v>1550</v>
      </c>
      <c r="L570" s="75">
        <v>213.72340425531914</v>
      </c>
      <c r="M570" s="76">
        <v>1915.7542724609375</v>
      </c>
      <c r="N570" s="76">
        <v>434.71734619140625</v>
      </c>
      <c r="O570" s="77"/>
      <c r="P570" s="78"/>
      <c r="Q570" s="78"/>
      <c r="R570" s="82"/>
      <c r="S570" s="48"/>
      <c r="T570" s="48"/>
      <c r="U570" s="49"/>
      <c r="V570" s="49"/>
      <c r="W570" s="49"/>
      <c r="X570" s="49"/>
      <c r="Y570" s="49"/>
      <c r="Z570" s="49"/>
      <c r="AA570" s="73">
        <v>570</v>
      </c>
      <c r="AB570" s="73"/>
      <c r="AC570" s="74"/>
      <c r="AD570" s="80" t="s">
        <v>1550</v>
      </c>
      <c r="AE570" s="80" t="s">
        <v>2198</v>
      </c>
      <c r="AF570" s="80" t="s">
        <v>2783</v>
      </c>
      <c r="AG570" s="80" t="s">
        <v>3297</v>
      </c>
      <c r="AH570" s="80" t="s">
        <v>3964</v>
      </c>
      <c r="AI570" s="80">
        <v>1346</v>
      </c>
      <c r="AJ570" s="80">
        <v>0</v>
      </c>
      <c r="AK570" s="80">
        <v>11</v>
      </c>
      <c r="AL570" s="80">
        <v>1</v>
      </c>
      <c r="AM570" s="80" t="s">
        <v>4098</v>
      </c>
      <c r="AN570" s="96" t="str">
        <f>HYPERLINK("https://www.youtube.com/watch?v=2aZ97hyP0LA")</f>
        <v>https://www.youtube.com/watch?v=2aZ97hyP0LA</v>
      </c>
      <c r="AO570" s="80" t="e">
        <f>REPLACE(INDEX(GroupVertices[Group],MATCH(Vertices[[#This Row],[Vertex]],GroupVertices[Vertex],0)),1,1,"")</f>
        <v>#N/A</v>
      </c>
      <c r="AP570" s="48"/>
      <c r="AQ570" s="49"/>
      <c r="AR570" s="48"/>
      <c r="AS570" s="49"/>
      <c r="AT570" s="48"/>
      <c r="AU570" s="49"/>
      <c r="AV570" s="48"/>
      <c r="AW570" s="49"/>
      <c r="AX570" s="48"/>
      <c r="AY570" s="48"/>
      <c r="AZ570" s="48"/>
      <c r="BA570" s="48"/>
      <c r="BB570" s="48"/>
      <c r="BC570" s="2"/>
      <c r="BD570" s="3"/>
      <c r="BE570" s="3"/>
      <c r="BF570" s="3"/>
      <c r="BG570" s="3"/>
    </row>
    <row r="571" spans="1:59" ht="15">
      <c r="A571" s="66" t="s">
        <v>748</v>
      </c>
      <c r="B571" s="67" t="s">
        <v>4461</v>
      </c>
      <c r="C571" s="67"/>
      <c r="D571" s="68">
        <v>414.160898970225</v>
      </c>
      <c r="E571" s="70"/>
      <c r="F571" s="97" t="str">
        <f>HYPERLINK("https://i.ytimg.com/vi/VysJMXyY1K8/default.jpg")</f>
        <v>https://i.ytimg.com/vi/VysJMXyY1K8/default.jpg</v>
      </c>
      <c r="G571" s="120" t="s">
        <v>52</v>
      </c>
      <c r="H571" s="71" t="s">
        <v>1488</v>
      </c>
      <c r="I571" s="72"/>
      <c r="J571" s="72" t="s">
        <v>159</v>
      </c>
      <c r="K571" s="71" t="s">
        <v>1488</v>
      </c>
      <c r="L571" s="75">
        <v>213.72340425531914</v>
      </c>
      <c r="M571" s="76">
        <v>3025.175048828125</v>
      </c>
      <c r="N571" s="76">
        <v>4753.49609375</v>
      </c>
      <c r="O571" s="77"/>
      <c r="P571" s="78"/>
      <c r="Q571" s="78"/>
      <c r="R571" s="82"/>
      <c r="S571" s="48"/>
      <c r="T571" s="48"/>
      <c r="U571" s="49"/>
      <c r="V571" s="49"/>
      <c r="W571" s="49"/>
      <c r="X571" s="49"/>
      <c r="Y571" s="49"/>
      <c r="Z571" s="49"/>
      <c r="AA571" s="73">
        <v>571</v>
      </c>
      <c r="AB571" s="73"/>
      <c r="AC571" s="74"/>
      <c r="AD571" s="80" t="s">
        <v>1488</v>
      </c>
      <c r="AE571" s="80" t="s">
        <v>2144</v>
      </c>
      <c r="AF571" s="80" t="s">
        <v>2730</v>
      </c>
      <c r="AG571" s="80" t="s">
        <v>3257</v>
      </c>
      <c r="AH571" s="80" t="s">
        <v>3902</v>
      </c>
      <c r="AI571" s="80">
        <v>1270</v>
      </c>
      <c r="AJ571" s="80">
        <v>1</v>
      </c>
      <c r="AK571" s="80">
        <v>14</v>
      </c>
      <c r="AL571" s="80">
        <v>1</v>
      </c>
      <c r="AM571" s="80" t="s">
        <v>4098</v>
      </c>
      <c r="AN571" s="96" t="str">
        <f>HYPERLINK("https://www.youtube.com/watch?v=VysJMXyY1K8")</f>
        <v>https://www.youtube.com/watch?v=VysJMXyY1K8</v>
      </c>
      <c r="AO571" s="80" t="e">
        <f>REPLACE(INDEX(GroupVertices[Group],MATCH(Vertices[[#This Row],[Vertex]],GroupVertices[Vertex],0)),1,1,"")</f>
        <v>#N/A</v>
      </c>
      <c r="AP571" s="48"/>
      <c r="AQ571" s="49"/>
      <c r="AR571" s="48"/>
      <c r="AS571" s="49"/>
      <c r="AT571" s="48"/>
      <c r="AU571" s="49"/>
      <c r="AV571" s="48"/>
      <c r="AW571" s="49"/>
      <c r="AX571" s="48"/>
      <c r="AY571" s="48"/>
      <c r="AZ571" s="48"/>
      <c r="BA571" s="48"/>
      <c r="BB571" s="48"/>
      <c r="BC571" s="2"/>
      <c r="BD571" s="3"/>
      <c r="BE571" s="3"/>
      <c r="BF571" s="3"/>
      <c r="BG571" s="3"/>
    </row>
    <row r="572" spans="1:59" ht="15">
      <c r="A572" s="66" t="s">
        <v>279</v>
      </c>
      <c r="B572" s="67" t="s">
        <v>4461</v>
      </c>
      <c r="C572" s="67"/>
      <c r="D572" s="68">
        <v>410.3767602010502</v>
      </c>
      <c r="E572" s="70"/>
      <c r="F572" s="97" t="str">
        <f>HYPERLINK("https://i.ytimg.com/vi/Iad_97PnKbU/default.jpg")</f>
        <v>https://i.ytimg.com/vi/Iad_97PnKbU/default.jpg</v>
      </c>
      <c r="G572" s="120" t="s">
        <v>52</v>
      </c>
      <c r="H572" s="71" t="s">
        <v>975</v>
      </c>
      <c r="I572" s="72"/>
      <c r="J572" s="72" t="s">
        <v>159</v>
      </c>
      <c r="K572" s="71" t="s">
        <v>975</v>
      </c>
      <c r="L572" s="75">
        <v>213.72340425531914</v>
      </c>
      <c r="M572" s="76">
        <v>6665.6484375</v>
      </c>
      <c r="N572" s="76">
        <v>6137.6298828125</v>
      </c>
      <c r="O572" s="77"/>
      <c r="P572" s="78"/>
      <c r="Q572" s="78"/>
      <c r="R572" s="82"/>
      <c r="S572" s="48"/>
      <c r="T572" s="48"/>
      <c r="U572" s="49"/>
      <c r="V572" s="49"/>
      <c r="W572" s="49"/>
      <c r="X572" s="49"/>
      <c r="Y572" s="49"/>
      <c r="Z572" s="49"/>
      <c r="AA572" s="73">
        <v>572</v>
      </c>
      <c r="AB572" s="73"/>
      <c r="AC572" s="74"/>
      <c r="AD572" s="80" t="s">
        <v>975</v>
      </c>
      <c r="AE572" s="80" t="s">
        <v>1698</v>
      </c>
      <c r="AF572" s="80" t="s">
        <v>2331</v>
      </c>
      <c r="AG572" s="80" t="s">
        <v>2909</v>
      </c>
      <c r="AH572" s="80" t="s">
        <v>3390</v>
      </c>
      <c r="AI572" s="80">
        <v>1217</v>
      </c>
      <c r="AJ572" s="80">
        <v>1</v>
      </c>
      <c r="AK572" s="80">
        <v>11</v>
      </c>
      <c r="AL572" s="80">
        <v>1</v>
      </c>
      <c r="AM572" s="80" t="s">
        <v>4098</v>
      </c>
      <c r="AN572" s="96" t="str">
        <f>HYPERLINK("https://www.youtube.com/watch?v=Iad_97PnKbU")</f>
        <v>https://www.youtube.com/watch?v=Iad_97PnKbU</v>
      </c>
      <c r="AO572" s="80" t="e">
        <f>REPLACE(INDEX(GroupVertices[Group],MATCH(Vertices[[#This Row],[Vertex]],GroupVertices[Vertex],0)),1,1,"")</f>
        <v>#N/A</v>
      </c>
      <c r="AP572" s="48"/>
      <c r="AQ572" s="49"/>
      <c r="AR572" s="48"/>
      <c r="AS572" s="49"/>
      <c r="AT572" s="48"/>
      <c r="AU572" s="49"/>
      <c r="AV572" s="48"/>
      <c r="AW572" s="49"/>
      <c r="AX572" s="48"/>
      <c r="AY572" s="48"/>
      <c r="AZ572" s="48"/>
      <c r="BA572" s="48"/>
      <c r="BB572" s="48"/>
      <c r="BC572" s="2"/>
      <c r="BD572" s="3"/>
      <c r="BE572" s="3"/>
      <c r="BF572" s="3"/>
      <c r="BG572" s="3"/>
    </row>
    <row r="573" spans="1:59" ht="15">
      <c r="A573" s="66" t="s">
        <v>698</v>
      </c>
      <c r="B573" s="67" t="s">
        <v>4461</v>
      </c>
      <c r="C573" s="67"/>
      <c r="D573" s="68">
        <v>396.42478738146735</v>
      </c>
      <c r="E573" s="70"/>
      <c r="F573" s="97" t="str">
        <f>HYPERLINK("https://i.ytimg.com/vi/pb1nG1Oge8I/default.jpg")</f>
        <v>https://i.ytimg.com/vi/pb1nG1Oge8I/default.jpg</v>
      </c>
      <c r="G573" s="120" t="s">
        <v>52</v>
      </c>
      <c r="H573" s="71" t="s">
        <v>1439</v>
      </c>
      <c r="I573" s="72"/>
      <c r="J573" s="72" t="s">
        <v>159</v>
      </c>
      <c r="K573" s="71" t="s">
        <v>1439</v>
      </c>
      <c r="L573" s="75">
        <v>213.72340425531914</v>
      </c>
      <c r="M573" s="76">
        <v>9504.7080078125</v>
      </c>
      <c r="N573" s="76">
        <v>2570.56396484375</v>
      </c>
      <c r="O573" s="77"/>
      <c r="P573" s="78"/>
      <c r="Q573" s="78"/>
      <c r="R573" s="82"/>
      <c r="S573" s="48"/>
      <c r="T573" s="48"/>
      <c r="U573" s="49"/>
      <c r="V573" s="49"/>
      <c r="W573" s="49"/>
      <c r="X573" s="49"/>
      <c r="Y573" s="49"/>
      <c r="Z573" s="49"/>
      <c r="AA573" s="73">
        <v>573</v>
      </c>
      <c r="AB573" s="73"/>
      <c r="AC573" s="74"/>
      <c r="AD573" s="80" t="s">
        <v>1439</v>
      </c>
      <c r="AE573" s="80" t="s">
        <v>2096</v>
      </c>
      <c r="AF573" s="80" t="s">
        <v>2687</v>
      </c>
      <c r="AG573" s="80" t="s">
        <v>3221</v>
      </c>
      <c r="AH573" s="80" t="s">
        <v>3851</v>
      </c>
      <c r="AI573" s="80">
        <v>1040</v>
      </c>
      <c r="AJ573" s="80">
        <v>3</v>
      </c>
      <c r="AK573" s="80">
        <v>47</v>
      </c>
      <c r="AL573" s="80">
        <v>1</v>
      </c>
      <c r="AM573" s="80" t="s">
        <v>4098</v>
      </c>
      <c r="AN573" s="96" t="str">
        <f>HYPERLINK("https://www.youtube.com/watch?v=pb1nG1Oge8I")</f>
        <v>https://www.youtube.com/watch?v=pb1nG1Oge8I</v>
      </c>
      <c r="AO573" s="80" t="e">
        <f>REPLACE(INDEX(GroupVertices[Group],MATCH(Vertices[[#This Row],[Vertex]],GroupVertices[Vertex],0)),1,1,"")</f>
        <v>#N/A</v>
      </c>
      <c r="AP573" s="48"/>
      <c r="AQ573" s="49"/>
      <c r="AR573" s="48"/>
      <c r="AS573" s="49"/>
      <c r="AT573" s="48"/>
      <c r="AU573" s="49"/>
      <c r="AV573" s="48"/>
      <c r="AW573" s="49"/>
      <c r="AX573" s="48"/>
      <c r="AY573" s="48"/>
      <c r="AZ573" s="48"/>
      <c r="BA573" s="48"/>
      <c r="BB573" s="48"/>
      <c r="BC573" s="2"/>
      <c r="BD573" s="3"/>
      <c r="BE573" s="3"/>
      <c r="BF573" s="3"/>
      <c r="BG573" s="3"/>
    </row>
    <row r="574" spans="1:59" ht="15">
      <c r="A574" s="66" t="s">
        <v>441</v>
      </c>
      <c r="B574" s="67" t="s">
        <v>4461</v>
      </c>
      <c r="C574" s="67"/>
      <c r="D574" s="68">
        <v>385.3480634956199</v>
      </c>
      <c r="E574" s="70"/>
      <c r="F574" s="97" t="str">
        <f>HYPERLINK("https://i.ytimg.com/vi/6phxTDtpeqo/default.jpg")</f>
        <v>https://i.ytimg.com/vi/6phxTDtpeqo/default.jpg</v>
      </c>
      <c r="G574" s="120" t="s">
        <v>52</v>
      </c>
      <c r="H574" s="71" t="s">
        <v>1150</v>
      </c>
      <c r="I574" s="72"/>
      <c r="J574" s="72" t="s">
        <v>159</v>
      </c>
      <c r="K574" s="71" t="s">
        <v>1150</v>
      </c>
      <c r="L574" s="75">
        <v>213.72340425531914</v>
      </c>
      <c r="M574" s="76">
        <v>2899.396728515625</v>
      </c>
      <c r="N574" s="76">
        <v>8783.759765625</v>
      </c>
      <c r="O574" s="77"/>
      <c r="P574" s="78"/>
      <c r="Q574" s="78"/>
      <c r="R574" s="82"/>
      <c r="S574" s="48"/>
      <c r="T574" s="48"/>
      <c r="U574" s="49"/>
      <c r="V574" s="49"/>
      <c r="W574" s="49"/>
      <c r="X574" s="49"/>
      <c r="Y574" s="49"/>
      <c r="Z574" s="49"/>
      <c r="AA574" s="73">
        <v>574</v>
      </c>
      <c r="AB574" s="73"/>
      <c r="AC574" s="74"/>
      <c r="AD574" s="80" t="s">
        <v>1150</v>
      </c>
      <c r="AE574" s="80"/>
      <c r="AF574" s="80"/>
      <c r="AG574" s="80" t="s">
        <v>3027</v>
      </c>
      <c r="AH574" s="80" t="s">
        <v>3563</v>
      </c>
      <c r="AI574" s="80">
        <v>918</v>
      </c>
      <c r="AJ574" s="80">
        <v>1</v>
      </c>
      <c r="AK574" s="80">
        <v>5</v>
      </c>
      <c r="AL574" s="80">
        <v>1</v>
      </c>
      <c r="AM574" s="80" t="s">
        <v>4098</v>
      </c>
      <c r="AN574" s="96" t="str">
        <f>HYPERLINK("https://www.youtube.com/watch?v=6phxTDtpeqo")</f>
        <v>https://www.youtube.com/watch?v=6phxTDtpeqo</v>
      </c>
      <c r="AO574" s="80" t="e">
        <f>REPLACE(INDEX(GroupVertices[Group],MATCH(Vertices[[#This Row],[Vertex]],GroupVertices[Vertex],0)),1,1,"")</f>
        <v>#N/A</v>
      </c>
      <c r="AP574" s="48"/>
      <c r="AQ574" s="49"/>
      <c r="AR574" s="48"/>
      <c r="AS574" s="49"/>
      <c r="AT574" s="48"/>
      <c r="AU574" s="49"/>
      <c r="AV574" s="48"/>
      <c r="AW574" s="49"/>
      <c r="AX574" s="48"/>
      <c r="AY574" s="48"/>
      <c r="AZ574" s="48"/>
      <c r="BA574" s="48"/>
      <c r="BB574" s="48"/>
      <c r="BC574" s="2"/>
      <c r="BD574" s="3"/>
      <c r="BE574" s="3"/>
      <c r="BF574" s="3"/>
      <c r="BG574" s="3"/>
    </row>
    <row r="575" spans="1:59" ht="15">
      <c r="A575" s="66" t="s">
        <v>695</v>
      </c>
      <c r="B575" s="67" t="s">
        <v>4461</v>
      </c>
      <c r="C575" s="67"/>
      <c r="D575" s="68">
        <v>351.3623425926675</v>
      </c>
      <c r="E575" s="70"/>
      <c r="F575" s="97" t="str">
        <f>HYPERLINK("https://i.ytimg.com/vi/TaXA-_WlMXQ/default.jpg")</f>
        <v>https://i.ytimg.com/vi/TaXA-_WlMXQ/default.jpg</v>
      </c>
      <c r="G575" s="120" t="s">
        <v>52</v>
      </c>
      <c r="H575" s="71" t="s">
        <v>1436</v>
      </c>
      <c r="I575" s="72"/>
      <c r="J575" s="72" t="s">
        <v>159</v>
      </c>
      <c r="K575" s="71" t="s">
        <v>1436</v>
      </c>
      <c r="L575" s="75">
        <v>213.72340425531914</v>
      </c>
      <c r="M575" s="76">
        <v>7712</v>
      </c>
      <c r="N575" s="76">
        <v>2278.018798828125</v>
      </c>
      <c r="O575" s="77"/>
      <c r="P575" s="78"/>
      <c r="Q575" s="78"/>
      <c r="R575" s="82"/>
      <c r="S575" s="48"/>
      <c r="T575" s="48"/>
      <c r="U575" s="49"/>
      <c r="V575" s="49"/>
      <c r="W575" s="49"/>
      <c r="X575" s="49"/>
      <c r="Y575" s="49"/>
      <c r="Z575" s="49"/>
      <c r="AA575" s="73">
        <v>575</v>
      </c>
      <c r="AB575" s="73"/>
      <c r="AC575" s="74"/>
      <c r="AD575" s="80" t="s">
        <v>1436</v>
      </c>
      <c r="AE575" s="80" t="s">
        <v>1436</v>
      </c>
      <c r="AF575" s="80" t="s">
        <v>2684</v>
      </c>
      <c r="AG575" s="80" t="s">
        <v>3219</v>
      </c>
      <c r="AH575" s="80" t="s">
        <v>3848</v>
      </c>
      <c r="AI575" s="80">
        <v>626</v>
      </c>
      <c r="AJ575" s="80">
        <v>5</v>
      </c>
      <c r="AK575" s="80">
        <v>8</v>
      </c>
      <c r="AL575" s="80">
        <v>1</v>
      </c>
      <c r="AM575" s="80" t="s">
        <v>4098</v>
      </c>
      <c r="AN575" s="96" t="str">
        <f>HYPERLINK("https://www.youtube.com/watch?v=TaXA-_WlMXQ")</f>
        <v>https://www.youtube.com/watch?v=TaXA-_WlMXQ</v>
      </c>
      <c r="AO575" s="80" t="e">
        <f>REPLACE(INDEX(GroupVertices[Group],MATCH(Vertices[[#This Row],[Vertex]],GroupVertices[Vertex],0)),1,1,"")</f>
        <v>#N/A</v>
      </c>
      <c r="AP575" s="48"/>
      <c r="AQ575" s="49"/>
      <c r="AR575" s="48"/>
      <c r="AS575" s="49"/>
      <c r="AT575" s="48"/>
      <c r="AU575" s="49"/>
      <c r="AV575" s="48"/>
      <c r="AW575" s="49"/>
      <c r="AX575" s="48"/>
      <c r="AY575" s="48"/>
      <c r="AZ575" s="48"/>
      <c r="BA575" s="48"/>
      <c r="BB575" s="48"/>
      <c r="BC575" s="2"/>
      <c r="BD575" s="3"/>
      <c r="BE575" s="3"/>
      <c r="BF575" s="3"/>
      <c r="BG575" s="3"/>
    </row>
    <row r="576" spans="1:59" ht="15">
      <c r="A576" s="66" t="s">
        <v>352</v>
      </c>
      <c r="B576" s="67" t="s">
        <v>4461</v>
      </c>
      <c r="C576" s="67"/>
      <c r="D576" s="68">
        <v>298.472039586877</v>
      </c>
      <c r="E576" s="70"/>
      <c r="F576" s="97" t="str">
        <f>HYPERLINK("https://i.ytimg.com/vi/jUz1XgQaXVE/default.jpg")</f>
        <v>https://i.ytimg.com/vi/jUz1XgQaXVE/default.jpg</v>
      </c>
      <c r="G576" s="120" t="s">
        <v>52</v>
      </c>
      <c r="H576" s="71" t="s">
        <v>1056</v>
      </c>
      <c r="I576" s="72"/>
      <c r="J576" s="72" t="s">
        <v>159</v>
      </c>
      <c r="K576" s="71" t="s">
        <v>1056</v>
      </c>
      <c r="L576" s="75">
        <v>213.72340425531914</v>
      </c>
      <c r="M576" s="76">
        <v>4702.048828125</v>
      </c>
      <c r="N576" s="76">
        <v>6086.49658203125</v>
      </c>
      <c r="O576" s="77"/>
      <c r="P576" s="78"/>
      <c r="Q576" s="78"/>
      <c r="R576" s="82"/>
      <c r="S576" s="48"/>
      <c r="T576" s="48"/>
      <c r="U576" s="49"/>
      <c r="V576" s="49"/>
      <c r="W576" s="49"/>
      <c r="X576" s="49"/>
      <c r="Y576" s="49"/>
      <c r="Z576" s="49"/>
      <c r="AA576" s="73">
        <v>576</v>
      </c>
      <c r="AB576" s="73"/>
      <c r="AC576" s="74"/>
      <c r="AD576" s="80" t="s">
        <v>1056</v>
      </c>
      <c r="AE576" s="80" t="s">
        <v>1767</v>
      </c>
      <c r="AF576" s="80" t="s">
        <v>2395</v>
      </c>
      <c r="AG576" s="80" t="s">
        <v>2905</v>
      </c>
      <c r="AH576" s="80" t="s">
        <v>3471</v>
      </c>
      <c r="AI576" s="80">
        <v>345</v>
      </c>
      <c r="AJ576" s="80">
        <v>0</v>
      </c>
      <c r="AK576" s="80">
        <v>2</v>
      </c>
      <c r="AL576" s="80">
        <v>1</v>
      </c>
      <c r="AM576" s="80" t="s">
        <v>4098</v>
      </c>
      <c r="AN576" s="96" t="str">
        <f>HYPERLINK("https://www.youtube.com/watch?v=jUz1XgQaXVE")</f>
        <v>https://www.youtube.com/watch?v=jUz1XgQaXVE</v>
      </c>
      <c r="AO576" s="80" t="e">
        <f>REPLACE(INDEX(GroupVertices[Group],MATCH(Vertices[[#This Row],[Vertex]],GroupVertices[Vertex],0)),1,1,"")</f>
        <v>#N/A</v>
      </c>
      <c r="AP576" s="48"/>
      <c r="AQ576" s="49"/>
      <c r="AR576" s="48"/>
      <c r="AS576" s="49"/>
      <c r="AT576" s="48"/>
      <c r="AU576" s="49"/>
      <c r="AV576" s="48"/>
      <c r="AW576" s="49"/>
      <c r="AX576" s="48"/>
      <c r="AY576" s="48"/>
      <c r="AZ576" s="48"/>
      <c r="BA576" s="48"/>
      <c r="BB576" s="48"/>
      <c r="BC576" s="2"/>
      <c r="BD576" s="3"/>
      <c r="BE576" s="3"/>
      <c r="BF576" s="3"/>
      <c r="BG576" s="3"/>
    </row>
    <row r="577" spans="1:59" ht="15">
      <c r="A577" s="66" t="s">
        <v>387</v>
      </c>
      <c r="B577" s="67" t="s">
        <v>4461</v>
      </c>
      <c r="C577" s="67"/>
      <c r="D577" s="68">
        <v>295.5955545417504</v>
      </c>
      <c r="E577" s="70"/>
      <c r="F577" s="97" t="str">
        <f>HYPERLINK("https://i.ytimg.com/vi/CHo24uCrv60/default.jpg")</f>
        <v>https://i.ytimg.com/vi/CHo24uCrv60/default.jpg</v>
      </c>
      <c r="G577" s="120" t="s">
        <v>52</v>
      </c>
      <c r="H577" s="71" t="s">
        <v>1094</v>
      </c>
      <c r="I577" s="72"/>
      <c r="J577" s="72" t="s">
        <v>159</v>
      </c>
      <c r="K577" s="71" t="s">
        <v>1094</v>
      </c>
      <c r="L577" s="75">
        <v>213.72340425531914</v>
      </c>
      <c r="M577" s="76">
        <v>4572.73388671875</v>
      </c>
      <c r="N577" s="76">
        <v>144.4942169189453</v>
      </c>
      <c r="O577" s="77"/>
      <c r="P577" s="78"/>
      <c r="Q577" s="78"/>
      <c r="R577" s="82"/>
      <c r="S577" s="48"/>
      <c r="T577" s="48"/>
      <c r="U577" s="49"/>
      <c r="V577" s="49"/>
      <c r="W577" s="49"/>
      <c r="X577" s="49"/>
      <c r="Y577" s="49"/>
      <c r="Z577" s="49"/>
      <c r="AA577" s="73">
        <v>577</v>
      </c>
      <c r="AB577" s="73"/>
      <c r="AC577" s="74"/>
      <c r="AD577" s="80" t="s">
        <v>1094</v>
      </c>
      <c r="AE577" s="80" t="s">
        <v>1799</v>
      </c>
      <c r="AF577" s="80"/>
      <c r="AG577" s="80" t="s">
        <v>2958</v>
      </c>
      <c r="AH577" s="80" t="s">
        <v>3508</v>
      </c>
      <c r="AI577" s="80">
        <v>334</v>
      </c>
      <c r="AJ577" s="80">
        <v>0</v>
      </c>
      <c r="AK577" s="80">
        <v>4</v>
      </c>
      <c r="AL577" s="80">
        <v>1</v>
      </c>
      <c r="AM577" s="80" t="s">
        <v>4098</v>
      </c>
      <c r="AN577" s="96" t="str">
        <f>HYPERLINK("https://www.youtube.com/watch?v=CHo24uCrv60")</f>
        <v>https://www.youtube.com/watch?v=CHo24uCrv60</v>
      </c>
      <c r="AO577" s="80" t="e">
        <f>REPLACE(INDEX(GroupVertices[Group],MATCH(Vertices[[#This Row],[Vertex]],GroupVertices[Vertex],0)),1,1,"")</f>
        <v>#N/A</v>
      </c>
      <c r="AP577" s="48"/>
      <c r="AQ577" s="49"/>
      <c r="AR577" s="48"/>
      <c r="AS577" s="49"/>
      <c r="AT577" s="48"/>
      <c r="AU577" s="49"/>
      <c r="AV577" s="48"/>
      <c r="AW577" s="49"/>
      <c r="AX577" s="48"/>
      <c r="AY577" s="48"/>
      <c r="AZ577" s="48"/>
      <c r="BA577" s="48"/>
      <c r="BB577" s="48"/>
      <c r="BC577" s="2"/>
      <c r="BD577" s="3"/>
      <c r="BE577" s="3"/>
      <c r="BF577" s="3"/>
      <c r="BG577" s="3"/>
    </row>
    <row r="578" spans="1:59" ht="15">
      <c r="A578" s="66" t="s">
        <v>344</v>
      </c>
      <c r="B578" s="67" t="s">
        <v>4461</v>
      </c>
      <c r="C578" s="67"/>
      <c r="D578" s="68">
        <v>274.38043796768807</v>
      </c>
      <c r="E578" s="70"/>
      <c r="F578" s="97" t="str">
        <f>HYPERLINK("https://i.ytimg.com/vi/hyUQbBOo4kw/default.jpg")</f>
        <v>https://i.ytimg.com/vi/hyUQbBOo4kw/default.jpg</v>
      </c>
      <c r="G578" s="120" t="s">
        <v>52</v>
      </c>
      <c r="H578" s="71" t="s">
        <v>1047</v>
      </c>
      <c r="I578" s="72"/>
      <c r="J578" s="72" t="s">
        <v>159</v>
      </c>
      <c r="K578" s="71" t="s">
        <v>1047</v>
      </c>
      <c r="L578" s="75">
        <v>213.72340425531914</v>
      </c>
      <c r="M578" s="76">
        <v>7494.9345703125</v>
      </c>
      <c r="N578" s="76">
        <v>2432.351806640625</v>
      </c>
      <c r="O578" s="77"/>
      <c r="P578" s="78"/>
      <c r="Q578" s="78"/>
      <c r="R578" s="82"/>
      <c r="S578" s="48"/>
      <c r="T578" s="48"/>
      <c r="U578" s="49"/>
      <c r="V578" s="49"/>
      <c r="W578" s="49"/>
      <c r="X578" s="49"/>
      <c r="Y578" s="49"/>
      <c r="Z578" s="49"/>
      <c r="AA578" s="73">
        <v>578</v>
      </c>
      <c r="AB578" s="73"/>
      <c r="AC578" s="74"/>
      <c r="AD578" s="80" t="s">
        <v>1047</v>
      </c>
      <c r="AE578" s="80" t="s">
        <v>1759</v>
      </c>
      <c r="AF578" s="80" t="s">
        <v>2388</v>
      </c>
      <c r="AG578" s="80" t="s">
        <v>2972</v>
      </c>
      <c r="AH578" s="80" t="s">
        <v>3462</v>
      </c>
      <c r="AI578" s="80">
        <v>263</v>
      </c>
      <c r="AJ578" s="80">
        <v>0</v>
      </c>
      <c r="AK578" s="80">
        <v>6</v>
      </c>
      <c r="AL578" s="80">
        <v>1</v>
      </c>
      <c r="AM578" s="80" t="s">
        <v>4098</v>
      </c>
      <c r="AN578" s="96" t="str">
        <f>HYPERLINK("https://www.youtube.com/watch?v=hyUQbBOo4kw")</f>
        <v>https://www.youtube.com/watch?v=hyUQbBOo4kw</v>
      </c>
      <c r="AO578" s="80" t="e">
        <f>REPLACE(INDEX(GroupVertices[Group],MATCH(Vertices[[#This Row],[Vertex]],GroupVertices[Vertex],0)),1,1,"")</f>
        <v>#N/A</v>
      </c>
      <c r="AP578" s="48"/>
      <c r="AQ578" s="49"/>
      <c r="AR578" s="48"/>
      <c r="AS578" s="49"/>
      <c r="AT578" s="48"/>
      <c r="AU578" s="49"/>
      <c r="AV578" s="48"/>
      <c r="AW578" s="49"/>
      <c r="AX578" s="48"/>
      <c r="AY578" s="48"/>
      <c r="AZ578" s="48"/>
      <c r="BA578" s="48"/>
      <c r="BB578" s="48"/>
      <c r="BC578" s="2"/>
      <c r="BD578" s="3"/>
      <c r="BE578" s="3"/>
      <c r="BF578" s="3"/>
      <c r="BG578" s="3"/>
    </row>
    <row r="579" spans="1:59" ht="15">
      <c r="A579" s="66" t="s">
        <v>456</v>
      </c>
      <c r="B579" s="67" t="s">
        <v>4461</v>
      </c>
      <c r="C579" s="67"/>
      <c r="D579" s="68">
        <v>236.16535880629996</v>
      </c>
      <c r="E579" s="70"/>
      <c r="F579" s="97" t="str">
        <f>HYPERLINK("https://i.ytimg.com/vi/WOwlKLAPi-U/default_live.jpg")</f>
        <v>https://i.ytimg.com/vi/WOwlKLAPi-U/default_live.jpg</v>
      </c>
      <c r="G579" s="120" t="s">
        <v>52</v>
      </c>
      <c r="H579" s="71" t="s">
        <v>1167</v>
      </c>
      <c r="I579" s="72"/>
      <c r="J579" s="72" t="s">
        <v>159</v>
      </c>
      <c r="K579" s="71" t="s">
        <v>1167</v>
      </c>
      <c r="L579" s="75">
        <v>213.72340425531914</v>
      </c>
      <c r="M579" s="76">
        <v>3331.454833984375</v>
      </c>
      <c r="N579" s="76">
        <v>1347.6229248046875</v>
      </c>
      <c r="O579" s="77"/>
      <c r="P579" s="78"/>
      <c r="Q579" s="78"/>
      <c r="R579" s="82"/>
      <c r="S579" s="48"/>
      <c r="T579" s="48"/>
      <c r="U579" s="49"/>
      <c r="V579" s="49"/>
      <c r="W579" s="49"/>
      <c r="X579" s="49"/>
      <c r="Y579" s="49"/>
      <c r="Z579" s="49"/>
      <c r="AA579" s="73">
        <v>579</v>
      </c>
      <c r="AB579" s="73"/>
      <c r="AC579" s="74"/>
      <c r="AD579" s="80" t="s">
        <v>1167</v>
      </c>
      <c r="AE579" s="80" t="s">
        <v>1856</v>
      </c>
      <c r="AF579" s="80" t="s">
        <v>2476</v>
      </c>
      <c r="AG579" s="80" t="s">
        <v>3034</v>
      </c>
      <c r="AH579" s="80" t="s">
        <v>3580</v>
      </c>
      <c r="AI579" s="80">
        <v>171</v>
      </c>
      <c r="AJ579" s="80">
        <v>0</v>
      </c>
      <c r="AK579" s="80">
        <v>18</v>
      </c>
      <c r="AL579" s="80">
        <v>1</v>
      </c>
      <c r="AM579" s="80" t="s">
        <v>4098</v>
      </c>
      <c r="AN579" s="96" t="str">
        <f>HYPERLINK("https://www.youtube.com/watch?v=WOwlKLAPi-U")</f>
        <v>https://www.youtube.com/watch?v=WOwlKLAPi-U</v>
      </c>
      <c r="AO579" s="80" t="e">
        <f>REPLACE(INDEX(GroupVertices[Group],MATCH(Vertices[[#This Row],[Vertex]],GroupVertices[Vertex],0)),1,1,"")</f>
        <v>#N/A</v>
      </c>
      <c r="AP579" s="48"/>
      <c r="AQ579" s="49"/>
      <c r="AR579" s="48"/>
      <c r="AS579" s="49"/>
      <c r="AT579" s="48"/>
      <c r="AU579" s="49"/>
      <c r="AV579" s="48"/>
      <c r="AW579" s="49"/>
      <c r="AX579" s="48"/>
      <c r="AY579" s="48"/>
      <c r="AZ579" s="48"/>
      <c r="BA579" s="48"/>
      <c r="BB579" s="48"/>
      <c r="BC579" s="2"/>
      <c r="BD579" s="3"/>
      <c r="BE579" s="3"/>
      <c r="BF579" s="3"/>
      <c r="BG579" s="3"/>
    </row>
    <row r="580" spans="1:59" ht="15">
      <c r="A580" s="66" t="s">
        <v>218</v>
      </c>
      <c r="B580" s="67" t="s">
        <v>4460</v>
      </c>
      <c r="C580" s="67"/>
      <c r="D580" s="68">
        <v>392.140568485367</v>
      </c>
      <c r="E580" s="70"/>
      <c r="F580" s="97" t="str">
        <f>HYPERLINK("https://i.ytimg.com/vi/r9sKoy-eifg/default.jpg")</f>
        <v>https://i.ytimg.com/vi/r9sKoy-eifg/default.jpg</v>
      </c>
      <c r="G580" s="120" t="s">
        <v>52</v>
      </c>
      <c r="H580" s="71" t="s">
        <v>1022</v>
      </c>
      <c r="I580" s="72"/>
      <c r="J580" s="72" t="s">
        <v>159</v>
      </c>
      <c r="K580" s="71" t="s">
        <v>1022</v>
      </c>
      <c r="L580" s="75">
        <v>213.72340425531914</v>
      </c>
      <c r="M580" s="76">
        <v>5021.25537109375</v>
      </c>
      <c r="N580" s="76">
        <v>2026.390380859375</v>
      </c>
      <c r="O580" s="77"/>
      <c r="P580" s="78"/>
      <c r="Q580" s="78"/>
      <c r="R580" s="82"/>
      <c r="S580" s="48"/>
      <c r="T580" s="48"/>
      <c r="U580" s="49"/>
      <c r="V580" s="49"/>
      <c r="W580" s="49"/>
      <c r="X580" s="49"/>
      <c r="Y580" s="49"/>
      <c r="Z580" s="49"/>
      <c r="AA580" s="73">
        <v>580</v>
      </c>
      <c r="AB580" s="73"/>
      <c r="AC580" s="74"/>
      <c r="AD580" s="80" t="s">
        <v>1022</v>
      </c>
      <c r="AE580" s="80" t="s">
        <v>1739</v>
      </c>
      <c r="AF580" s="80"/>
      <c r="AG580" s="80" t="s">
        <v>2951</v>
      </c>
      <c r="AH580" s="80" t="s">
        <v>3437</v>
      </c>
      <c r="AI580" s="80">
        <v>991</v>
      </c>
      <c r="AJ580" s="80">
        <v>0</v>
      </c>
      <c r="AK580" s="80">
        <v>6</v>
      </c>
      <c r="AL580" s="80">
        <v>0</v>
      </c>
      <c r="AM580" s="80" t="s">
        <v>4098</v>
      </c>
      <c r="AN580" s="96" t="str">
        <f>HYPERLINK("https://www.youtube.com/watch?v=r9sKoy-eifg")</f>
        <v>https://www.youtube.com/watch?v=r9sKoy-eifg</v>
      </c>
      <c r="AO580" s="80" t="e">
        <f>REPLACE(INDEX(GroupVertices[Group],MATCH(Vertices[[#This Row],[Vertex]],GroupVertices[Vertex],0)),1,1,"")</f>
        <v>#N/A</v>
      </c>
      <c r="AP580" s="48"/>
      <c r="AQ580" s="49"/>
      <c r="AR580" s="48"/>
      <c r="AS580" s="49"/>
      <c r="AT580" s="48"/>
      <c r="AU580" s="49"/>
      <c r="AV580" s="48"/>
      <c r="AW580" s="49"/>
      <c r="AX580" s="48"/>
      <c r="AY580" s="119"/>
      <c r="AZ580" s="119"/>
      <c r="BA580" s="119"/>
      <c r="BB580" s="119"/>
      <c r="BC580" s="2"/>
      <c r="BD580" s="3"/>
      <c r="BE580" s="3"/>
      <c r="BF580" s="3"/>
      <c r="BG580" s="3"/>
    </row>
    <row r="581" spans="1:59" ht="15">
      <c r="A581" s="66" t="s">
        <v>212</v>
      </c>
      <c r="B581" s="67" t="s">
        <v>4460</v>
      </c>
      <c r="C581" s="67"/>
      <c r="D581" s="68">
        <v>346.40503709869824</v>
      </c>
      <c r="E581" s="70"/>
      <c r="F581" s="97" t="str">
        <f>HYPERLINK("https://i.ytimg.com/vi/z1RLpnRtdko/default.jpg")</f>
        <v>https://i.ytimg.com/vi/z1RLpnRtdko/default.jpg</v>
      </c>
      <c r="G581" s="120" t="s">
        <v>52</v>
      </c>
      <c r="H581" s="71" t="s">
        <v>1680</v>
      </c>
      <c r="I581" s="72"/>
      <c r="J581" s="72" t="s">
        <v>159</v>
      </c>
      <c r="K581" s="71" t="s">
        <v>1680</v>
      </c>
      <c r="L581" s="75">
        <v>213.72340425531914</v>
      </c>
      <c r="M581" s="76">
        <v>5464.4208984375</v>
      </c>
      <c r="N581" s="76">
        <v>8734.076171875</v>
      </c>
      <c r="O581" s="77"/>
      <c r="P581" s="78"/>
      <c r="Q581" s="78"/>
      <c r="R581" s="48"/>
      <c r="S581" s="48"/>
      <c r="T581" s="48"/>
      <c r="U581" s="49"/>
      <c r="V581" s="49"/>
      <c r="W581" s="49"/>
      <c r="X581" s="49"/>
      <c r="Y581" s="49"/>
      <c r="Z581" s="49"/>
      <c r="AA581" s="73">
        <v>581</v>
      </c>
      <c r="AB581" s="73"/>
      <c r="AC581" s="74"/>
      <c r="AD581" s="80" t="s">
        <v>1680</v>
      </c>
      <c r="AE581" s="80" t="s">
        <v>2314</v>
      </c>
      <c r="AF581" s="80" t="s">
        <v>2375</v>
      </c>
      <c r="AG581" s="80" t="s">
        <v>2900</v>
      </c>
      <c r="AH581" s="80" t="s">
        <v>4097</v>
      </c>
      <c r="AI581" s="80">
        <v>592</v>
      </c>
      <c r="AJ581" s="80">
        <v>2</v>
      </c>
      <c r="AK581" s="80">
        <v>2</v>
      </c>
      <c r="AL581" s="80">
        <v>0</v>
      </c>
      <c r="AM581" s="80" t="s">
        <v>4098</v>
      </c>
      <c r="AN581" s="96" t="str">
        <f>HYPERLINK("https://www.youtube.com/watch?v=z1RLpnRtdko")</f>
        <v>https://www.youtube.com/watch?v=z1RLpnRtdko</v>
      </c>
      <c r="AO581" s="80" t="e">
        <f>REPLACE(INDEX(GroupVertices[Group],MATCH(Vertices[[#This Row],[Vertex]],GroupVertices[Vertex],0)),1,1,"")</f>
        <v>#N/A</v>
      </c>
      <c r="AP581" s="48"/>
      <c r="AQ581" s="49"/>
      <c r="AR581" s="48"/>
      <c r="AS581" s="49"/>
      <c r="AT581" s="48"/>
      <c r="AU581" s="49"/>
      <c r="AV581" s="48"/>
      <c r="AW581" s="49"/>
      <c r="AX581" s="48"/>
      <c r="AY581" s="119"/>
      <c r="AZ581" s="119"/>
      <c r="BA581" s="119"/>
      <c r="BB581" s="119"/>
      <c r="BC581" s="2"/>
      <c r="BD581" s="3"/>
      <c r="BE581" s="3"/>
      <c r="BF581" s="3"/>
      <c r="BG581" s="3"/>
    </row>
    <row r="582" spans="1:59" ht="15">
      <c r="A582" s="66" t="s">
        <v>418</v>
      </c>
      <c r="B582" s="67" t="s">
        <v>4461</v>
      </c>
      <c r="C582" s="67"/>
      <c r="D582" s="68">
        <v>767.2228473736263</v>
      </c>
      <c r="E582" s="70"/>
      <c r="F582" s="97" t="str">
        <f>HYPERLINK("https://i.ytimg.com/vi/c_r1eqwBlWM/default.jpg")</f>
        <v>https://i.ytimg.com/vi/c_r1eqwBlWM/default.jpg</v>
      </c>
      <c r="G582" s="120" t="s">
        <v>52</v>
      </c>
      <c r="H582" s="71" t="s">
        <v>1126</v>
      </c>
      <c r="I582" s="72"/>
      <c r="J582" s="72" t="s">
        <v>159</v>
      </c>
      <c r="K582" s="71" t="s">
        <v>1126</v>
      </c>
      <c r="L582" s="75">
        <v>213.72340425531914</v>
      </c>
      <c r="M582" s="76">
        <v>9602.26953125</v>
      </c>
      <c r="N582" s="76">
        <v>4488.36328125</v>
      </c>
      <c r="O582" s="77"/>
      <c r="P582" s="78"/>
      <c r="Q582" s="78"/>
      <c r="R582" s="82"/>
      <c r="S582" s="48"/>
      <c r="T582" s="48"/>
      <c r="U582" s="49"/>
      <c r="V582" s="49"/>
      <c r="W582" s="49"/>
      <c r="X582" s="49"/>
      <c r="Y582" s="49"/>
      <c r="Z582" s="49"/>
      <c r="AA582" s="73">
        <v>582</v>
      </c>
      <c r="AB582" s="73"/>
      <c r="AC582" s="74"/>
      <c r="AD582" s="80" t="s">
        <v>1126</v>
      </c>
      <c r="AE582" s="80" t="s">
        <v>1823</v>
      </c>
      <c r="AF582" s="80" t="s">
        <v>2443</v>
      </c>
      <c r="AG582" s="80" t="s">
        <v>3009</v>
      </c>
      <c r="AH582" s="80" t="s">
        <v>3539</v>
      </c>
      <c r="AI582" s="80">
        <v>67778</v>
      </c>
      <c r="AJ582" s="80">
        <v>0</v>
      </c>
      <c r="AK582" s="80">
        <v>0</v>
      </c>
      <c r="AL582" s="80">
        <v>0</v>
      </c>
      <c r="AM582" s="80" t="s">
        <v>4098</v>
      </c>
      <c r="AN582" s="96" t="str">
        <f>HYPERLINK("https://www.youtube.com/watch?v=c_r1eqwBlWM")</f>
        <v>https://www.youtube.com/watch?v=c_r1eqwBlWM</v>
      </c>
      <c r="AO582" s="80" t="e">
        <f>REPLACE(INDEX(GroupVertices[Group],MATCH(Vertices[[#This Row],[Vertex]],GroupVertices[Vertex],0)),1,1,"")</f>
        <v>#N/A</v>
      </c>
      <c r="AP582" s="48"/>
      <c r="AQ582" s="49"/>
      <c r="AR582" s="48"/>
      <c r="AS582" s="49"/>
      <c r="AT582" s="48"/>
      <c r="AU582" s="49"/>
      <c r="AV582" s="48"/>
      <c r="AW582" s="49"/>
      <c r="AX582" s="48"/>
      <c r="AY582" s="48"/>
      <c r="AZ582" s="48"/>
      <c r="BA582" s="48"/>
      <c r="BB582" s="48"/>
      <c r="BC582" s="2"/>
      <c r="BD582" s="3"/>
      <c r="BE582" s="3"/>
      <c r="BF582" s="3"/>
      <c r="BG582" s="3"/>
    </row>
    <row r="583" spans="1:59" ht="15">
      <c r="A583" s="66" t="s">
        <v>526</v>
      </c>
      <c r="B583" s="67" t="s">
        <v>4461</v>
      </c>
      <c r="C583" s="67"/>
      <c r="D583" s="68">
        <v>710.6330934524373</v>
      </c>
      <c r="E583" s="70"/>
      <c r="F583" s="97" t="str">
        <f>HYPERLINK("https://i.ytimg.com/vi/HlB8KPeu7vc/default.jpg")</f>
        <v>https://i.ytimg.com/vi/HlB8KPeu7vc/default.jpg</v>
      </c>
      <c r="G583" s="120" t="s">
        <v>52</v>
      </c>
      <c r="H583" s="71" t="s">
        <v>1257</v>
      </c>
      <c r="I583" s="72"/>
      <c r="J583" s="72" t="s">
        <v>159</v>
      </c>
      <c r="K583" s="71" t="s">
        <v>1257</v>
      </c>
      <c r="L583" s="75">
        <v>213.72340425531914</v>
      </c>
      <c r="M583" s="76">
        <v>9377.9443359375</v>
      </c>
      <c r="N583" s="76">
        <v>9366.412109375</v>
      </c>
      <c r="O583" s="77"/>
      <c r="P583" s="78"/>
      <c r="Q583" s="78"/>
      <c r="R583" s="82"/>
      <c r="S583" s="48"/>
      <c r="T583" s="48"/>
      <c r="U583" s="49"/>
      <c r="V583" s="49"/>
      <c r="W583" s="49"/>
      <c r="X583" s="49"/>
      <c r="Y583" s="49"/>
      <c r="Z583" s="49"/>
      <c r="AA583" s="73">
        <v>583</v>
      </c>
      <c r="AB583" s="73"/>
      <c r="AC583" s="74"/>
      <c r="AD583" s="80" t="s">
        <v>1257</v>
      </c>
      <c r="AE583" s="80" t="s">
        <v>1935</v>
      </c>
      <c r="AF583" s="80" t="s">
        <v>2544</v>
      </c>
      <c r="AG583" s="80" t="s">
        <v>3094</v>
      </c>
      <c r="AH583" s="80" t="s">
        <v>3669</v>
      </c>
      <c r="AI583" s="80">
        <v>35829</v>
      </c>
      <c r="AJ583" s="80">
        <v>3</v>
      </c>
      <c r="AK583" s="80">
        <v>25</v>
      </c>
      <c r="AL583" s="80">
        <v>0</v>
      </c>
      <c r="AM583" s="80" t="s">
        <v>4098</v>
      </c>
      <c r="AN583" s="96" t="str">
        <f>HYPERLINK("https://www.youtube.com/watch?v=HlB8KPeu7vc")</f>
        <v>https://www.youtube.com/watch?v=HlB8KPeu7vc</v>
      </c>
      <c r="AO583" s="80" t="e">
        <f>REPLACE(INDEX(GroupVertices[Group],MATCH(Vertices[[#This Row],[Vertex]],GroupVertices[Vertex],0)),1,1,"")</f>
        <v>#N/A</v>
      </c>
      <c r="AP583" s="48"/>
      <c r="AQ583" s="49"/>
      <c r="AR583" s="48"/>
      <c r="AS583" s="49"/>
      <c r="AT583" s="48"/>
      <c r="AU583" s="49"/>
      <c r="AV583" s="48"/>
      <c r="AW583" s="49"/>
      <c r="AX583" s="48"/>
      <c r="AY583" s="48"/>
      <c r="AZ583" s="48"/>
      <c r="BA583" s="48"/>
      <c r="BB583" s="48"/>
      <c r="BC583" s="2"/>
      <c r="BD583" s="3"/>
      <c r="BE583" s="3"/>
      <c r="BF583" s="3"/>
      <c r="BG583" s="3"/>
    </row>
    <row r="584" spans="1:59" ht="15">
      <c r="A584" s="66" t="s">
        <v>864</v>
      </c>
      <c r="B584" s="67" t="s">
        <v>4461</v>
      </c>
      <c r="C584" s="67"/>
      <c r="D584" s="68">
        <v>693.1408599196324</v>
      </c>
      <c r="E584" s="70"/>
      <c r="F584" s="97" t="str">
        <f>HYPERLINK("https://i.ytimg.com/vi/Aw_HkD7s_Yc/default.jpg")</f>
        <v>https://i.ytimg.com/vi/Aw_HkD7s_Yc/default.jpg</v>
      </c>
      <c r="G584" s="120" t="s">
        <v>52</v>
      </c>
      <c r="H584" s="71" t="s">
        <v>1603</v>
      </c>
      <c r="I584" s="72"/>
      <c r="J584" s="72" t="s">
        <v>159</v>
      </c>
      <c r="K584" s="71" t="s">
        <v>1603</v>
      </c>
      <c r="L584" s="75">
        <v>213.72340425531914</v>
      </c>
      <c r="M584" s="76">
        <v>1042.2913818359375</v>
      </c>
      <c r="N584" s="76">
        <v>1522.145751953125</v>
      </c>
      <c r="O584" s="77"/>
      <c r="P584" s="78"/>
      <c r="Q584" s="78"/>
      <c r="R584" s="82"/>
      <c r="S584" s="48"/>
      <c r="T584" s="48"/>
      <c r="U584" s="49"/>
      <c r="V584" s="49"/>
      <c r="W584" s="49"/>
      <c r="X584" s="49"/>
      <c r="Y584" s="49"/>
      <c r="Z584" s="49"/>
      <c r="AA584" s="73">
        <v>584</v>
      </c>
      <c r="AB584" s="73"/>
      <c r="AC584" s="74"/>
      <c r="AD584" s="80" t="s">
        <v>1603</v>
      </c>
      <c r="AE584" s="80" t="s">
        <v>2244</v>
      </c>
      <c r="AF584" s="80" t="s">
        <v>2826</v>
      </c>
      <c r="AG584" s="80" t="s">
        <v>3323</v>
      </c>
      <c r="AH584" s="80" t="s">
        <v>4018</v>
      </c>
      <c r="AI584" s="80">
        <v>29421</v>
      </c>
      <c r="AJ584" s="80">
        <v>0</v>
      </c>
      <c r="AK584" s="80">
        <v>0</v>
      </c>
      <c r="AL584" s="80">
        <v>0</v>
      </c>
      <c r="AM584" s="80" t="s">
        <v>4098</v>
      </c>
      <c r="AN584" s="96" t="str">
        <f>HYPERLINK("https://www.youtube.com/watch?v=Aw_HkD7s_Yc")</f>
        <v>https://www.youtube.com/watch?v=Aw_HkD7s_Yc</v>
      </c>
      <c r="AO584" s="80" t="e">
        <f>REPLACE(INDEX(GroupVertices[Group],MATCH(Vertices[[#This Row],[Vertex]],GroupVertices[Vertex],0)),1,1,"")</f>
        <v>#N/A</v>
      </c>
      <c r="AP584" s="48"/>
      <c r="AQ584" s="49"/>
      <c r="AR584" s="48"/>
      <c r="AS584" s="49"/>
      <c r="AT584" s="48"/>
      <c r="AU584" s="49"/>
      <c r="AV584" s="48"/>
      <c r="AW584" s="49"/>
      <c r="AX584" s="48"/>
      <c r="AY584" s="48"/>
      <c r="AZ584" s="48"/>
      <c r="BA584" s="48"/>
      <c r="BB584" s="48"/>
      <c r="BC584" s="2"/>
      <c r="BD584" s="3"/>
      <c r="BE584" s="3"/>
      <c r="BF584" s="3"/>
      <c r="BG584" s="3"/>
    </row>
    <row r="585" spans="1:59" ht="15">
      <c r="A585" s="66" t="s">
        <v>316</v>
      </c>
      <c r="B585" s="67" t="s">
        <v>4461</v>
      </c>
      <c r="C585" s="67"/>
      <c r="D585" s="68">
        <v>689.8835188709342</v>
      </c>
      <c r="E585" s="70"/>
      <c r="F585" s="97" t="str">
        <f>HYPERLINK("https://i.ytimg.com/vi/JMHhzmoCKC8/default.jpg")</f>
        <v>https://i.ytimg.com/vi/JMHhzmoCKC8/default.jpg</v>
      </c>
      <c r="G585" s="120" t="s">
        <v>52</v>
      </c>
      <c r="H585" s="71" t="s">
        <v>1016</v>
      </c>
      <c r="I585" s="72"/>
      <c r="J585" s="72" t="s">
        <v>159</v>
      </c>
      <c r="K585" s="71" t="s">
        <v>1016</v>
      </c>
      <c r="L585" s="75">
        <v>213.72340425531914</v>
      </c>
      <c r="M585" s="76">
        <v>5894.70556640625</v>
      </c>
      <c r="N585" s="76">
        <v>4480.79052734375</v>
      </c>
      <c r="O585" s="77"/>
      <c r="P585" s="78"/>
      <c r="Q585" s="78"/>
      <c r="R585" s="82"/>
      <c r="S585" s="48"/>
      <c r="T585" s="48"/>
      <c r="U585" s="49"/>
      <c r="V585" s="49"/>
      <c r="W585" s="49"/>
      <c r="X585" s="49"/>
      <c r="Y585" s="49"/>
      <c r="Z585" s="49"/>
      <c r="AA585" s="73">
        <v>585</v>
      </c>
      <c r="AB585" s="73"/>
      <c r="AC585" s="74"/>
      <c r="AD585" s="80" t="s">
        <v>1016</v>
      </c>
      <c r="AE585" s="80" t="s">
        <v>1734</v>
      </c>
      <c r="AF585" s="80" t="s">
        <v>2367</v>
      </c>
      <c r="AG585" s="80" t="s">
        <v>2945</v>
      </c>
      <c r="AH585" s="80" t="s">
        <v>3431</v>
      </c>
      <c r="AI585" s="80">
        <v>28361</v>
      </c>
      <c r="AJ585" s="80">
        <v>8</v>
      </c>
      <c r="AK585" s="80">
        <v>0</v>
      </c>
      <c r="AL585" s="80">
        <v>0</v>
      </c>
      <c r="AM585" s="80" t="s">
        <v>4098</v>
      </c>
      <c r="AN585" s="96" t="str">
        <f>HYPERLINK("https://www.youtube.com/watch?v=JMHhzmoCKC8")</f>
        <v>https://www.youtube.com/watch?v=JMHhzmoCKC8</v>
      </c>
      <c r="AO585" s="80" t="e">
        <f>REPLACE(INDEX(GroupVertices[Group],MATCH(Vertices[[#This Row],[Vertex]],GroupVertices[Vertex],0)),1,1,"")</f>
        <v>#N/A</v>
      </c>
      <c r="AP585" s="48"/>
      <c r="AQ585" s="49"/>
      <c r="AR585" s="48"/>
      <c r="AS585" s="49"/>
      <c r="AT585" s="48"/>
      <c r="AU585" s="49"/>
      <c r="AV585" s="48"/>
      <c r="AW585" s="49"/>
      <c r="AX585" s="48"/>
      <c r="AY585" s="48"/>
      <c r="AZ585" s="48"/>
      <c r="BA585" s="48"/>
      <c r="BB585" s="48"/>
      <c r="BC585" s="2"/>
      <c r="BD585" s="3"/>
      <c r="BE585" s="3"/>
      <c r="BF585" s="3"/>
      <c r="BG585" s="3"/>
    </row>
    <row r="586" spans="1:59" ht="15">
      <c r="A586" s="66" t="s">
        <v>932</v>
      </c>
      <c r="B586" s="67" t="s">
        <v>4461</v>
      </c>
      <c r="C586" s="67"/>
      <c r="D586" s="68">
        <v>682.6613753986654</v>
      </c>
      <c r="E586" s="70"/>
      <c r="F586" s="97" t="str">
        <f>HYPERLINK("https://i.ytimg.com/vi/7SW_FDiY0sg/default.jpg")</f>
        <v>https://i.ytimg.com/vi/7SW_FDiY0sg/default.jpg</v>
      </c>
      <c r="G586" s="120" t="s">
        <v>52</v>
      </c>
      <c r="H586" s="71" t="s">
        <v>1670</v>
      </c>
      <c r="I586" s="72"/>
      <c r="J586" s="72" t="s">
        <v>159</v>
      </c>
      <c r="K586" s="71" t="s">
        <v>1670</v>
      </c>
      <c r="L586" s="75">
        <v>213.72340425531914</v>
      </c>
      <c r="M586" s="76">
        <v>1989.820068359375</v>
      </c>
      <c r="N586" s="76">
        <v>4028.92041015625</v>
      </c>
      <c r="O586" s="77"/>
      <c r="P586" s="78"/>
      <c r="Q586" s="78"/>
      <c r="R586" s="82"/>
      <c r="S586" s="48"/>
      <c r="T586" s="48"/>
      <c r="U586" s="49"/>
      <c r="V586" s="49"/>
      <c r="W586" s="49"/>
      <c r="X586" s="49"/>
      <c r="Y586" s="49"/>
      <c r="Z586" s="49"/>
      <c r="AA586" s="73">
        <v>586</v>
      </c>
      <c r="AB586" s="73"/>
      <c r="AC586" s="74"/>
      <c r="AD586" s="80" t="s">
        <v>1670</v>
      </c>
      <c r="AE586" s="80" t="s">
        <v>2305</v>
      </c>
      <c r="AF586" s="80" t="s">
        <v>2886</v>
      </c>
      <c r="AG586" s="80" t="s">
        <v>3203</v>
      </c>
      <c r="AH586" s="80" t="s">
        <v>4086</v>
      </c>
      <c r="AI586" s="80">
        <v>26145</v>
      </c>
      <c r="AJ586" s="80">
        <v>4</v>
      </c>
      <c r="AK586" s="80">
        <v>52</v>
      </c>
      <c r="AL586" s="80">
        <v>0</v>
      </c>
      <c r="AM586" s="80" t="s">
        <v>4098</v>
      </c>
      <c r="AN586" s="96" t="str">
        <f>HYPERLINK("https://www.youtube.com/watch?v=7SW_FDiY0sg")</f>
        <v>https://www.youtube.com/watch?v=7SW_FDiY0sg</v>
      </c>
      <c r="AO586" s="80" t="e">
        <f>REPLACE(INDEX(GroupVertices[Group],MATCH(Vertices[[#This Row],[Vertex]],GroupVertices[Vertex],0)),1,1,"")</f>
        <v>#N/A</v>
      </c>
      <c r="AP586" s="48"/>
      <c r="AQ586" s="49"/>
      <c r="AR586" s="48"/>
      <c r="AS586" s="49"/>
      <c r="AT586" s="48"/>
      <c r="AU586" s="49"/>
      <c r="AV586" s="48"/>
      <c r="AW586" s="49"/>
      <c r="AX586" s="48"/>
      <c r="AY586" s="48"/>
      <c r="AZ586" s="48"/>
      <c r="BA586" s="48"/>
      <c r="BB586" s="48"/>
      <c r="BC586" s="2"/>
      <c r="BD586" s="3"/>
      <c r="BE586" s="3"/>
      <c r="BF586" s="3"/>
      <c r="BG586" s="3"/>
    </row>
    <row r="587" spans="1:59" ht="15">
      <c r="A587" s="66" t="s">
        <v>682</v>
      </c>
      <c r="B587" s="67" t="s">
        <v>4461</v>
      </c>
      <c r="C587" s="67"/>
      <c r="D587" s="68">
        <v>665.9062982074099</v>
      </c>
      <c r="E587" s="70"/>
      <c r="F587" s="97" t="str">
        <f>HYPERLINK("https://i.ytimg.com/vi/ZMoxU9hvoXY/default.jpg")</f>
        <v>https://i.ytimg.com/vi/ZMoxU9hvoXY/default.jpg</v>
      </c>
      <c r="G587" s="120" t="s">
        <v>52</v>
      </c>
      <c r="H587" s="71" t="s">
        <v>1423</v>
      </c>
      <c r="I587" s="72"/>
      <c r="J587" s="72" t="s">
        <v>159</v>
      </c>
      <c r="K587" s="71" t="s">
        <v>1423</v>
      </c>
      <c r="L587" s="75">
        <v>213.72340425531914</v>
      </c>
      <c r="M587" s="76">
        <v>9230.2265625</v>
      </c>
      <c r="N587" s="76">
        <v>2824.004638671875</v>
      </c>
      <c r="O587" s="77"/>
      <c r="P587" s="78"/>
      <c r="Q587" s="78"/>
      <c r="R587" s="82"/>
      <c r="S587" s="48"/>
      <c r="T587" s="48"/>
      <c r="U587" s="49"/>
      <c r="V587" s="49"/>
      <c r="W587" s="49"/>
      <c r="X587" s="49"/>
      <c r="Y587" s="49"/>
      <c r="Z587" s="49"/>
      <c r="AA587" s="73">
        <v>587</v>
      </c>
      <c r="AB587" s="73"/>
      <c r="AC587" s="74"/>
      <c r="AD587" s="80" t="s">
        <v>1423</v>
      </c>
      <c r="AE587" s="80" t="s">
        <v>2082</v>
      </c>
      <c r="AF587" s="80" t="s">
        <v>2672</v>
      </c>
      <c r="AG587" s="80" t="s">
        <v>3209</v>
      </c>
      <c r="AH587" s="80" t="s">
        <v>3835</v>
      </c>
      <c r="AI587" s="80">
        <v>21648</v>
      </c>
      <c r="AJ587" s="80">
        <v>0</v>
      </c>
      <c r="AK587" s="80">
        <v>0</v>
      </c>
      <c r="AL587" s="80">
        <v>0</v>
      </c>
      <c r="AM587" s="80" t="s">
        <v>4098</v>
      </c>
      <c r="AN587" s="96" t="str">
        <f>HYPERLINK("https://www.youtube.com/watch?v=ZMoxU9hvoXY")</f>
        <v>https://www.youtube.com/watch?v=ZMoxU9hvoXY</v>
      </c>
      <c r="AO587" s="80" t="e">
        <f>REPLACE(INDEX(GroupVertices[Group],MATCH(Vertices[[#This Row],[Vertex]],GroupVertices[Vertex],0)),1,1,"")</f>
        <v>#N/A</v>
      </c>
      <c r="AP587" s="48"/>
      <c r="AQ587" s="49"/>
      <c r="AR587" s="48"/>
      <c r="AS587" s="49"/>
      <c r="AT587" s="48"/>
      <c r="AU587" s="49"/>
      <c r="AV587" s="48"/>
      <c r="AW587" s="49"/>
      <c r="AX587" s="48"/>
      <c r="AY587" s="48"/>
      <c r="AZ587" s="48"/>
      <c r="BA587" s="48"/>
      <c r="BB587" s="48"/>
      <c r="BC587" s="2"/>
      <c r="BD587" s="3"/>
      <c r="BE587" s="3"/>
      <c r="BF587" s="3"/>
      <c r="BG587" s="3"/>
    </row>
    <row r="588" spans="1:59" ht="15">
      <c r="A588" s="66" t="s">
        <v>762</v>
      </c>
      <c r="B588" s="67" t="s">
        <v>4461</v>
      </c>
      <c r="C588" s="67"/>
      <c r="D588" s="68">
        <v>654.5759185292945</v>
      </c>
      <c r="E588" s="70"/>
      <c r="F588" s="97" t="str">
        <f>HYPERLINK("https://i.ytimg.com/vi/7ivjJs7bSVI/default.jpg")</f>
        <v>https://i.ytimg.com/vi/7ivjJs7bSVI/default.jpg</v>
      </c>
      <c r="G588" s="120" t="s">
        <v>52</v>
      </c>
      <c r="H588" s="71" t="s">
        <v>1502</v>
      </c>
      <c r="I588" s="72"/>
      <c r="J588" s="72" t="s">
        <v>159</v>
      </c>
      <c r="K588" s="71" t="s">
        <v>1502</v>
      </c>
      <c r="L588" s="75">
        <v>213.72340425531914</v>
      </c>
      <c r="M588" s="76">
        <v>3797.300537109375</v>
      </c>
      <c r="N588" s="76">
        <v>9176.068359375</v>
      </c>
      <c r="O588" s="77"/>
      <c r="P588" s="78"/>
      <c r="Q588" s="78"/>
      <c r="R588" s="82"/>
      <c r="S588" s="48"/>
      <c r="T588" s="48"/>
      <c r="U588" s="49"/>
      <c r="V588" s="49"/>
      <c r="W588" s="49"/>
      <c r="X588" s="49"/>
      <c r="Y588" s="49"/>
      <c r="Z588" s="49"/>
      <c r="AA588" s="73">
        <v>588</v>
      </c>
      <c r="AB588" s="73"/>
      <c r="AC588" s="74"/>
      <c r="AD588" s="80" t="s">
        <v>1502</v>
      </c>
      <c r="AE588" s="80" t="s">
        <v>2154</v>
      </c>
      <c r="AF588" s="80" t="s">
        <v>2740</v>
      </c>
      <c r="AG588" s="80" t="s">
        <v>3057</v>
      </c>
      <c r="AH588" s="80" t="s">
        <v>3916</v>
      </c>
      <c r="AI588" s="80">
        <v>19054</v>
      </c>
      <c r="AJ588" s="80">
        <v>15</v>
      </c>
      <c r="AK588" s="80">
        <v>144</v>
      </c>
      <c r="AL588" s="80">
        <v>0</v>
      </c>
      <c r="AM588" s="80" t="s">
        <v>4098</v>
      </c>
      <c r="AN588" s="96" t="str">
        <f>HYPERLINK("https://www.youtube.com/watch?v=7ivjJs7bSVI")</f>
        <v>https://www.youtube.com/watch?v=7ivjJs7bSVI</v>
      </c>
      <c r="AO588" s="80" t="e">
        <f>REPLACE(INDEX(GroupVertices[Group],MATCH(Vertices[[#This Row],[Vertex]],GroupVertices[Vertex],0)),1,1,"")</f>
        <v>#N/A</v>
      </c>
      <c r="AP588" s="48"/>
      <c r="AQ588" s="49"/>
      <c r="AR588" s="48"/>
      <c r="AS588" s="49"/>
      <c r="AT588" s="48"/>
      <c r="AU588" s="49"/>
      <c r="AV588" s="48"/>
      <c r="AW588" s="49"/>
      <c r="AX588" s="48"/>
      <c r="AY588" s="48"/>
      <c r="AZ588" s="48"/>
      <c r="BA588" s="48"/>
      <c r="BB588" s="48"/>
      <c r="BC588" s="2"/>
      <c r="BD588" s="3"/>
      <c r="BE588" s="3"/>
      <c r="BF588" s="3"/>
      <c r="BG588" s="3"/>
    </row>
    <row r="589" spans="1:59" ht="15">
      <c r="A589" s="66" t="s">
        <v>427</v>
      </c>
      <c r="B589" s="67" t="s">
        <v>4461</v>
      </c>
      <c r="C589" s="67"/>
      <c r="D589" s="68">
        <v>648.1576866208595</v>
      </c>
      <c r="E589" s="70"/>
      <c r="F589" s="97" t="str">
        <f>HYPERLINK("https://i.ytimg.com/vi/JW8vcqp_EY0/default.jpg")</f>
        <v>https://i.ytimg.com/vi/JW8vcqp_EY0/default.jpg</v>
      </c>
      <c r="G589" s="120" t="s">
        <v>52</v>
      </c>
      <c r="H589" s="71" t="s">
        <v>1135</v>
      </c>
      <c r="I589" s="72"/>
      <c r="J589" s="72" t="s">
        <v>159</v>
      </c>
      <c r="K589" s="71" t="s">
        <v>1135</v>
      </c>
      <c r="L589" s="75">
        <v>213.72340425531914</v>
      </c>
      <c r="M589" s="76">
        <v>8865.861328125</v>
      </c>
      <c r="N589" s="76">
        <v>4425.98046875</v>
      </c>
      <c r="O589" s="77"/>
      <c r="P589" s="78"/>
      <c r="Q589" s="78"/>
      <c r="R589" s="82"/>
      <c r="S589" s="48"/>
      <c r="T589" s="48"/>
      <c r="U589" s="49"/>
      <c r="V589" s="49"/>
      <c r="W589" s="49"/>
      <c r="X589" s="49"/>
      <c r="Y589" s="49"/>
      <c r="Z589" s="49"/>
      <c r="AA589" s="73">
        <v>589</v>
      </c>
      <c r="AB589" s="73"/>
      <c r="AC589" s="74"/>
      <c r="AD589" s="80" t="s">
        <v>1135</v>
      </c>
      <c r="AE589" s="80"/>
      <c r="AF589" s="80" t="s">
        <v>2451</v>
      </c>
      <c r="AG589" s="80" t="s">
        <v>3018</v>
      </c>
      <c r="AH589" s="80" t="s">
        <v>3548</v>
      </c>
      <c r="AI589" s="80">
        <v>17725</v>
      </c>
      <c r="AJ589" s="80">
        <v>6</v>
      </c>
      <c r="AK589" s="80">
        <v>41</v>
      </c>
      <c r="AL589" s="80">
        <v>0</v>
      </c>
      <c r="AM589" s="80" t="s">
        <v>4098</v>
      </c>
      <c r="AN589" s="96" t="str">
        <f>HYPERLINK("https://www.youtube.com/watch?v=JW8vcqp_EY0")</f>
        <v>https://www.youtube.com/watch?v=JW8vcqp_EY0</v>
      </c>
      <c r="AO589" s="80" t="e">
        <f>REPLACE(INDEX(GroupVertices[Group],MATCH(Vertices[[#This Row],[Vertex]],GroupVertices[Vertex],0)),1,1,"")</f>
        <v>#N/A</v>
      </c>
      <c r="AP589" s="48"/>
      <c r="AQ589" s="49"/>
      <c r="AR589" s="48"/>
      <c r="AS589" s="49"/>
      <c r="AT589" s="48"/>
      <c r="AU589" s="49"/>
      <c r="AV589" s="48"/>
      <c r="AW589" s="49"/>
      <c r="AX589" s="48"/>
      <c r="AY589" s="48"/>
      <c r="AZ589" s="48"/>
      <c r="BA589" s="48"/>
      <c r="BB589" s="48"/>
      <c r="BC589" s="2"/>
      <c r="BD589" s="3"/>
      <c r="BE589" s="3"/>
      <c r="BF589" s="3"/>
      <c r="BG589" s="3"/>
    </row>
    <row r="590" spans="1:59" ht="15">
      <c r="A590" s="66" t="s">
        <v>691</v>
      </c>
      <c r="B590" s="67" t="s">
        <v>4461</v>
      </c>
      <c r="C590" s="67"/>
      <c r="D590" s="68">
        <v>645.6536379142558</v>
      </c>
      <c r="E590" s="70"/>
      <c r="F590" s="97" t="str">
        <f>HYPERLINK("https://i.ytimg.com/vi/6LUECXELCcE/default.jpg")</f>
        <v>https://i.ytimg.com/vi/6LUECXELCcE/default.jpg</v>
      </c>
      <c r="G590" s="120" t="s">
        <v>52</v>
      </c>
      <c r="H590" s="71" t="s">
        <v>1432</v>
      </c>
      <c r="I590" s="72"/>
      <c r="J590" s="72" t="s">
        <v>159</v>
      </c>
      <c r="K590" s="71" t="s">
        <v>1432</v>
      </c>
      <c r="L590" s="75">
        <v>213.72340425531914</v>
      </c>
      <c r="M590" s="76">
        <v>8558.75</v>
      </c>
      <c r="N590" s="76">
        <v>1847.07421875</v>
      </c>
      <c r="O590" s="77"/>
      <c r="P590" s="78"/>
      <c r="Q590" s="78"/>
      <c r="R590" s="82"/>
      <c r="S590" s="48"/>
      <c r="T590" s="48"/>
      <c r="U590" s="49"/>
      <c r="V590" s="49"/>
      <c r="W590" s="49"/>
      <c r="X590" s="49"/>
      <c r="Y590" s="49"/>
      <c r="Z590" s="49"/>
      <c r="AA590" s="73">
        <v>590</v>
      </c>
      <c r="AB590" s="73"/>
      <c r="AC590" s="74"/>
      <c r="AD590" s="80" t="s">
        <v>1432</v>
      </c>
      <c r="AE590" s="80" t="s">
        <v>2090</v>
      </c>
      <c r="AF590" s="80" t="s">
        <v>2681</v>
      </c>
      <c r="AG590" s="80" t="s">
        <v>3207</v>
      </c>
      <c r="AH590" s="80" t="s">
        <v>3844</v>
      </c>
      <c r="AI590" s="80">
        <v>17232</v>
      </c>
      <c r="AJ590" s="80">
        <v>26</v>
      </c>
      <c r="AK590" s="80">
        <v>160</v>
      </c>
      <c r="AL590" s="80">
        <v>0</v>
      </c>
      <c r="AM590" s="80" t="s">
        <v>4098</v>
      </c>
      <c r="AN590" s="96" t="str">
        <f>HYPERLINK("https://www.youtube.com/watch?v=6LUECXELCcE")</f>
        <v>https://www.youtube.com/watch?v=6LUECXELCcE</v>
      </c>
      <c r="AO590" s="80" t="e">
        <f>REPLACE(INDEX(GroupVertices[Group],MATCH(Vertices[[#This Row],[Vertex]],GroupVertices[Vertex],0)),1,1,"")</f>
        <v>#N/A</v>
      </c>
      <c r="AP590" s="48"/>
      <c r="AQ590" s="49"/>
      <c r="AR590" s="48"/>
      <c r="AS590" s="49"/>
      <c r="AT590" s="48"/>
      <c r="AU590" s="49"/>
      <c r="AV590" s="48"/>
      <c r="AW590" s="49"/>
      <c r="AX590" s="48"/>
      <c r="AY590" s="48"/>
      <c r="AZ590" s="48"/>
      <c r="BA590" s="48"/>
      <c r="BB590" s="48"/>
      <c r="BC590" s="2"/>
      <c r="BD590" s="3"/>
      <c r="BE590" s="3"/>
      <c r="BF590" s="3"/>
      <c r="BG590" s="3"/>
    </row>
    <row r="591" spans="1:59" ht="15">
      <c r="A591" s="66" t="s">
        <v>789</v>
      </c>
      <c r="B591" s="67" t="s">
        <v>4461</v>
      </c>
      <c r="C591" s="67"/>
      <c r="D591" s="68">
        <v>643.6530795302983</v>
      </c>
      <c r="E591" s="70"/>
      <c r="F591" s="97" t="str">
        <f>HYPERLINK("https://i.ytimg.com/vi/aCVKlteYPcA/default.jpg")</f>
        <v>https://i.ytimg.com/vi/aCVKlteYPcA/default.jpg</v>
      </c>
      <c r="G591" s="120" t="s">
        <v>52</v>
      </c>
      <c r="H591" s="71" t="s">
        <v>1529</v>
      </c>
      <c r="I591" s="72"/>
      <c r="J591" s="72" t="s">
        <v>159</v>
      </c>
      <c r="K591" s="71" t="s">
        <v>1529</v>
      </c>
      <c r="L591" s="75">
        <v>213.72340425531914</v>
      </c>
      <c r="M591" s="76">
        <v>5596.45751953125</v>
      </c>
      <c r="N591" s="76">
        <v>8113.814453125</v>
      </c>
      <c r="O591" s="77"/>
      <c r="P591" s="78"/>
      <c r="Q591" s="78"/>
      <c r="R591" s="82"/>
      <c r="S591" s="48"/>
      <c r="T591" s="48"/>
      <c r="U591" s="49"/>
      <c r="V591" s="49"/>
      <c r="W591" s="49"/>
      <c r="X591" s="49"/>
      <c r="Y591" s="49"/>
      <c r="Z591" s="49"/>
      <c r="AA591" s="73">
        <v>591</v>
      </c>
      <c r="AB591" s="73"/>
      <c r="AC591" s="74"/>
      <c r="AD591" s="80" t="s">
        <v>1529</v>
      </c>
      <c r="AE591" s="80" t="s">
        <v>2178</v>
      </c>
      <c r="AF591" s="80" t="s">
        <v>2764</v>
      </c>
      <c r="AG591" s="80" t="s">
        <v>3283</v>
      </c>
      <c r="AH591" s="80" t="s">
        <v>3943</v>
      </c>
      <c r="AI591" s="80">
        <v>16848</v>
      </c>
      <c r="AJ591" s="80">
        <v>0</v>
      </c>
      <c r="AK591" s="80">
        <v>0</v>
      </c>
      <c r="AL591" s="80">
        <v>0</v>
      </c>
      <c r="AM591" s="80" t="s">
        <v>4098</v>
      </c>
      <c r="AN591" s="96" t="str">
        <f>HYPERLINK("https://www.youtube.com/watch?v=aCVKlteYPcA")</f>
        <v>https://www.youtube.com/watch?v=aCVKlteYPcA</v>
      </c>
      <c r="AO591" s="80" t="e">
        <f>REPLACE(INDEX(GroupVertices[Group],MATCH(Vertices[[#This Row],[Vertex]],GroupVertices[Vertex],0)),1,1,"")</f>
        <v>#N/A</v>
      </c>
      <c r="AP591" s="48"/>
      <c r="AQ591" s="49"/>
      <c r="AR591" s="48"/>
      <c r="AS591" s="49"/>
      <c r="AT591" s="48"/>
      <c r="AU591" s="49"/>
      <c r="AV591" s="48"/>
      <c r="AW591" s="49"/>
      <c r="AX591" s="48"/>
      <c r="AY591" s="48"/>
      <c r="AZ591" s="48"/>
      <c r="BA591" s="48"/>
      <c r="BB591" s="48"/>
      <c r="BC591" s="2"/>
      <c r="BD591" s="3"/>
      <c r="BE591" s="3"/>
      <c r="BF591" s="3"/>
      <c r="BG591" s="3"/>
    </row>
    <row r="592" spans="1:59" ht="15">
      <c r="A592" s="66" t="s">
        <v>338</v>
      </c>
      <c r="B592" s="67" t="s">
        <v>4461</v>
      </c>
      <c r="C592" s="67"/>
      <c r="D592" s="68">
        <v>637.3940522405431</v>
      </c>
      <c r="E592" s="70"/>
      <c r="F592" s="97" t="str">
        <f>HYPERLINK("https://i.ytimg.com/vi/Vm0kjAvH5HM/default.jpg")</f>
        <v>https://i.ytimg.com/vi/Vm0kjAvH5HM/default.jpg</v>
      </c>
      <c r="G592" s="120" t="s">
        <v>52</v>
      </c>
      <c r="H592" s="71" t="s">
        <v>1040</v>
      </c>
      <c r="I592" s="72"/>
      <c r="J592" s="72" t="s">
        <v>159</v>
      </c>
      <c r="K592" s="71" t="s">
        <v>1040</v>
      </c>
      <c r="L592" s="75">
        <v>213.72340425531914</v>
      </c>
      <c r="M592" s="76">
        <v>8056.51904296875</v>
      </c>
      <c r="N592" s="76">
        <v>4871.32373046875</v>
      </c>
      <c r="O592" s="77"/>
      <c r="P592" s="78"/>
      <c r="Q592" s="78"/>
      <c r="R592" s="82"/>
      <c r="S592" s="48"/>
      <c r="T592" s="48"/>
      <c r="U592" s="49"/>
      <c r="V592" s="49"/>
      <c r="W592" s="49"/>
      <c r="X592" s="49"/>
      <c r="Y592" s="49"/>
      <c r="Z592" s="49"/>
      <c r="AA592" s="73">
        <v>592</v>
      </c>
      <c r="AB592" s="73"/>
      <c r="AC592" s="74"/>
      <c r="AD592" s="80" t="s">
        <v>1040</v>
      </c>
      <c r="AE592" s="80" t="s">
        <v>1752</v>
      </c>
      <c r="AF592" s="80"/>
      <c r="AG592" s="80" t="s">
        <v>2960</v>
      </c>
      <c r="AH592" s="80" t="s">
        <v>3455</v>
      </c>
      <c r="AI592" s="80">
        <v>15701</v>
      </c>
      <c r="AJ592" s="80">
        <v>7</v>
      </c>
      <c r="AK592" s="80">
        <v>23</v>
      </c>
      <c r="AL592" s="80">
        <v>0</v>
      </c>
      <c r="AM592" s="80" t="s">
        <v>4098</v>
      </c>
      <c r="AN592" s="96" t="str">
        <f>HYPERLINK("https://www.youtube.com/watch?v=Vm0kjAvH5HM")</f>
        <v>https://www.youtube.com/watch?v=Vm0kjAvH5HM</v>
      </c>
      <c r="AO592" s="80" t="e">
        <f>REPLACE(INDEX(GroupVertices[Group],MATCH(Vertices[[#This Row],[Vertex]],GroupVertices[Vertex],0)),1,1,"")</f>
        <v>#N/A</v>
      </c>
      <c r="AP592" s="48"/>
      <c r="AQ592" s="49"/>
      <c r="AR592" s="48"/>
      <c r="AS592" s="49"/>
      <c r="AT592" s="48"/>
      <c r="AU592" s="49"/>
      <c r="AV592" s="48"/>
      <c r="AW592" s="49"/>
      <c r="AX592" s="48"/>
      <c r="AY592" s="48"/>
      <c r="AZ592" s="48"/>
      <c r="BA592" s="48"/>
      <c r="BB592" s="48"/>
      <c r="BC592" s="2"/>
      <c r="BD592" s="3"/>
      <c r="BE592" s="3"/>
      <c r="BF592" s="3"/>
      <c r="BG592" s="3"/>
    </row>
    <row r="593" spans="1:59" ht="15">
      <c r="A593" s="66" t="s">
        <v>866</v>
      </c>
      <c r="B593" s="67" t="s">
        <v>4461</v>
      </c>
      <c r="C593" s="67"/>
      <c r="D593" s="68">
        <v>621.6142021573388</v>
      </c>
      <c r="E593" s="70"/>
      <c r="F593" s="97" t="str">
        <f>HYPERLINK("https://i.ytimg.com/vi/spQo9z6nGQE/default.jpg")</f>
        <v>https://i.ytimg.com/vi/spQo9z6nGQE/default.jpg</v>
      </c>
      <c r="G593" s="120" t="s">
        <v>52</v>
      </c>
      <c r="H593" s="71" t="s">
        <v>1605</v>
      </c>
      <c r="I593" s="72"/>
      <c r="J593" s="72" t="s">
        <v>159</v>
      </c>
      <c r="K593" s="71" t="s">
        <v>1605</v>
      </c>
      <c r="L593" s="75">
        <v>213.72340425531914</v>
      </c>
      <c r="M593" s="76">
        <v>1198.6483154296875</v>
      </c>
      <c r="N593" s="76">
        <v>5607.5966796875</v>
      </c>
      <c r="O593" s="77"/>
      <c r="P593" s="78"/>
      <c r="Q593" s="78"/>
      <c r="R593" s="82"/>
      <c r="S593" s="48"/>
      <c r="T593" s="48"/>
      <c r="U593" s="49"/>
      <c r="V593" s="49"/>
      <c r="W593" s="49"/>
      <c r="X593" s="49"/>
      <c r="Y593" s="49"/>
      <c r="Z593" s="49"/>
      <c r="AA593" s="73">
        <v>593</v>
      </c>
      <c r="AB593" s="73"/>
      <c r="AC593" s="74"/>
      <c r="AD593" s="80" t="s">
        <v>1605</v>
      </c>
      <c r="AE593" s="80" t="s">
        <v>2213</v>
      </c>
      <c r="AF593" s="80" t="s">
        <v>2797</v>
      </c>
      <c r="AG593" s="80" t="s">
        <v>3054</v>
      </c>
      <c r="AH593" s="80" t="s">
        <v>4020</v>
      </c>
      <c r="AI593" s="80">
        <v>13144</v>
      </c>
      <c r="AJ593" s="80">
        <v>3</v>
      </c>
      <c r="AK593" s="80">
        <v>19</v>
      </c>
      <c r="AL593" s="80">
        <v>0</v>
      </c>
      <c r="AM593" s="80" t="s">
        <v>4098</v>
      </c>
      <c r="AN593" s="96" t="str">
        <f>HYPERLINK("https://www.youtube.com/watch?v=spQo9z6nGQE")</f>
        <v>https://www.youtube.com/watch?v=spQo9z6nGQE</v>
      </c>
      <c r="AO593" s="80" t="e">
        <f>REPLACE(INDEX(GroupVertices[Group],MATCH(Vertices[[#This Row],[Vertex]],GroupVertices[Vertex],0)),1,1,"")</f>
        <v>#N/A</v>
      </c>
      <c r="AP593" s="48"/>
      <c r="AQ593" s="49"/>
      <c r="AR593" s="48"/>
      <c r="AS593" s="49"/>
      <c r="AT593" s="48"/>
      <c r="AU593" s="49"/>
      <c r="AV593" s="48"/>
      <c r="AW593" s="49"/>
      <c r="AX593" s="48"/>
      <c r="AY593" s="48"/>
      <c r="AZ593" s="48"/>
      <c r="BA593" s="48"/>
      <c r="BB593" s="48"/>
      <c r="BC593" s="2"/>
      <c r="BD593" s="3"/>
      <c r="BE593" s="3"/>
      <c r="BF593" s="3"/>
      <c r="BG593" s="3"/>
    </row>
    <row r="594" spans="1:59" ht="15">
      <c r="A594" s="66" t="s">
        <v>637</v>
      </c>
      <c r="B594" s="67" t="s">
        <v>4461</v>
      </c>
      <c r="C594" s="67"/>
      <c r="D594" s="68">
        <v>618.5567390565514</v>
      </c>
      <c r="E594" s="70"/>
      <c r="F594" s="97" t="str">
        <f>HYPERLINK("https://i.ytimg.com/vi/eu1mibcOrN0/default.jpg")</f>
        <v>https://i.ytimg.com/vi/eu1mibcOrN0/default.jpg</v>
      </c>
      <c r="G594" s="120" t="s">
        <v>52</v>
      </c>
      <c r="H594" s="71" t="s">
        <v>1377</v>
      </c>
      <c r="I594" s="72"/>
      <c r="J594" s="72" t="s">
        <v>159</v>
      </c>
      <c r="K594" s="71" t="s">
        <v>1377</v>
      </c>
      <c r="L594" s="75">
        <v>213.72340425531914</v>
      </c>
      <c r="M594" s="76">
        <v>1072.486572265625</v>
      </c>
      <c r="N594" s="76">
        <v>4690.158203125</v>
      </c>
      <c r="O594" s="77"/>
      <c r="P594" s="78"/>
      <c r="Q594" s="78"/>
      <c r="R594" s="82"/>
      <c r="S594" s="48"/>
      <c r="T594" s="48"/>
      <c r="U594" s="49"/>
      <c r="V594" s="49"/>
      <c r="W594" s="49"/>
      <c r="X594" s="49"/>
      <c r="Y594" s="49"/>
      <c r="Z594" s="49"/>
      <c r="AA594" s="73">
        <v>594</v>
      </c>
      <c r="AB594" s="73"/>
      <c r="AC594" s="74"/>
      <c r="AD594" s="80" t="s">
        <v>1377</v>
      </c>
      <c r="AE594" s="80" t="s">
        <v>2043</v>
      </c>
      <c r="AF594" s="80"/>
      <c r="AG594" s="80" t="s">
        <v>2912</v>
      </c>
      <c r="AH594" s="80" t="s">
        <v>3789</v>
      </c>
      <c r="AI594" s="80">
        <v>12699</v>
      </c>
      <c r="AJ594" s="80">
        <v>9</v>
      </c>
      <c r="AK594" s="80">
        <v>65</v>
      </c>
      <c r="AL594" s="80">
        <v>0</v>
      </c>
      <c r="AM594" s="80" t="s">
        <v>4098</v>
      </c>
      <c r="AN594" s="96" t="str">
        <f>HYPERLINK("https://www.youtube.com/watch?v=eu1mibcOrN0")</f>
        <v>https://www.youtube.com/watch?v=eu1mibcOrN0</v>
      </c>
      <c r="AO594" s="80" t="e">
        <f>REPLACE(INDEX(GroupVertices[Group],MATCH(Vertices[[#This Row],[Vertex]],GroupVertices[Vertex],0)),1,1,"")</f>
        <v>#N/A</v>
      </c>
      <c r="AP594" s="48"/>
      <c r="AQ594" s="49"/>
      <c r="AR594" s="48"/>
      <c r="AS594" s="49"/>
      <c r="AT594" s="48"/>
      <c r="AU594" s="49"/>
      <c r="AV594" s="48"/>
      <c r="AW594" s="49"/>
      <c r="AX594" s="48"/>
      <c r="AY594" s="48"/>
      <c r="AZ594" s="48"/>
      <c r="BA594" s="48"/>
      <c r="BB594" s="48"/>
      <c r="BC594" s="2"/>
      <c r="BD594" s="3"/>
      <c r="BE594" s="3"/>
      <c r="BF594" s="3"/>
      <c r="BG594" s="3"/>
    </row>
    <row r="595" spans="1:59" ht="15">
      <c r="A595" s="66" t="s">
        <v>632</v>
      </c>
      <c r="B595" s="67" t="s">
        <v>4461</v>
      </c>
      <c r="C595" s="67"/>
      <c r="D595" s="68">
        <v>616.1476082677261</v>
      </c>
      <c r="E595" s="70"/>
      <c r="F595" s="97" t="str">
        <f>HYPERLINK("https://i.ytimg.com/vi/RMTFP43Ce98/default.jpg")</f>
        <v>https://i.ytimg.com/vi/RMTFP43Ce98/default.jpg</v>
      </c>
      <c r="G595" s="120" t="s">
        <v>52</v>
      </c>
      <c r="H595" s="71" t="s">
        <v>1372</v>
      </c>
      <c r="I595" s="72"/>
      <c r="J595" s="72" t="s">
        <v>159</v>
      </c>
      <c r="K595" s="71" t="s">
        <v>1372</v>
      </c>
      <c r="L595" s="75">
        <v>213.72340425531914</v>
      </c>
      <c r="M595" s="76">
        <v>1862.144287109375</v>
      </c>
      <c r="N595" s="76">
        <v>9507.12890625</v>
      </c>
      <c r="O595" s="77"/>
      <c r="P595" s="78"/>
      <c r="Q595" s="78"/>
      <c r="R595" s="82"/>
      <c r="S595" s="48"/>
      <c r="T595" s="48"/>
      <c r="U595" s="49"/>
      <c r="V595" s="49"/>
      <c r="W595" s="49"/>
      <c r="X595" s="49"/>
      <c r="Y595" s="49"/>
      <c r="Z595" s="49"/>
      <c r="AA595" s="73">
        <v>595</v>
      </c>
      <c r="AB595" s="73"/>
      <c r="AC595" s="74"/>
      <c r="AD595" s="80" t="s">
        <v>1372</v>
      </c>
      <c r="AE595" s="80" t="s">
        <v>2038</v>
      </c>
      <c r="AF595" s="80" t="s">
        <v>2634</v>
      </c>
      <c r="AG595" s="80" t="s">
        <v>3173</v>
      </c>
      <c r="AH595" s="80" t="s">
        <v>3784</v>
      </c>
      <c r="AI595" s="80">
        <v>12359</v>
      </c>
      <c r="AJ595" s="80">
        <v>0</v>
      </c>
      <c r="AK595" s="80">
        <v>20</v>
      </c>
      <c r="AL595" s="80">
        <v>0</v>
      </c>
      <c r="AM595" s="80" t="s">
        <v>4098</v>
      </c>
      <c r="AN595" s="96" t="str">
        <f>HYPERLINK("https://www.youtube.com/watch?v=RMTFP43Ce98")</f>
        <v>https://www.youtube.com/watch?v=RMTFP43Ce98</v>
      </c>
      <c r="AO595" s="80" t="e">
        <f>REPLACE(INDEX(GroupVertices[Group],MATCH(Vertices[[#This Row],[Vertex]],GroupVertices[Vertex],0)),1,1,"")</f>
        <v>#N/A</v>
      </c>
      <c r="AP595" s="48"/>
      <c r="AQ595" s="49"/>
      <c r="AR595" s="48"/>
      <c r="AS595" s="49"/>
      <c r="AT595" s="48"/>
      <c r="AU595" s="49"/>
      <c r="AV595" s="48"/>
      <c r="AW595" s="49"/>
      <c r="AX595" s="48"/>
      <c r="AY595" s="48"/>
      <c r="AZ595" s="48"/>
      <c r="BA595" s="48"/>
      <c r="BB595" s="48"/>
      <c r="BC595" s="2"/>
      <c r="BD595" s="3"/>
      <c r="BE595" s="3"/>
      <c r="BF595" s="3"/>
      <c r="BG595" s="3"/>
    </row>
    <row r="596" spans="1:59" ht="15">
      <c r="A596" s="66" t="s">
        <v>766</v>
      </c>
      <c r="B596" s="67" t="s">
        <v>4461</v>
      </c>
      <c r="C596" s="67"/>
      <c r="D596" s="68">
        <v>613.5530155996952</v>
      </c>
      <c r="E596" s="70"/>
      <c r="F596" s="97" t="str">
        <f>HYPERLINK("https://i.ytimg.com/vi/2j4Tj6SOHEQ/default.jpg")</f>
        <v>https://i.ytimg.com/vi/2j4Tj6SOHEQ/default.jpg</v>
      </c>
      <c r="G596" s="120" t="s">
        <v>52</v>
      </c>
      <c r="H596" s="71" t="s">
        <v>1506</v>
      </c>
      <c r="I596" s="72"/>
      <c r="J596" s="72" t="s">
        <v>159</v>
      </c>
      <c r="K596" s="71" t="s">
        <v>1506</v>
      </c>
      <c r="L596" s="75">
        <v>213.72340425531914</v>
      </c>
      <c r="M596" s="76">
        <v>4042.5693359375</v>
      </c>
      <c r="N596" s="76">
        <v>9118.296875</v>
      </c>
      <c r="O596" s="77"/>
      <c r="P596" s="78"/>
      <c r="Q596" s="78"/>
      <c r="R596" s="82"/>
      <c r="S596" s="48"/>
      <c r="T596" s="48"/>
      <c r="U596" s="49"/>
      <c r="V596" s="49"/>
      <c r="W596" s="49"/>
      <c r="X596" s="49"/>
      <c r="Y596" s="49"/>
      <c r="Z596" s="49"/>
      <c r="AA596" s="73">
        <v>596</v>
      </c>
      <c r="AB596" s="73"/>
      <c r="AC596" s="74"/>
      <c r="AD596" s="80" t="s">
        <v>1506</v>
      </c>
      <c r="AE596" s="80" t="s">
        <v>2157</v>
      </c>
      <c r="AF596" s="80" t="s">
        <v>2743</v>
      </c>
      <c r="AG596" s="80" t="s">
        <v>3267</v>
      </c>
      <c r="AH596" s="80" t="s">
        <v>3920</v>
      </c>
      <c r="AI596" s="80">
        <v>12003</v>
      </c>
      <c r="AJ596" s="80">
        <v>1</v>
      </c>
      <c r="AK596" s="80">
        <v>0</v>
      </c>
      <c r="AL596" s="80">
        <v>0</v>
      </c>
      <c r="AM596" s="80" t="s">
        <v>4098</v>
      </c>
      <c r="AN596" s="96" t="str">
        <f>HYPERLINK("https://www.youtube.com/watch?v=2j4Tj6SOHEQ")</f>
        <v>https://www.youtube.com/watch?v=2j4Tj6SOHEQ</v>
      </c>
      <c r="AO596" s="80" t="e">
        <f>REPLACE(INDEX(GroupVertices[Group],MATCH(Vertices[[#This Row],[Vertex]],GroupVertices[Vertex],0)),1,1,"")</f>
        <v>#N/A</v>
      </c>
      <c r="AP596" s="48"/>
      <c r="AQ596" s="49"/>
      <c r="AR596" s="48"/>
      <c r="AS596" s="49"/>
      <c r="AT596" s="48"/>
      <c r="AU596" s="49"/>
      <c r="AV596" s="48"/>
      <c r="AW596" s="49"/>
      <c r="AX596" s="48"/>
      <c r="AY596" s="48"/>
      <c r="AZ596" s="48"/>
      <c r="BA596" s="48"/>
      <c r="BB596" s="48"/>
      <c r="BC596" s="2"/>
      <c r="BD596" s="3"/>
      <c r="BE596" s="3"/>
      <c r="BF596" s="3"/>
      <c r="BG596" s="3"/>
    </row>
    <row r="597" spans="1:59" ht="15">
      <c r="A597" s="66" t="s">
        <v>278</v>
      </c>
      <c r="B597" s="67" t="s">
        <v>4461</v>
      </c>
      <c r="C597" s="67"/>
      <c r="D597" s="68">
        <v>612.1290703039728</v>
      </c>
      <c r="E597" s="70"/>
      <c r="F597" s="97" t="str">
        <f>HYPERLINK("https://i.ytimg.com/vi/ZuUsI6FVULE/default.jpg")</f>
        <v>https://i.ytimg.com/vi/ZuUsI6FVULE/default.jpg</v>
      </c>
      <c r="G597" s="120" t="s">
        <v>52</v>
      </c>
      <c r="H597" s="71" t="s">
        <v>974</v>
      </c>
      <c r="I597" s="72"/>
      <c r="J597" s="72" t="s">
        <v>159</v>
      </c>
      <c r="K597" s="71" t="s">
        <v>974</v>
      </c>
      <c r="L597" s="75">
        <v>213.72340425531914</v>
      </c>
      <c r="M597" s="76">
        <v>6359.255859375</v>
      </c>
      <c r="N597" s="76">
        <v>5673.33837890625</v>
      </c>
      <c r="O597" s="77"/>
      <c r="P597" s="78"/>
      <c r="Q597" s="78"/>
      <c r="R597" s="82"/>
      <c r="S597" s="48"/>
      <c r="T597" s="48"/>
      <c r="U597" s="49"/>
      <c r="V597" s="49"/>
      <c r="W597" s="49"/>
      <c r="X597" s="49"/>
      <c r="Y597" s="49"/>
      <c r="Z597" s="49"/>
      <c r="AA597" s="73">
        <v>597</v>
      </c>
      <c r="AB597" s="73"/>
      <c r="AC597" s="74"/>
      <c r="AD597" s="80" t="s">
        <v>974</v>
      </c>
      <c r="AE597" s="80" t="s">
        <v>1697</v>
      </c>
      <c r="AF597" s="80" t="s">
        <v>2330</v>
      </c>
      <c r="AG597" s="80" t="s">
        <v>2908</v>
      </c>
      <c r="AH597" s="80" t="s">
        <v>3389</v>
      </c>
      <c r="AI597" s="80">
        <v>11812</v>
      </c>
      <c r="AJ597" s="80">
        <v>5</v>
      </c>
      <c r="AK597" s="80">
        <v>54</v>
      </c>
      <c r="AL597" s="80">
        <v>0</v>
      </c>
      <c r="AM597" s="80" t="s">
        <v>4098</v>
      </c>
      <c r="AN597" s="96" t="str">
        <f>HYPERLINK("https://www.youtube.com/watch?v=ZuUsI6FVULE")</f>
        <v>https://www.youtube.com/watch?v=ZuUsI6FVULE</v>
      </c>
      <c r="AO597" s="80" t="e">
        <f>REPLACE(INDEX(GroupVertices[Group],MATCH(Vertices[[#This Row],[Vertex]],GroupVertices[Vertex],0)),1,1,"")</f>
        <v>#N/A</v>
      </c>
      <c r="AP597" s="48"/>
      <c r="AQ597" s="49"/>
      <c r="AR597" s="48"/>
      <c r="AS597" s="49"/>
      <c r="AT597" s="48"/>
      <c r="AU597" s="49"/>
      <c r="AV597" s="48"/>
      <c r="AW597" s="49"/>
      <c r="AX597" s="48"/>
      <c r="AY597" s="48"/>
      <c r="AZ597" s="48"/>
      <c r="BA597" s="48"/>
      <c r="BB597" s="48"/>
      <c r="BC597" s="2"/>
      <c r="BD597" s="3"/>
      <c r="BE597" s="3"/>
      <c r="BF597" s="3"/>
      <c r="BG597" s="3"/>
    </row>
    <row r="598" spans="1:59" ht="15">
      <c r="A598" s="66" t="s">
        <v>897</v>
      </c>
      <c r="B598" s="67" t="s">
        <v>4461</v>
      </c>
      <c r="C598" s="67"/>
      <c r="D598" s="68">
        <v>610.1686274113421</v>
      </c>
      <c r="E598" s="70"/>
      <c r="F598" s="97" t="str">
        <f>HYPERLINK("https://i.ytimg.com/vi/uEFbdGlSAfQ/default.jpg")</f>
        <v>https://i.ytimg.com/vi/uEFbdGlSAfQ/default.jpg</v>
      </c>
      <c r="G598" s="120" t="s">
        <v>52</v>
      </c>
      <c r="H598" s="71" t="s">
        <v>1635</v>
      </c>
      <c r="I598" s="72"/>
      <c r="J598" s="72" t="s">
        <v>159</v>
      </c>
      <c r="K598" s="71" t="s">
        <v>1635</v>
      </c>
      <c r="L598" s="75">
        <v>213.72340425531914</v>
      </c>
      <c r="M598" s="76">
        <v>8585.1630859375</v>
      </c>
      <c r="N598" s="76">
        <v>1367.9617919921875</v>
      </c>
      <c r="O598" s="77"/>
      <c r="P598" s="78"/>
      <c r="Q598" s="78"/>
      <c r="R598" s="82"/>
      <c r="S598" s="48"/>
      <c r="T598" s="48"/>
      <c r="U598" s="49"/>
      <c r="V598" s="49"/>
      <c r="W598" s="49"/>
      <c r="X598" s="49"/>
      <c r="Y598" s="49"/>
      <c r="Z598" s="49"/>
      <c r="AA598" s="73">
        <v>598</v>
      </c>
      <c r="AB598" s="73"/>
      <c r="AC598" s="74"/>
      <c r="AD598" s="80" t="s">
        <v>1635</v>
      </c>
      <c r="AE598" s="80" t="s">
        <v>2273</v>
      </c>
      <c r="AF598" s="80" t="s">
        <v>2855</v>
      </c>
      <c r="AG598" s="80" t="s">
        <v>3343</v>
      </c>
      <c r="AH598" s="80" t="s">
        <v>4051</v>
      </c>
      <c r="AI598" s="80">
        <v>11554</v>
      </c>
      <c r="AJ598" s="80">
        <v>0</v>
      </c>
      <c r="AK598" s="80">
        <v>56</v>
      </c>
      <c r="AL598" s="80">
        <v>0</v>
      </c>
      <c r="AM598" s="80" t="s">
        <v>4098</v>
      </c>
      <c r="AN598" s="96" t="str">
        <f>HYPERLINK("https://www.youtube.com/watch?v=uEFbdGlSAfQ")</f>
        <v>https://www.youtube.com/watch?v=uEFbdGlSAfQ</v>
      </c>
      <c r="AO598" s="80" t="e">
        <f>REPLACE(INDEX(GroupVertices[Group],MATCH(Vertices[[#This Row],[Vertex]],GroupVertices[Vertex],0)),1,1,"")</f>
        <v>#N/A</v>
      </c>
      <c r="AP598" s="48"/>
      <c r="AQ598" s="49"/>
      <c r="AR598" s="48"/>
      <c r="AS598" s="49"/>
      <c r="AT598" s="48"/>
      <c r="AU598" s="49"/>
      <c r="AV598" s="48"/>
      <c r="AW598" s="49"/>
      <c r="AX598" s="48"/>
      <c r="AY598" s="48"/>
      <c r="AZ598" s="48"/>
      <c r="BA598" s="48"/>
      <c r="BB598" s="48"/>
      <c r="BC598" s="2"/>
      <c r="BD598" s="3"/>
      <c r="BE598" s="3"/>
      <c r="BF598" s="3"/>
      <c r="BG598" s="3"/>
    </row>
    <row r="599" spans="1:59" ht="15">
      <c r="A599" s="66" t="s">
        <v>281</v>
      </c>
      <c r="B599" s="67" t="s">
        <v>4461</v>
      </c>
      <c r="C599" s="67"/>
      <c r="D599" s="68">
        <v>597.2304774224629</v>
      </c>
      <c r="E599" s="70"/>
      <c r="F599" s="97" t="str">
        <f>HYPERLINK("https://i.ytimg.com/vi/lzuMukv8Ql4/default.jpg")</f>
        <v>https://i.ytimg.com/vi/lzuMukv8Ql4/default.jpg</v>
      </c>
      <c r="G599" s="120" t="s">
        <v>52</v>
      </c>
      <c r="H599" s="71" t="s">
        <v>977</v>
      </c>
      <c r="I599" s="72"/>
      <c r="J599" s="72" t="s">
        <v>159</v>
      </c>
      <c r="K599" s="71" t="s">
        <v>977</v>
      </c>
      <c r="L599" s="75">
        <v>213.72340425531914</v>
      </c>
      <c r="M599" s="76">
        <v>6312.11181640625</v>
      </c>
      <c r="N599" s="76">
        <v>5452.0576171875</v>
      </c>
      <c r="O599" s="77"/>
      <c r="P599" s="78"/>
      <c r="Q599" s="78"/>
      <c r="R599" s="82"/>
      <c r="S599" s="48"/>
      <c r="T599" s="48"/>
      <c r="U599" s="49"/>
      <c r="V599" s="49"/>
      <c r="W599" s="49"/>
      <c r="X599" s="49"/>
      <c r="Y599" s="49"/>
      <c r="Z599" s="49"/>
      <c r="AA599" s="73">
        <v>599</v>
      </c>
      <c r="AB599" s="73"/>
      <c r="AC599" s="74"/>
      <c r="AD599" s="80" t="s">
        <v>977</v>
      </c>
      <c r="AE599" s="80" t="s">
        <v>1700</v>
      </c>
      <c r="AF599" s="80" t="s">
        <v>2332</v>
      </c>
      <c r="AG599" s="80" t="s">
        <v>2911</v>
      </c>
      <c r="AH599" s="80" t="s">
        <v>3392</v>
      </c>
      <c r="AI599" s="80">
        <v>9987</v>
      </c>
      <c r="AJ599" s="80">
        <v>6</v>
      </c>
      <c r="AK599" s="80">
        <v>64</v>
      </c>
      <c r="AL599" s="80">
        <v>0</v>
      </c>
      <c r="AM599" s="80" t="s">
        <v>4098</v>
      </c>
      <c r="AN599" s="96" t="str">
        <f>HYPERLINK("https://www.youtube.com/watch?v=lzuMukv8Ql4")</f>
        <v>https://www.youtube.com/watch?v=lzuMukv8Ql4</v>
      </c>
      <c r="AO599" s="80" t="e">
        <f>REPLACE(INDEX(GroupVertices[Group],MATCH(Vertices[[#This Row],[Vertex]],GroupVertices[Vertex],0)),1,1,"")</f>
        <v>#N/A</v>
      </c>
      <c r="AP599" s="48"/>
      <c r="AQ599" s="49"/>
      <c r="AR599" s="48"/>
      <c r="AS599" s="49"/>
      <c r="AT599" s="48"/>
      <c r="AU599" s="49"/>
      <c r="AV599" s="48"/>
      <c r="AW599" s="49"/>
      <c r="AX599" s="48"/>
      <c r="AY599" s="48"/>
      <c r="AZ599" s="48"/>
      <c r="BA599" s="48"/>
      <c r="BB599" s="48"/>
      <c r="BC599" s="2"/>
      <c r="BD599" s="3"/>
      <c r="BE599" s="3"/>
      <c r="BF599" s="3"/>
      <c r="BG599" s="3"/>
    </row>
    <row r="600" spans="1:59" ht="15">
      <c r="A600" s="66" t="s">
        <v>473</v>
      </c>
      <c r="B600" s="67" t="s">
        <v>4461</v>
      </c>
      <c r="C600" s="67"/>
      <c r="D600" s="68">
        <v>585.1568102526084</v>
      </c>
      <c r="E600" s="70"/>
      <c r="F600" s="97" t="str">
        <f>HYPERLINK("https://i.ytimg.com/vi/NqFhB4m8V3s/default.jpg")</f>
        <v>https://i.ytimg.com/vi/NqFhB4m8V3s/default.jpg</v>
      </c>
      <c r="G600" s="120" t="s">
        <v>52</v>
      </c>
      <c r="H600" s="71" t="s">
        <v>1184</v>
      </c>
      <c r="I600" s="72"/>
      <c r="J600" s="72" t="s">
        <v>159</v>
      </c>
      <c r="K600" s="71" t="s">
        <v>1184</v>
      </c>
      <c r="L600" s="75">
        <v>213.72340425531914</v>
      </c>
      <c r="M600" s="76">
        <v>3368.53466796875</v>
      </c>
      <c r="N600" s="76">
        <v>2447.205810546875</v>
      </c>
      <c r="O600" s="77"/>
      <c r="P600" s="78"/>
      <c r="Q600" s="78"/>
      <c r="R600" s="82"/>
      <c r="S600" s="48"/>
      <c r="T600" s="48"/>
      <c r="U600" s="49"/>
      <c r="V600" s="49"/>
      <c r="W600" s="49"/>
      <c r="X600" s="49"/>
      <c r="Y600" s="49"/>
      <c r="Z600" s="49"/>
      <c r="AA600" s="73">
        <v>600</v>
      </c>
      <c r="AB600" s="73"/>
      <c r="AC600" s="74"/>
      <c r="AD600" s="80" t="s">
        <v>1184</v>
      </c>
      <c r="AE600" s="80" t="s">
        <v>1745</v>
      </c>
      <c r="AF600" s="80"/>
      <c r="AG600" s="80" t="s">
        <v>2958</v>
      </c>
      <c r="AH600" s="80" t="s">
        <v>3597</v>
      </c>
      <c r="AI600" s="80">
        <v>8717</v>
      </c>
      <c r="AJ600" s="80">
        <v>2</v>
      </c>
      <c r="AK600" s="80">
        <v>21</v>
      </c>
      <c r="AL600" s="80">
        <v>0</v>
      </c>
      <c r="AM600" s="80" t="s">
        <v>4098</v>
      </c>
      <c r="AN600" s="96" t="str">
        <f>HYPERLINK("https://www.youtube.com/watch?v=NqFhB4m8V3s")</f>
        <v>https://www.youtube.com/watch?v=NqFhB4m8V3s</v>
      </c>
      <c r="AO600" s="80" t="e">
        <f>REPLACE(INDEX(GroupVertices[Group],MATCH(Vertices[[#This Row],[Vertex]],GroupVertices[Vertex],0)),1,1,"")</f>
        <v>#N/A</v>
      </c>
      <c r="AP600" s="48"/>
      <c r="AQ600" s="49"/>
      <c r="AR600" s="48"/>
      <c r="AS600" s="49"/>
      <c r="AT600" s="48"/>
      <c r="AU600" s="49"/>
      <c r="AV600" s="48"/>
      <c r="AW600" s="49"/>
      <c r="AX600" s="48"/>
      <c r="AY600" s="48"/>
      <c r="AZ600" s="48"/>
      <c r="BA600" s="48"/>
      <c r="BB600" s="48"/>
      <c r="BC600" s="2"/>
      <c r="BD600" s="3"/>
      <c r="BE600" s="3"/>
      <c r="BF600" s="3"/>
      <c r="BG600" s="3"/>
    </row>
    <row r="601" spans="1:59" ht="15">
      <c r="A601" s="66" t="s">
        <v>300</v>
      </c>
      <c r="B601" s="67" t="s">
        <v>4461</v>
      </c>
      <c r="C601" s="67"/>
      <c r="D601" s="68">
        <v>584.0397921877459</v>
      </c>
      <c r="E601" s="70"/>
      <c r="F601" s="97" t="str">
        <f>HYPERLINK("https://i.ytimg.com/vi/-LgfBoKO_RI/default.jpg")</f>
        <v>https://i.ytimg.com/vi/-LgfBoKO_RI/default.jpg</v>
      </c>
      <c r="G601" s="120" t="s">
        <v>52</v>
      </c>
      <c r="H601" s="71" t="s">
        <v>999</v>
      </c>
      <c r="I601" s="72"/>
      <c r="J601" s="72" t="s">
        <v>159</v>
      </c>
      <c r="K601" s="71" t="s">
        <v>999</v>
      </c>
      <c r="L601" s="75">
        <v>213.72340425531914</v>
      </c>
      <c r="M601" s="76">
        <v>7599.90478515625</v>
      </c>
      <c r="N601" s="76">
        <v>9692.859375</v>
      </c>
      <c r="O601" s="77"/>
      <c r="P601" s="78"/>
      <c r="Q601" s="78"/>
      <c r="R601" s="82"/>
      <c r="S601" s="48"/>
      <c r="T601" s="48"/>
      <c r="U601" s="49"/>
      <c r="V601" s="49"/>
      <c r="W601" s="49"/>
      <c r="X601" s="49"/>
      <c r="Y601" s="49"/>
      <c r="Z601" s="49"/>
      <c r="AA601" s="73">
        <v>601</v>
      </c>
      <c r="AB601" s="73"/>
      <c r="AC601" s="74"/>
      <c r="AD601" s="80" t="s">
        <v>999</v>
      </c>
      <c r="AE601" s="80" t="s">
        <v>1722</v>
      </c>
      <c r="AF601" s="80" t="s">
        <v>2354</v>
      </c>
      <c r="AG601" s="80" t="s">
        <v>2928</v>
      </c>
      <c r="AH601" s="80" t="s">
        <v>3414</v>
      </c>
      <c r="AI601" s="80">
        <v>8608</v>
      </c>
      <c r="AJ601" s="80">
        <v>0</v>
      </c>
      <c r="AK601" s="80">
        <v>30</v>
      </c>
      <c r="AL601" s="80">
        <v>0</v>
      </c>
      <c r="AM601" s="80" t="s">
        <v>4098</v>
      </c>
      <c r="AN601" s="96" t="str">
        <f>HYPERLINK("https://www.youtube.com/watch?v=-LgfBoKO_RI")</f>
        <v>https://www.youtube.com/watch?v=-LgfBoKO_RI</v>
      </c>
      <c r="AO601" s="80" t="e">
        <f>REPLACE(INDEX(GroupVertices[Group],MATCH(Vertices[[#This Row],[Vertex]],GroupVertices[Vertex],0)),1,1,"")</f>
        <v>#N/A</v>
      </c>
      <c r="AP601" s="48"/>
      <c r="AQ601" s="49"/>
      <c r="AR601" s="48"/>
      <c r="AS601" s="49"/>
      <c r="AT601" s="48"/>
      <c r="AU601" s="49"/>
      <c r="AV601" s="48"/>
      <c r="AW601" s="49"/>
      <c r="AX601" s="48"/>
      <c r="AY601" s="48"/>
      <c r="AZ601" s="48"/>
      <c r="BA601" s="48"/>
      <c r="BB601" s="48"/>
      <c r="BC601" s="2"/>
      <c r="BD601" s="3"/>
      <c r="BE601" s="3"/>
      <c r="BF601" s="3"/>
      <c r="BG601" s="3"/>
    </row>
    <row r="602" spans="1:59" ht="15">
      <c r="A602" s="66" t="s">
        <v>429</v>
      </c>
      <c r="B602" s="67" t="s">
        <v>4461</v>
      </c>
      <c r="C602" s="67"/>
      <c r="D602" s="68">
        <v>581.7838424782146</v>
      </c>
      <c r="E602" s="70"/>
      <c r="F602" s="97" t="str">
        <f>HYPERLINK("https://i.ytimg.com/vi/t4ibtGiTswM/default.jpg")</f>
        <v>https://i.ytimg.com/vi/t4ibtGiTswM/default.jpg</v>
      </c>
      <c r="G602" s="120" t="s">
        <v>52</v>
      </c>
      <c r="H602" s="71" t="s">
        <v>1137</v>
      </c>
      <c r="I602" s="72"/>
      <c r="J602" s="72" t="s">
        <v>159</v>
      </c>
      <c r="K602" s="71" t="s">
        <v>1137</v>
      </c>
      <c r="L602" s="75">
        <v>213.72340425531914</v>
      </c>
      <c r="M602" s="76">
        <v>9160.1220703125</v>
      </c>
      <c r="N602" s="76">
        <v>6248.86865234375</v>
      </c>
      <c r="O602" s="77"/>
      <c r="P602" s="78"/>
      <c r="Q602" s="78"/>
      <c r="R602" s="82"/>
      <c r="S602" s="48"/>
      <c r="T602" s="48"/>
      <c r="U602" s="49"/>
      <c r="V602" s="49"/>
      <c r="W602" s="49"/>
      <c r="X602" s="49"/>
      <c r="Y602" s="49"/>
      <c r="Z602" s="49"/>
      <c r="AA602" s="73">
        <v>602</v>
      </c>
      <c r="AB602" s="73"/>
      <c r="AC602" s="74"/>
      <c r="AD602" s="80" t="s">
        <v>1137</v>
      </c>
      <c r="AE602" s="80" t="s">
        <v>1831</v>
      </c>
      <c r="AF602" s="80" t="s">
        <v>2453</v>
      </c>
      <c r="AG602" s="80" t="s">
        <v>2912</v>
      </c>
      <c r="AH602" s="80" t="s">
        <v>3550</v>
      </c>
      <c r="AI602" s="80">
        <v>8392</v>
      </c>
      <c r="AJ602" s="80">
        <v>4</v>
      </c>
      <c r="AK602" s="80">
        <v>26</v>
      </c>
      <c r="AL602" s="80">
        <v>0</v>
      </c>
      <c r="AM602" s="80" t="s">
        <v>4098</v>
      </c>
      <c r="AN602" s="96" t="str">
        <f>HYPERLINK("https://www.youtube.com/watch?v=t4ibtGiTswM")</f>
        <v>https://www.youtube.com/watch?v=t4ibtGiTswM</v>
      </c>
      <c r="AO602" s="80" t="e">
        <f>REPLACE(INDEX(GroupVertices[Group],MATCH(Vertices[[#This Row],[Vertex]],GroupVertices[Vertex],0)),1,1,"")</f>
        <v>#N/A</v>
      </c>
      <c r="AP602" s="48"/>
      <c r="AQ602" s="49"/>
      <c r="AR602" s="48"/>
      <c r="AS602" s="49"/>
      <c r="AT602" s="48"/>
      <c r="AU602" s="49"/>
      <c r="AV602" s="48"/>
      <c r="AW602" s="49"/>
      <c r="AX602" s="48"/>
      <c r="AY602" s="48"/>
      <c r="AZ602" s="48"/>
      <c r="BA602" s="48"/>
      <c r="BB602" s="48"/>
      <c r="BC602" s="2"/>
      <c r="BD602" s="3"/>
      <c r="BE602" s="3"/>
      <c r="BF602" s="3"/>
      <c r="BG602" s="3"/>
    </row>
    <row r="603" spans="1:59" ht="15">
      <c r="A603" s="66" t="s">
        <v>272</v>
      </c>
      <c r="B603" s="67" t="s">
        <v>4461</v>
      </c>
      <c r="C603" s="67"/>
      <c r="D603" s="68">
        <v>574.7189095200008</v>
      </c>
      <c r="E603" s="70"/>
      <c r="F603" s="97" t="str">
        <f>HYPERLINK("https://i.ytimg.com/vi/S48F2dNIzhA/default.jpg")</f>
        <v>https://i.ytimg.com/vi/S48F2dNIzhA/default.jpg</v>
      </c>
      <c r="G603" s="120" t="s">
        <v>52</v>
      </c>
      <c r="H603" s="71" t="s">
        <v>967</v>
      </c>
      <c r="I603" s="72"/>
      <c r="J603" s="72" t="s">
        <v>159</v>
      </c>
      <c r="K603" s="71" t="s">
        <v>967</v>
      </c>
      <c r="L603" s="75">
        <v>213.72340425531914</v>
      </c>
      <c r="M603" s="76">
        <v>5716.3212890625</v>
      </c>
      <c r="N603" s="76">
        <v>9624.1875</v>
      </c>
      <c r="O603" s="77"/>
      <c r="P603" s="78"/>
      <c r="Q603" s="78"/>
      <c r="R603" s="82"/>
      <c r="S603" s="48"/>
      <c r="T603" s="48"/>
      <c r="U603" s="49"/>
      <c r="V603" s="49"/>
      <c r="W603" s="49"/>
      <c r="X603" s="49"/>
      <c r="Y603" s="49"/>
      <c r="Z603" s="49"/>
      <c r="AA603" s="73">
        <v>603</v>
      </c>
      <c r="AB603" s="73"/>
      <c r="AC603" s="74"/>
      <c r="AD603" s="80" t="s">
        <v>967</v>
      </c>
      <c r="AE603" s="80" t="s">
        <v>1691</v>
      </c>
      <c r="AF603" s="80" t="s">
        <v>2324</v>
      </c>
      <c r="AG603" s="80" t="s">
        <v>2903</v>
      </c>
      <c r="AH603" s="80" t="s">
        <v>3382</v>
      </c>
      <c r="AI603" s="80">
        <v>7750</v>
      </c>
      <c r="AJ603" s="80">
        <v>11</v>
      </c>
      <c r="AK603" s="80">
        <v>77</v>
      </c>
      <c r="AL603" s="80">
        <v>0</v>
      </c>
      <c r="AM603" s="80" t="s">
        <v>4098</v>
      </c>
      <c r="AN603" s="96" t="str">
        <f>HYPERLINK("https://www.youtube.com/watch?v=S48F2dNIzhA")</f>
        <v>https://www.youtube.com/watch?v=S48F2dNIzhA</v>
      </c>
      <c r="AO603" s="80" t="e">
        <f>REPLACE(INDEX(GroupVertices[Group],MATCH(Vertices[[#This Row],[Vertex]],GroupVertices[Vertex],0)),1,1,"")</f>
        <v>#N/A</v>
      </c>
      <c r="AP603" s="48"/>
      <c r="AQ603" s="49"/>
      <c r="AR603" s="48"/>
      <c r="AS603" s="49"/>
      <c r="AT603" s="48"/>
      <c r="AU603" s="49"/>
      <c r="AV603" s="48"/>
      <c r="AW603" s="49"/>
      <c r="AX603" s="48"/>
      <c r="AY603" s="48"/>
      <c r="AZ603" s="48"/>
      <c r="BA603" s="48"/>
      <c r="BB603" s="48"/>
      <c r="BC603" s="2"/>
      <c r="BD603" s="3"/>
      <c r="BE603" s="3"/>
      <c r="BF603" s="3"/>
      <c r="BG603" s="3"/>
    </row>
    <row r="604" spans="1:59" ht="15">
      <c r="A604" s="66" t="s">
        <v>930</v>
      </c>
      <c r="B604" s="67" t="s">
        <v>4461</v>
      </c>
      <c r="C604" s="67"/>
      <c r="D604" s="68">
        <v>568.798648097604</v>
      </c>
      <c r="E604" s="70"/>
      <c r="F604" s="97" t="str">
        <f>HYPERLINK("https://i.ytimg.com/vi/GqbbR8wel9A/default.jpg")</f>
        <v>https://i.ytimg.com/vi/GqbbR8wel9A/default.jpg</v>
      </c>
      <c r="G604" s="120" t="s">
        <v>52</v>
      </c>
      <c r="H604" s="71" t="s">
        <v>1668</v>
      </c>
      <c r="I604" s="72"/>
      <c r="J604" s="72" t="s">
        <v>159</v>
      </c>
      <c r="K604" s="71" t="s">
        <v>1668</v>
      </c>
      <c r="L604" s="75">
        <v>213.72340425531914</v>
      </c>
      <c r="M604" s="76">
        <v>2130.282470703125</v>
      </c>
      <c r="N604" s="76">
        <v>3800.94970703125</v>
      </c>
      <c r="O604" s="77"/>
      <c r="P604" s="78"/>
      <c r="Q604" s="78"/>
      <c r="R604" s="82"/>
      <c r="S604" s="48"/>
      <c r="T604" s="48"/>
      <c r="U604" s="49"/>
      <c r="V604" s="49"/>
      <c r="W604" s="49"/>
      <c r="X604" s="49"/>
      <c r="Y604" s="49"/>
      <c r="Z604" s="49"/>
      <c r="AA604" s="73">
        <v>604</v>
      </c>
      <c r="AB604" s="73"/>
      <c r="AC604" s="74"/>
      <c r="AD604" s="80" t="s">
        <v>1668</v>
      </c>
      <c r="AE604" s="80" t="s">
        <v>2303</v>
      </c>
      <c r="AF604" s="80" t="s">
        <v>2884</v>
      </c>
      <c r="AG604" s="80" t="s">
        <v>3365</v>
      </c>
      <c r="AH604" s="80" t="s">
        <v>4084</v>
      </c>
      <c r="AI604" s="80">
        <v>7250</v>
      </c>
      <c r="AJ604" s="80">
        <v>1</v>
      </c>
      <c r="AK604" s="80">
        <v>10</v>
      </c>
      <c r="AL604" s="80">
        <v>0</v>
      </c>
      <c r="AM604" s="80" t="s">
        <v>4098</v>
      </c>
      <c r="AN604" s="96" t="str">
        <f>HYPERLINK("https://www.youtube.com/watch?v=GqbbR8wel9A")</f>
        <v>https://www.youtube.com/watch?v=GqbbR8wel9A</v>
      </c>
      <c r="AO604" s="80" t="e">
        <f>REPLACE(INDEX(GroupVertices[Group],MATCH(Vertices[[#This Row],[Vertex]],GroupVertices[Vertex],0)),1,1,"")</f>
        <v>#N/A</v>
      </c>
      <c r="AP604" s="48"/>
      <c r="AQ604" s="49"/>
      <c r="AR604" s="48"/>
      <c r="AS604" s="49"/>
      <c r="AT604" s="48"/>
      <c r="AU604" s="49"/>
      <c r="AV604" s="48"/>
      <c r="AW604" s="49"/>
      <c r="AX604" s="48"/>
      <c r="AY604" s="48"/>
      <c r="AZ604" s="48"/>
      <c r="BA604" s="48"/>
      <c r="BB604" s="48"/>
      <c r="BC604" s="2"/>
      <c r="BD604" s="3"/>
      <c r="BE604" s="3"/>
      <c r="BF604" s="3"/>
      <c r="BG604" s="3"/>
    </row>
    <row r="605" spans="1:59" ht="15">
      <c r="A605" s="66" t="s">
        <v>856</v>
      </c>
      <c r="B605" s="67" t="s">
        <v>4461</v>
      </c>
      <c r="C605" s="67"/>
      <c r="D605" s="68">
        <v>567.3045877147453</v>
      </c>
      <c r="E605" s="70"/>
      <c r="F605" s="97" t="str">
        <f>HYPERLINK("https://i.ytimg.com/vi/OgaoS7sUGZI/default.jpg")</f>
        <v>https://i.ytimg.com/vi/OgaoS7sUGZI/default.jpg</v>
      </c>
      <c r="G605" s="120" t="s">
        <v>52</v>
      </c>
      <c r="H605" s="71" t="s">
        <v>1595</v>
      </c>
      <c r="I605" s="72"/>
      <c r="J605" s="72" t="s">
        <v>159</v>
      </c>
      <c r="K605" s="71" t="s">
        <v>1595</v>
      </c>
      <c r="L605" s="75">
        <v>213.72340425531914</v>
      </c>
      <c r="M605" s="76">
        <v>4624.56201171875</v>
      </c>
      <c r="N605" s="76">
        <v>3135.524658203125</v>
      </c>
      <c r="O605" s="77"/>
      <c r="P605" s="78"/>
      <c r="Q605" s="78"/>
      <c r="R605" s="82"/>
      <c r="S605" s="48"/>
      <c r="T605" s="48"/>
      <c r="U605" s="49"/>
      <c r="V605" s="49"/>
      <c r="W605" s="49"/>
      <c r="X605" s="49"/>
      <c r="Y605" s="49"/>
      <c r="Z605" s="49"/>
      <c r="AA605" s="73">
        <v>605</v>
      </c>
      <c r="AB605" s="73"/>
      <c r="AC605" s="74"/>
      <c r="AD605" s="80" t="s">
        <v>1595</v>
      </c>
      <c r="AE605" s="80" t="s">
        <v>2236</v>
      </c>
      <c r="AF605" s="80" t="s">
        <v>2820</v>
      </c>
      <c r="AG605" s="80" t="s">
        <v>3096</v>
      </c>
      <c r="AH605" s="80" t="s">
        <v>4010</v>
      </c>
      <c r="AI605" s="80">
        <v>7129</v>
      </c>
      <c r="AJ605" s="80">
        <v>7</v>
      </c>
      <c r="AK605" s="80">
        <v>35</v>
      </c>
      <c r="AL605" s="80">
        <v>0</v>
      </c>
      <c r="AM605" s="80" t="s">
        <v>4098</v>
      </c>
      <c r="AN605" s="96" t="str">
        <f>HYPERLINK("https://www.youtube.com/watch?v=OgaoS7sUGZI")</f>
        <v>https://www.youtube.com/watch?v=OgaoS7sUGZI</v>
      </c>
      <c r="AO605" s="80" t="e">
        <f>REPLACE(INDEX(GroupVertices[Group],MATCH(Vertices[[#This Row],[Vertex]],GroupVertices[Vertex],0)),1,1,"")</f>
        <v>#N/A</v>
      </c>
      <c r="AP605" s="48"/>
      <c r="AQ605" s="49"/>
      <c r="AR605" s="48"/>
      <c r="AS605" s="49"/>
      <c r="AT605" s="48"/>
      <c r="AU605" s="49"/>
      <c r="AV605" s="48"/>
      <c r="AW605" s="49"/>
      <c r="AX605" s="48"/>
      <c r="AY605" s="48"/>
      <c r="AZ605" s="48"/>
      <c r="BA605" s="48"/>
      <c r="BB605" s="48"/>
      <c r="BC605" s="2"/>
      <c r="BD605" s="3"/>
      <c r="BE605" s="3"/>
      <c r="BF605" s="3"/>
      <c r="BG605" s="3"/>
    </row>
    <row r="606" spans="1:59" ht="15">
      <c r="A606" s="66" t="s">
        <v>323</v>
      </c>
      <c r="B606" s="67" t="s">
        <v>4461</v>
      </c>
      <c r="C606" s="67"/>
      <c r="D606" s="68">
        <v>563.8513112033206</v>
      </c>
      <c r="E606" s="70"/>
      <c r="F606" s="97" t="str">
        <f>HYPERLINK("https://i.ytimg.com/vi/4mZhNHI8WWc/default.jpg")</f>
        <v>https://i.ytimg.com/vi/4mZhNHI8WWc/default.jpg</v>
      </c>
      <c r="G606" s="120" t="s">
        <v>52</v>
      </c>
      <c r="H606" s="71" t="s">
        <v>1024</v>
      </c>
      <c r="I606" s="72"/>
      <c r="J606" s="72" t="s">
        <v>159</v>
      </c>
      <c r="K606" s="71" t="s">
        <v>1024</v>
      </c>
      <c r="L606" s="75">
        <v>213.72340425531914</v>
      </c>
      <c r="M606" s="76">
        <v>5566.57568359375</v>
      </c>
      <c r="N606" s="76">
        <v>2820.538818359375</v>
      </c>
      <c r="O606" s="77"/>
      <c r="P606" s="78"/>
      <c r="Q606" s="78"/>
      <c r="R606" s="82"/>
      <c r="S606" s="48"/>
      <c r="T606" s="48"/>
      <c r="U606" s="49"/>
      <c r="V606" s="49"/>
      <c r="W606" s="49"/>
      <c r="X606" s="49"/>
      <c r="Y606" s="49"/>
      <c r="Z606" s="49"/>
      <c r="AA606" s="73">
        <v>606</v>
      </c>
      <c r="AB606" s="73"/>
      <c r="AC606" s="74"/>
      <c r="AD606" s="80" t="s">
        <v>1024</v>
      </c>
      <c r="AE606" s="80" t="s">
        <v>1741</v>
      </c>
      <c r="AF606" s="80" t="s">
        <v>2370</v>
      </c>
      <c r="AG606" s="80" t="s">
        <v>2953</v>
      </c>
      <c r="AH606" s="80" t="s">
        <v>3439</v>
      </c>
      <c r="AI606" s="80">
        <v>6857</v>
      </c>
      <c r="AJ606" s="80">
        <v>9</v>
      </c>
      <c r="AK606" s="80">
        <v>35</v>
      </c>
      <c r="AL606" s="80">
        <v>0</v>
      </c>
      <c r="AM606" s="80" t="s">
        <v>4098</v>
      </c>
      <c r="AN606" s="96" t="str">
        <f>HYPERLINK("https://www.youtube.com/watch?v=4mZhNHI8WWc")</f>
        <v>https://www.youtube.com/watch?v=4mZhNHI8WWc</v>
      </c>
      <c r="AO606" s="80" t="e">
        <f>REPLACE(INDEX(GroupVertices[Group],MATCH(Vertices[[#This Row],[Vertex]],GroupVertices[Vertex],0)),1,1,"")</f>
        <v>#N/A</v>
      </c>
      <c r="AP606" s="48"/>
      <c r="AQ606" s="49"/>
      <c r="AR606" s="48"/>
      <c r="AS606" s="49"/>
      <c r="AT606" s="48"/>
      <c r="AU606" s="49"/>
      <c r="AV606" s="48"/>
      <c r="AW606" s="49"/>
      <c r="AX606" s="48"/>
      <c r="AY606" s="48"/>
      <c r="AZ606" s="48"/>
      <c r="BA606" s="48"/>
      <c r="BB606" s="48"/>
      <c r="BC606" s="2"/>
      <c r="BD606" s="3"/>
      <c r="BE606" s="3"/>
      <c r="BF606" s="3"/>
      <c r="BG606" s="3"/>
    </row>
    <row r="607" spans="1:59" ht="15">
      <c r="A607" s="66" t="s">
        <v>731</v>
      </c>
      <c r="B607" s="67" t="s">
        <v>4461</v>
      </c>
      <c r="C607" s="67"/>
      <c r="D607" s="68">
        <v>557.2138962590017</v>
      </c>
      <c r="E607" s="70"/>
      <c r="F607" s="97" t="str">
        <f>HYPERLINK("https://i.ytimg.com/vi/oBO-hh_J0bs/default.jpg")</f>
        <v>https://i.ytimg.com/vi/oBO-hh_J0bs/default.jpg</v>
      </c>
      <c r="G607" s="120" t="s">
        <v>52</v>
      </c>
      <c r="H607" s="71" t="s">
        <v>1472</v>
      </c>
      <c r="I607" s="72"/>
      <c r="J607" s="72" t="s">
        <v>159</v>
      </c>
      <c r="K607" s="71" t="s">
        <v>1472</v>
      </c>
      <c r="L607" s="75">
        <v>213.72340425531914</v>
      </c>
      <c r="M607" s="76">
        <v>2192.547119140625</v>
      </c>
      <c r="N607" s="76">
        <v>5894.2041015625</v>
      </c>
      <c r="O607" s="77"/>
      <c r="P607" s="78"/>
      <c r="Q607" s="78"/>
      <c r="R607" s="82"/>
      <c r="S607" s="48"/>
      <c r="T607" s="48"/>
      <c r="U607" s="49"/>
      <c r="V607" s="49"/>
      <c r="W607" s="49"/>
      <c r="X607" s="49"/>
      <c r="Y607" s="49"/>
      <c r="Z607" s="49"/>
      <c r="AA607" s="73">
        <v>607</v>
      </c>
      <c r="AB607" s="73"/>
      <c r="AC607" s="74"/>
      <c r="AD607" s="80" t="s">
        <v>1472</v>
      </c>
      <c r="AE607" s="80" t="s">
        <v>2129</v>
      </c>
      <c r="AF607" s="80" t="s">
        <v>2718</v>
      </c>
      <c r="AG607" s="80" t="s">
        <v>3243</v>
      </c>
      <c r="AH607" s="80" t="s">
        <v>3885</v>
      </c>
      <c r="AI607" s="80">
        <v>6363</v>
      </c>
      <c r="AJ607" s="80">
        <v>2</v>
      </c>
      <c r="AK607" s="80">
        <v>21</v>
      </c>
      <c r="AL607" s="80">
        <v>0</v>
      </c>
      <c r="AM607" s="80" t="s">
        <v>4098</v>
      </c>
      <c r="AN607" s="96" t="str">
        <f>HYPERLINK("https://www.youtube.com/watch?v=oBO-hh_J0bs")</f>
        <v>https://www.youtube.com/watch?v=oBO-hh_J0bs</v>
      </c>
      <c r="AO607" s="80" t="e">
        <f>REPLACE(INDEX(GroupVertices[Group],MATCH(Vertices[[#This Row],[Vertex]],GroupVertices[Vertex],0)),1,1,"")</f>
        <v>#N/A</v>
      </c>
      <c r="AP607" s="48"/>
      <c r="AQ607" s="49"/>
      <c r="AR607" s="48"/>
      <c r="AS607" s="49"/>
      <c r="AT607" s="48"/>
      <c r="AU607" s="49"/>
      <c r="AV607" s="48"/>
      <c r="AW607" s="49"/>
      <c r="AX607" s="48"/>
      <c r="AY607" s="48"/>
      <c r="AZ607" s="48"/>
      <c r="BA607" s="48"/>
      <c r="BB607" s="48"/>
      <c r="BC607" s="2"/>
      <c r="BD607" s="3"/>
      <c r="BE607" s="3"/>
      <c r="BF607" s="3"/>
      <c r="BG607" s="3"/>
    </row>
    <row r="608" spans="1:59" ht="15">
      <c r="A608" s="66" t="s">
        <v>391</v>
      </c>
      <c r="B608" s="67" t="s">
        <v>4461</v>
      </c>
      <c r="C608" s="67"/>
      <c r="D608" s="68">
        <v>554.3932816761594</v>
      </c>
      <c r="E608" s="70"/>
      <c r="F608" s="97" t="str">
        <f>HYPERLINK("https://i.ytimg.com/vi/-aNES7jOB0M/default.jpg")</f>
        <v>https://i.ytimg.com/vi/-aNES7jOB0M/default.jpg</v>
      </c>
      <c r="G608" s="120" t="s">
        <v>52</v>
      </c>
      <c r="H608" s="71" t="s">
        <v>1098</v>
      </c>
      <c r="I608" s="72"/>
      <c r="J608" s="72" t="s">
        <v>159</v>
      </c>
      <c r="K608" s="71" t="s">
        <v>1098</v>
      </c>
      <c r="L608" s="75">
        <v>213.72340425531914</v>
      </c>
      <c r="M608" s="76">
        <v>4492.9365234375</v>
      </c>
      <c r="N608" s="76">
        <v>625.2920532226562</v>
      </c>
      <c r="O608" s="77"/>
      <c r="P608" s="78"/>
      <c r="Q608" s="78"/>
      <c r="R608" s="82"/>
      <c r="S608" s="48"/>
      <c r="T608" s="48"/>
      <c r="U608" s="49"/>
      <c r="V608" s="49"/>
      <c r="W608" s="49"/>
      <c r="X608" s="49"/>
      <c r="Y608" s="49"/>
      <c r="Z608" s="49"/>
      <c r="AA608" s="73">
        <v>608</v>
      </c>
      <c r="AB608" s="73"/>
      <c r="AC608" s="74"/>
      <c r="AD608" s="80" t="s">
        <v>1098</v>
      </c>
      <c r="AE608" s="80" t="s">
        <v>1801</v>
      </c>
      <c r="AF608" s="80" t="s">
        <v>2426</v>
      </c>
      <c r="AG608" s="80" t="s">
        <v>2951</v>
      </c>
      <c r="AH608" s="80" t="s">
        <v>3512</v>
      </c>
      <c r="AI608" s="80">
        <v>6164</v>
      </c>
      <c r="AJ608" s="80">
        <v>2</v>
      </c>
      <c r="AK608" s="80">
        <v>16</v>
      </c>
      <c r="AL608" s="80">
        <v>0</v>
      </c>
      <c r="AM608" s="80" t="s">
        <v>4098</v>
      </c>
      <c r="AN608" s="96" t="str">
        <f>HYPERLINK("https://www.youtube.com/watch?v=-aNES7jOB0M")</f>
        <v>https://www.youtube.com/watch?v=-aNES7jOB0M</v>
      </c>
      <c r="AO608" s="80" t="e">
        <f>REPLACE(INDEX(GroupVertices[Group],MATCH(Vertices[[#This Row],[Vertex]],GroupVertices[Vertex],0)),1,1,"")</f>
        <v>#N/A</v>
      </c>
      <c r="AP608" s="48"/>
      <c r="AQ608" s="49"/>
      <c r="AR608" s="48"/>
      <c r="AS608" s="49"/>
      <c r="AT608" s="48"/>
      <c r="AU608" s="49"/>
      <c r="AV608" s="48"/>
      <c r="AW608" s="49"/>
      <c r="AX608" s="48"/>
      <c r="AY608" s="48"/>
      <c r="AZ608" s="48"/>
      <c r="BA608" s="48"/>
      <c r="BB608" s="48"/>
      <c r="BC608" s="2"/>
      <c r="BD608" s="3"/>
      <c r="BE608" s="3"/>
      <c r="BF608" s="3"/>
      <c r="BG608" s="3"/>
    </row>
    <row r="609" spans="1:59" ht="15">
      <c r="A609" s="66" t="s">
        <v>805</v>
      </c>
      <c r="B609" s="67" t="s">
        <v>4461</v>
      </c>
      <c r="C609" s="67"/>
      <c r="D609" s="68">
        <v>549.9338627511355</v>
      </c>
      <c r="E609" s="70"/>
      <c r="F609" s="97" t="str">
        <f>HYPERLINK("https://i.ytimg.com/vi/DS4WESARNog/default.jpg")</f>
        <v>https://i.ytimg.com/vi/DS4WESARNog/default.jpg</v>
      </c>
      <c r="G609" s="120" t="s">
        <v>52</v>
      </c>
      <c r="H609" s="71" t="s">
        <v>1545</v>
      </c>
      <c r="I609" s="72"/>
      <c r="J609" s="72" t="s">
        <v>159</v>
      </c>
      <c r="K609" s="71" t="s">
        <v>1545</v>
      </c>
      <c r="L609" s="75">
        <v>213.72340425531914</v>
      </c>
      <c r="M609" s="76">
        <v>963.6536254882812</v>
      </c>
      <c r="N609" s="76">
        <v>371.40234375</v>
      </c>
      <c r="O609" s="77"/>
      <c r="P609" s="78"/>
      <c r="Q609" s="78"/>
      <c r="R609" s="82"/>
      <c r="S609" s="48"/>
      <c r="T609" s="48"/>
      <c r="U609" s="49"/>
      <c r="V609" s="49"/>
      <c r="W609" s="49"/>
      <c r="X609" s="49"/>
      <c r="Y609" s="49"/>
      <c r="Z609" s="49"/>
      <c r="AA609" s="73">
        <v>609</v>
      </c>
      <c r="AB609" s="73"/>
      <c r="AC609" s="74"/>
      <c r="AD609" s="80" t="s">
        <v>1545</v>
      </c>
      <c r="AE609" s="80" t="s">
        <v>2194</v>
      </c>
      <c r="AF609" s="80" t="s">
        <v>2780</v>
      </c>
      <c r="AG609" s="80" t="s">
        <v>3295</v>
      </c>
      <c r="AH609" s="80" t="s">
        <v>3959</v>
      </c>
      <c r="AI609" s="80">
        <v>5862</v>
      </c>
      <c r="AJ609" s="80">
        <v>2</v>
      </c>
      <c r="AK609" s="80">
        <v>1</v>
      </c>
      <c r="AL609" s="80">
        <v>0</v>
      </c>
      <c r="AM609" s="80" t="s">
        <v>4098</v>
      </c>
      <c r="AN609" s="96" t="str">
        <f>HYPERLINK("https://www.youtube.com/watch?v=DS4WESARNog")</f>
        <v>https://www.youtube.com/watch?v=DS4WESARNog</v>
      </c>
      <c r="AO609" s="80" t="e">
        <f>REPLACE(INDEX(GroupVertices[Group],MATCH(Vertices[[#This Row],[Vertex]],GroupVertices[Vertex],0)),1,1,"")</f>
        <v>#N/A</v>
      </c>
      <c r="AP609" s="48"/>
      <c r="AQ609" s="49"/>
      <c r="AR609" s="48"/>
      <c r="AS609" s="49"/>
      <c r="AT609" s="48"/>
      <c r="AU609" s="49"/>
      <c r="AV609" s="48"/>
      <c r="AW609" s="49"/>
      <c r="AX609" s="48"/>
      <c r="AY609" s="48"/>
      <c r="AZ609" s="48"/>
      <c r="BA609" s="48"/>
      <c r="BB609" s="48"/>
      <c r="BC609" s="2"/>
      <c r="BD609" s="3"/>
      <c r="BE609" s="3"/>
      <c r="BF609" s="3"/>
      <c r="BG609" s="3"/>
    </row>
    <row r="610" spans="1:59" ht="15">
      <c r="A610" s="66" t="s">
        <v>591</v>
      </c>
      <c r="B610" s="67" t="s">
        <v>4461</v>
      </c>
      <c r="C610" s="67"/>
      <c r="D610" s="68">
        <v>544.6458039639174</v>
      </c>
      <c r="E610" s="70"/>
      <c r="F610" s="97" t="str">
        <f>HYPERLINK("https://i.ytimg.com/vi/yeIOTrbIx_Q/default.jpg")</f>
        <v>https://i.ytimg.com/vi/yeIOTrbIx_Q/default.jpg</v>
      </c>
      <c r="G610" s="120" t="s">
        <v>52</v>
      </c>
      <c r="H610" s="71" t="s">
        <v>1326</v>
      </c>
      <c r="I610" s="72"/>
      <c r="J610" s="72" t="s">
        <v>159</v>
      </c>
      <c r="K610" s="71" t="s">
        <v>1326</v>
      </c>
      <c r="L610" s="75">
        <v>213.72340425531914</v>
      </c>
      <c r="M610" s="76">
        <v>8999.1220703125</v>
      </c>
      <c r="N610" s="76">
        <v>7180.2001953125</v>
      </c>
      <c r="O610" s="77"/>
      <c r="P610" s="78"/>
      <c r="Q610" s="78"/>
      <c r="R610" s="82"/>
      <c r="S610" s="48"/>
      <c r="T610" s="48"/>
      <c r="U610" s="49"/>
      <c r="V610" s="49"/>
      <c r="W610" s="49"/>
      <c r="X610" s="49"/>
      <c r="Y610" s="49"/>
      <c r="Z610" s="49"/>
      <c r="AA610" s="73">
        <v>610</v>
      </c>
      <c r="AB610" s="73"/>
      <c r="AC610" s="74"/>
      <c r="AD610" s="80" t="s">
        <v>1326</v>
      </c>
      <c r="AE610" s="80" t="s">
        <v>1993</v>
      </c>
      <c r="AF610" s="80" t="s">
        <v>2594</v>
      </c>
      <c r="AG610" s="80" t="s">
        <v>3139</v>
      </c>
      <c r="AH610" s="80" t="s">
        <v>3737</v>
      </c>
      <c r="AI610" s="80">
        <v>5523</v>
      </c>
      <c r="AJ610" s="80">
        <v>7</v>
      </c>
      <c r="AK610" s="80">
        <v>48</v>
      </c>
      <c r="AL610" s="80">
        <v>0</v>
      </c>
      <c r="AM610" s="80" t="s">
        <v>4098</v>
      </c>
      <c r="AN610" s="96" t="str">
        <f>HYPERLINK("https://www.youtube.com/watch?v=yeIOTrbIx_Q")</f>
        <v>https://www.youtube.com/watch?v=yeIOTrbIx_Q</v>
      </c>
      <c r="AO610" s="80" t="e">
        <f>REPLACE(INDEX(GroupVertices[Group],MATCH(Vertices[[#This Row],[Vertex]],GroupVertices[Vertex],0)),1,1,"")</f>
        <v>#N/A</v>
      </c>
      <c r="AP610" s="48"/>
      <c r="AQ610" s="49"/>
      <c r="AR610" s="48"/>
      <c r="AS610" s="49"/>
      <c r="AT610" s="48"/>
      <c r="AU610" s="49"/>
      <c r="AV610" s="48"/>
      <c r="AW610" s="49"/>
      <c r="AX610" s="48"/>
      <c r="AY610" s="48"/>
      <c r="AZ610" s="48"/>
      <c r="BA610" s="48"/>
      <c r="BB610" s="48"/>
      <c r="BC610" s="2"/>
      <c r="BD610" s="3"/>
      <c r="BE610" s="3"/>
      <c r="BF610" s="3"/>
      <c r="BG610" s="3"/>
    </row>
    <row r="611" spans="1:59" ht="15">
      <c r="A611" s="66" t="s">
        <v>562</v>
      </c>
      <c r="B611" s="67" t="s">
        <v>4461</v>
      </c>
      <c r="C611" s="67"/>
      <c r="D611" s="68">
        <v>543.5135051781303</v>
      </c>
      <c r="E611" s="70"/>
      <c r="F611" s="97" t="str">
        <f>HYPERLINK("https://i.ytimg.com/vi/2ZHuj8uBinM/default.jpg")</f>
        <v>https://i.ytimg.com/vi/2ZHuj8uBinM/default.jpg</v>
      </c>
      <c r="G611" s="120" t="s">
        <v>52</v>
      </c>
      <c r="H611" s="71" t="s">
        <v>1296</v>
      </c>
      <c r="I611" s="72"/>
      <c r="J611" s="72" t="s">
        <v>159</v>
      </c>
      <c r="K611" s="71" t="s">
        <v>1296</v>
      </c>
      <c r="L611" s="75">
        <v>213.72340425531914</v>
      </c>
      <c r="M611" s="76">
        <v>4010.133056640625</v>
      </c>
      <c r="N611" s="76">
        <v>3653.65234375</v>
      </c>
      <c r="O611" s="77"/>
      <c r="P611" s="78"/>
      <c r="Q611" s="78"/>
      <c r="R611" s="82"/>
      <c r="S611" s="48"/>
      <c r="T611" s="48"/>
      <c r="U611" s="49"/>
      <c r="V611" s="49"/>
      <c r="W611" s="49"/>
      <c r="X611" s="49"/>
      <c r="Y611" s="49"/>
      <c r="Z611" s="49"/>
      <c r="AA611" s="73">
        <v>611</v>
      </c>
      <c r="AB611" s="73"/>
      <c r="AC611" s="74"/>
      <c r="AD611" s="80" t="s">
        <v>1296</v>
      </c>
      <c r="AE611" s="80" t="s">
        <v>1969</v>
      </c>
      <c r="AF611" s="80" t="s">
        <v>2576</v>
      </c>
      <c r="AG611" s="80" t="s">
        <v>3118</v>
      </c>
      <c r="AH611" s="80" t="s">
        <v>3708</v>
      </c>
      <c r="AI611" s="80">
        <v>5453</v>
      </c>
      <c r="AJ611" s="80">
        <v>0</v>
      </c>
      <c r="AK611" s="80">
        <v>108</v>
      </c>
      <c r="AL611" s="80">
        <v>0</v>
      </c>
      <c r="AM611" s="80" t="s">
        <v>4098</v>
      </c>
      <c r="AN611" s="96" t="str">
        <f>HYPERLINK("https://www.youtube.com/watch?v=2ZHuj8uBinM")</f>
        <v>https://www.youtube.com/watch?v=2ZHuj8uBinM</v>
      </c>
      <c r="AO611" s="80" t="e">
        <f>REPLACE(INDEX(GroupVertices[Group],MATCH(Vertices[[#This Row],[Vertex]],GroupVertices[Vertex],0)),1,1,"")</f>
        <v>#N/A</v>
      </c>
      <c r="AP611" s="48"/>
      <c r="AQ611" s="49"/>
      <c r="AR611" s="48"/>
      <c r="AS611" s="49"/>
      <c r="AT611" s="48"/>
      <c r="AU611" s="49"/>
      <c r="AV611" s="48"/>
      <c r="AW611" s="49"/>
      <c r="AX611" s="48"/>
      <c r="AY611" s="48"/>
      <c r="AZ611" s="48"/>
      <c r="BA611" s="48"/>
      <c r="BB611" s="48"/>
      <c r="BC611" s="2"/>
      <c r="BD611" s="3"/>
      <c r="BE611" s="3"/>
      <c r="BF611" s="3"/>
      <c r="BG611" s="3"/>
    </row>
    <row r="612" spans="1:59" ht="15">
      <c r="A612" s="66" t="s">
        <v>541</v>
      </c>
      <c r="B612" s="67" t="s">
        <v>4461</v>
      </c>
      <c r="C612" s="67"/>
      <c r="D612" s="68">
        <v>537.8158224819</v>
      </c>
      <c r="E612" s="70"/>
      <c r="F612" s="97" t="str">
        <f>HYPERLINK("https://i.ytimg.com/vi/j8z0rW8ZcZ0/default.jpg")</f>
        <v>https://i.ytimg.com/vi/j8z0rW8ZcZ0/default.jpg</v>
      </c>
      <c r="G612" s="120" t="s">
        <v>52</v>
      </c>
      <c r="H612" s="71" t="s">
        <v>1273</v>
      </c>
      <c r="I612" s="72"/>
      <c r="J612" s="72" t="s">
        <v>159</v>
      </c>
      <c r="K612" s="71" t="s">
        <v>1273</v>
      </c>
      <c r="L612" s="75">
        <v>213.72340425531914</v>
      </c>
      <c r="M612" s="76">
        <v>4301.7412109375</v>
      </c>
      <c r="N612" s="76">
        <v>6415.54345703125</v>
      </c>
      <c r="O612" s="77"/>
      <c r="P612" s="78"/>
      <c r="Q612" s="78"/>
      <c r="R612" s="82"/>
      <c r="S612" s="48"/>
      <c r="T612" s="48"/>
      <c r="U612" s="49"/>
      <c r="V612" s="49"/>
      <c r="W612" s="49"/>
      <c r="X612" s="49"/>
      <c r="Y612" s="49"/>
      <c r="Z612" s="49"/>
      <c r="AA612" s="73">
        <v>612</v>
      </c>
      <c r="AB612" s="73"/>
      <c r="AC612" s="74"/>
      <c r="AD612" s="80" t="s">
        <v>1273</v>
      </c>
      <c r="AE612" s="80" t="s">
        <v>1948</v>
      </c>
      <c r="AF612" s="80" t="s">
        <v>2555</v>
      </c>
      <c r="AG612" s="80" t="s">
        <v>3105</v>
      </c>
      <c r="AH612" s="80" t="s">
        <v>3685</v>
      </c>
      <c r="AI612" s="80">
        <v>5114</v>
      </c>
      <c r="AJ612" s="80">
        <v>3</v>
      </c>
      <c r="AK612" s="80">
        <v>179</v>
      </c>
      <c r="AL612" s="80">
        <v>0</v>
      </c>
      <c r="AM612" s="80" t="s">
        <v>4098</v>
      </c>
      <c r="AN612" s="96" t="str">
        <f>HYPERLINK("https://www.youtube.com/watch?v=j8z0rW8ZcZ0")</f>
        <v>https://www.youtube.com/watch?v=j8z0rW8ZcZ0</v>
      </c>
      <c r="AO612" s="80" t="e">
        <f>REPLACE(INDEX(GroupVertices[Group],MATCH(Vertices[[#This Row],[Vertex]],GroupVertices[Vertex],0)),1,1,"")</f>
        <v>#N/A</v>
      </c>
      <c r="AP612" s="48"/>
      <c r="AQ612" s="49"/>
      <c r="AR612" s="48"/>
      <c r="AS612" s="49"/>
      <c r="AT612" s="48"/>
      <c r="AU612" s="49"/>
      <c r="AV612" s="48"/>
      <c r="AW612" s="49"/>
      <c r="AX612" s="48"/>
      <c r="AY612" s="48"/>
      <c r="AZ612" s="48"/>
      <c r="BA612" s="48"/>
      <c r="BB612" s="48"/>
      <c r="BC612" s="2"/>
      <c r="BD612" s="3"/>
      <c r="BE612" s="3"/>
      <c r="BF612" s="3"/>
      <c r="BG612" s="3"/>
    </row>
    <row r="613" spans="1:59" ht="15">
      <c r="A613" s="66" t="s">
        <v>739</v>
      </c>
      <c r="B613" s="67" t="s">
        <v>4461</v>
      </c>
      <c r="C613" s="67"/>
      <c r="D613" s="68">
        <v>530.5105028257123</v>
      </c>
      <c r="E613" s="70"/>
      <c r="F613" s="97" t="str">
        <f>HYPERLINK("https://i.ytimg.com/vi/_6A3kwb3E98/default.jpg")</f>
        <v>https://i.ytimg.com/vi/_6A3kwb3E98/default.jpg</v>
      </c>
      <c r="G613" s="120" t="s">
        <v>52</v>
      </c>
      <c r="H613" s="71" t="s">
        <v>1480</v>
      </c>
      <c r="I613" s="72"/>
      <c r="J613" s="72" t="s">
        <v>159</v>
      </c>
      <c r="K613" s="71" t="s">
        <v>1480</v>
      </c>
      <c r="L613" s="75">
        <v>213.72340425531914</v>
      </c>
      <c r="M613" s="76">
        <v>3246.64453125</v>
      </c>
      <c r="N613" s="76">
        <v>4623.24365234375</v>
      </c>
      <c r="O613" s="77"/>
      <c r="P613" s="78"/>
      <c r="Q613" s="78"/>
      <c r="R613" s="82"/>
      <c r="S613" s="48"/>
      <c r="T613" s="48"/>
      <c r="U613" s="49"/>
      <c r="V613" s="49"/>
      <c r="W613" s="49"/>
      <c r="X613" s="49"/>
      <c r="Y613" s="49"/>
      <c r="Z613" s="49"/>
      <c r="AA613" s="73">
        <v>613</v>
      </c>
      <c r="AB613" s="73"/>
      <c r="AC613" s="74"/>
      <c r="AD613" s="80" t="s">
        <v>1480</v>
      </c>
      <c r="AE613" s="80" t="s">
        <v>2135</v>
      </c>
      <c r="AF613" s="80" t="s">
        <v>2723</v>
      </c>
      <c r="AG613" s="80" t="s">
        <v>3249</v>
      </c>
      <c r="AH613" s="80" t="s">
        <v>3893</v>
      </c>
      <c r="AI613" s="80">
        <v>4710</v>
      </c>
      <c r="AJ613" s="80">
        <v>0</v>
      </c>
      <c r="AK613" s="80">
        <v>7</v>
      </c>
      <c r="AL613" s="80">
        <v>0</v>
      </c>
      <c r="AM613" s="80" t="s">
        <v>4098</v>
      </c>
      <c r="AN613" s="96" t="str">
        <f>HYPERLINK("https://www.youtube.com/watch?v=_6A3kwb3E98")</f>
        <v>https://www.youtube.com/watch?v=_6A3kwb3E98</v>
      </c>
      <c r="AO613" s="80" t="e">
        <f>REPLACE(INDEX(GroupVertices[Group],MATCH(Vertices[[#This Row],[Vertex]],GroupVertices[Vertex],0)),1,1,"")</f>
        <v>#N/A</v>
      </c>
      <c r="AP613" s="48"/>
      <c r="AQ613" s="49"/>
      <c r="AR613" s="48"/>
      <c r="AS613" s="49"/>
      <c r="AT613" s="48"/>
      <c r="AU613" s="49"/>
      <c r="AV613" s="48"/>
      <c r="AW613" s="49"/>
      <c r="AX613" s="48"/>
      <c r="AY613" s="48"/>
      <c r="AZ613" s="48"/>
      <c r="BA613" s="48"/>
      <c r="BB613" s="48"/>
      <c r="BC613" s="2"/>
      <c r="BD613" s="3"/>
      <c r="BE613" s="3"/>
      <c r="BF613" s="3"/>
      <c r="BG613" s="3"/>
    </row>
    <row r="614" spans="1:59" ht="15">
      <c r="A614" s="66" t="s">
        <v>274</v>
      </c>
      <c r="B614" s="67" t="s">
        <v>4461</v>
      </c>
      <c r="C614" s="67"/>
      <c r="D614" s="68">
        <v>527.7346867883106</v>
      </c>
      <c r="E614" s="70"/>
      <c r="F614" s="97" t="str">
        <f>HYPERLINK("https://i.ytimg.com/vi/P9Vpgdmu0FY/default.jpg")</f>
        <v>https://i.ytimg.com/vi/P9Vpgdmu0FY/default.jpg</v>
      </c>
      <c r="G614" s="120" t="s">
        <v>52</v>
      </c>
      <c r="H614" s="71" t="s">
        <v>969</v>
      </c>
      <c r="I614" s="72"/>
      <c r="J614" s="72" t="s">
        <v>159</v>
      </c>
      <c r="K614" s="71" t="s">
        <v>969</v>
      </c>
      <c r="L614" s="75">
        <v>213.72340425531914</v>
      </c>
      <c r="M614" s="76">
        <v>6666</v>
      </c>
      <c r="N614" s="76">
        <v>8539.443359375</v>
      </c>
      <c r="O614" s="77"/>
      <c r="P614" s="78"/>
      <c r="Q614" s="78"/>
      <c r="R614" s="82"/>
      <c r="S614" s="48"/>
      <c r="T614" s="48"/>
      <c r="U614" s="49"/>
      <c r="V614" s="49"/>
      <c r="W614" s="49"/>
      <c r="X614" s="49"/>
      <c r="Y614" s="49"/>
      <c r="Z614" s="49"/>
      <c r="AA614" s="73">
        <v>614</v>
      </c>
      <c r="AB614" s="73"/>
      <c r="AC614" s="74"/>
      <c r="AD614" s="80" t="s">
        <v>969</v>
      </c>
      <c r="AE614" s="80" t="s">
        <v>1693</v>
      </c>
      <c r="AF614" s="80" t="s">
        <v>2326</v>
      </c>
      <c r="AG614" s="80" t="s">
        <v>2900</v>
      </c>
      <c r="AH614" s="80" t="s">
        <v>3384</v>
      </c>
      <c r="AI614" s="80">
        <v>4565</v>
      </c>
      <c r="AJ614" s="80">
        <v>9</v>
      </c>
      <c r="AK614" s="80">
        <v>40</v>
      </c>
      <c r="AL614" s="80">
        <v>0</v>
      </c>
      <c r="AM614" s="80" t="s">
        <v>4098</v>
      </c>
      <c r="AN614" s="96" t="str">
        <f>HYPERLINK("https://www.youtube.com/watch?v=P9Vpgdmu0FY")</f>
        <v>https://www.youtube.com/watch?v=P9Vpgdmu0FY</v>
      </c>
      <c r="AO614" s="80" t="e">
        <f>REPLACE(INDEX(GroupVertices[Group],MATCH(Vertices[[#This Row],[Vertex]],GroupVertices[Vertex],0)),1,1,"")</f>
        <v>#N/A</v>
      </c>
      <c r="AP614" s="48"/>
      <c r="AQ614" s="49"/>
      <c r="AR614" s="48"/>
      <c r="AS614" s="49"/>
      <c r="AT614" s="48"/>
      <c r="AU614" s="49"/>
      <c r="AV614" s="48"/>
      <c r="AW614" s="49"/>
      <c r="AX614" s="48"/>
      <c r="AY614" s="48"/>
      <c r="AZ614" s="48"/>
      <c r="BA614" s="48"/>
      <c r="BB614" s="48"/>
      <c r="BC614" s="2"/>
      <c r="BD614" s="3"/>
      <c r="BE614" s="3"/>
      <c r="BF614" s="3"/>
      <c r="BG614" s="3"/>
    </row>
    <row r="615" spans="1:59" ht="15">
      <c r="A615" s="66" t="s">
        <v>588</v>
      </c>
      <c r="B615" s="67" t="s">
        <v>4461</v>
      </c>
      <c r="C615" s="67"/>
      <c r="D615" s="68">
        <v>524.6077872025182</v>
      </c>
      <c r="E615" s="70"/>
      <c r="F615" s="97" t="str">
        <f>HYPERLINK("https://i.ytimg.com/vi/TywrMtBcgeI/default.jpg")</f>
        <v>https://i.ytimg.com/vi/TywrMtBcgeI/default.jpg</v>
      </c>
      <c r="G615" s="120" t="s">
        <v>52</v>
      </c>
      <c r="H615" s="71" t="s">
        <v>1323</v>
      </c>
      <c r="I615" s="72"/>
      <c r="J615" s="72" t="s">
        <v>159</v>
      </c>
      <c r="K615" s="71" t="s">
        <v>1323</v>
      </c>
      <c r="L615" s="75">
        <v>213.72340425531914</v>
      </c>
      <c r="M615" s="76">
        <v>8913.1923828125</v>
      </c>
      <c r="N615" s="76">
        <v>6842.8564453125</v>
      </c>
      <c r="O615" s="77"/>
      <c r="P615" s="78"/>
      <c r="Q615" s="78"/>
      <c r="R615" s="82"/>
      <c r="S615" s="48"/>
      <c r="T615" s="48"/>
      <c r="U615" s="49"/>
      <c r="V615" s="49"/>
      <c r="W615" s="49"/>
      <c r="X615" s="49"/>
      <c r="Y615" s="49"/>
      <c r="Z615" s="49"/>
      <c r="AA615" s="73">
        <v>615</v>
      </c>
      <c r="AB615" s="73"/>
      <c r="AC615" s="74"/>
      <c r="AD615" s="80" t="s">
        <v>1323</v>
      </c>
      <c r="AE615" s="80" t="s">
        <v>1990</v>
      </c>
      <c r="AF615" s="80" t="s">
        <v>2591</v>
      </c>
      <c r="AG615" s="80" t="s">
        <v>3136</v>
      </c>
      <c r="AH615" s="80" t="s">
        <v>3734</v>
      </c>
      <c r="AI615" s="80">
        <v>4407</v>
      </c>
      <c r="AJ615" s="80">
        <v>1</v>
      </c>
      <c r="AK615" s="80">
        <v>19</v>
      </c>
      <c r="AL615" s="80">
        <v>0</v>
      </c>
      <c r="AM615" s="80" t="s">
        <v>4098</v>
      </c>
      <c r="AN615" s="96" t="str">
        <f>HYPERLINK("https://www.youtube.com/watch?v=TywrMtBcgeI")</f>
        <v>https://www.youtube.com/watch?v=TywrMtBcgeI</v>
      </c>
      <c r="AO615" s="80" t="e">
        <f>REPLACE(INDEX(GroupVertices[Group],MATCH(Vertices[[#This Row],[Vertex]],GroupVertices[Vertex],0)),1,1,"")</f>
        <v>#N/A</v>
      </c>
      <c r="AP615" s="48"/>
      <c r="AQ615" s="49"/>
      <c r="AR615" s="48"/>
      <c r="AS615" s="49"/>
      <c r="AT615" s="48"/>
      <c r="AU615" s="49"/>
      <c r="AV615" s="48"/>
      <c r="AW615" s="49"/>
      <c r="AX615" s="48"/>
      <c r="AY615" s="48"/>
      <c r="AZ615" s="48"/>
      <c r="BA615" s="48"/>
      <c r="BB615" s="48"/>
      <c r="BC615" s="2"/>
      <c r="BD615" s="3"/>
      <c r="BE615" s="3"/>
      <c r="BF615" s="3"/>
      <c r="BG615" s="3"/>
    </row>
    <row r="616" spans="1:59" ht="15">
      <c r="A616" s="66" t="s">
        <v>414</v>
      </c>
      <c r="B616" s="67" t="s">
        <v>4461</v>
      </c>
      <c r="C616" s="67"/>
      <c r="D616" s="68">
        <v>522.0327565931937</v>
      </c>
      <c r="E616" s="70"/>
      <c r="F616" s="97" t="str">
        <f>HYPERLINK("https://i.ytimg.com/vi/eHnyOOy5nxM/default.jpg")</f>
        <v>https://i.ytimg.com/vi/eHnyOOy5nxM/default.jpg</v>
      </c>
      <c r="G616" s="120" t="s">
        <v>52</v>
      </c>
      <c r="H616" s="71" t="s">
        <v>1122</v>
      </c>
      <c r="I616" s="72"/>
      <c r="J616" s="72" t="s">
        <v>159</v>
      </c>
      <c r="K616" s="71" t="s">
        <v>1122</v>
      </c>
      <c r="L616" s="75">
        <v>213.72340425531914</v>
      </c>
      <c r="M616" s="76">
        <v>8162.66552734375</v>
      </c>
      <c r="N616" s="76">
        <v>4941.50390625</v>
      </c>
      <c r="O616" s="77"/>
      <c r="P616" s="78"/>
      <c r="Q616" s="78"/>
      <c r="R616" s="82"/>
      <c r="S616" s="48"/>
      <c r="T616" s="48"/>
      <c r="U616" s="49"/>
      <c r="V616" s="49"/>
      <c r="W616" s="49"/>
      <c r="X616" s="49"/>
      <c r="Y616" s="49"/>
      <c r="Z616" s="49"/>
      <c r="AA616" s="73">
        <v>616</v>
      </c>
      <c r="AB616" s="73"/>
      <c r="AC616" s="74"/>
      <c r="AD616" s="80" t="s">
        <v>1122</v>
      </c>
      <c r="AE616" s="80" t="s">
        <v>1819</v>
      </c>
      <c r="AF616" s="80" t="s">
        <v>2440</v>
      </c>
      <c r="AG616" s="80" t="s">
        <v>3005</v>
      </c>
      <c r="AH616" s="80" t="s">
        <v>3535</v>
      </c>
      <c r="AI616" s="80">
        <v>4281</v>
      </c>
      <c r="AJ616" s="80">
        <v>0</v>
      </c>
      <c r="AK616" s="80">
        <v>2</v>
      </c>
      <c r="AL616" s="80">
        <v>0</v>
      </c>
      <c r="AM616" s="80" t="s">
        <v>4098</v>
      </c>
      <c r="AN616" s="96" t="str">
        <f>HYPERLINK("https://www.youtube.com/watch?v=eHnyOOy5nxM")</f>
        <v>https://www.youtube.com/watch?v=eHnyOOy5nxM</v>
      </c>
      <c r="AO616" s="80" t="e">
        <f>REPLACE(INDEX(GroupVertices[Group],MATCH(Vertices[[#This Row],[Vertex]],GroupVertices[Vertex],0)),1,1,"")</f>
        <v>#N/A</v>
      </c>
      <c r="AP616" s="48"/>
      <c r="AQ616" s="49"/>
      <c r="AR616" s="48"/>
      <c r="AS616" s="49"/>
      <c r="AT616" s="48"/>
      <c r="AU616" s="49"/>
      <c r="AV616" s="48"/>
      <c r="AW616" s="49"/>
      <c r="AX616" s="48"/>
      <c r="AY616" s="48"/>
      <c r="AZ616" s="48"/>
      <c r="BA616" s="48"/>
      <c r="BB616" s="48"/>
      <c r="BC616" s="2"/>
      <c r="BD616" s="3"/>
      <c r="BE616" s="3"/>
      <c r="BF616" s="3"/>
      <c r="BG616" s="3"/>
    </row>
    <row r="617" spans="1:59" ht="15">
      <c r="A617" s="66" t="s">
        <v>667</v>
      </c>
      <c r="B617" s="67" t="s">
        <v>4461</v>
      </c>
      <c r="C617" s="67"/>
      <c r="D617" s="68">
        <v>519.8920750452792</v>
      </c>
      <c r="E617" s="70"/>
      <c r="F617" s="97" t="str">
        <f>HYPERLINK("https://i.ytimg.com/vi/px7ff2_Jeqw/default.jpg")</f>
        <v>https://i.ytimg.com/vi/px7ff2_Jeqw/default.jpg</v>
      </c>
      <c r="G617" s="120" t="s">
        <v>52</v>
      </c>
      <c r="H617" s="71" t="s">
        <v>1407</v>
      </c>
      <c r="I617" s="72"/>
      <c r="J617" s="72" t="s">
        <v>159</v>
      </c>
      <c r="K617" s="71" t="s">
        <v>1407</v>
      </c>
      <c r="L617" s="75">
        <v>213.72340425531914</v>
      </c>
      <c r="M617" s="76">
        <v>296.4070129394531</v>
      </c>
      <c r="N617" s="76">
        <v>7499.6591796875</v>
      </c>
      <c r="O617" s="77"/>
      <c r="P617" s="78"/>
      <c r="Q617" s="78"/>
      <c r="R617" s="82"/>
      <c r="S617" s="48"/>
      <c r="T617" s="48"/>
      <c r="U617" s="49"/>
      <c r="V617" s="49"/>
      <c r="W617" s="49"/>
      <c r="X617" s="49"/>
      <c r="Y617" s="49"/>
      <c r="Z617" s="49"/>
      <c r="AA617" s="73">
        <v>617</v>
      </c>
      <c r="AB617" s="73"/>
      <c r="AC617" s="74"/>
      <c r="AD617" s="80" t="s">
        <v>1407</v>
      </c>
      <c r="AE617" s="80" t="s">
        <v>2067</v>
      </c>
      <c r="AF617" s="80"/>
      <c r="AG617" s="80" t="s">
        <v>3199</v>
      </c>
      <c r="AH617" s="80" t="s">
        <v>3819</v>
      </c>
      <c r="AI617" s="80">
        <v>4179</v>
      </c>
      <c r="AJ617" s="80">
        <v>0</v>
      </c>
      <c r="AK617" s="80">
        <v>100</v>
      </c>
      <c r="AL617" s="80">
        <v>0</v>
      </c>
      <c r="AM617" s="80" t="s">
        <v>4098</v>
      </c>
      <c r="AN617" s="96" t="str">
        <f>HYPERLINK("https://www.youtube.com/watch?v=px7ff2_Jeqw")</f>
        <v>https://www.youtube.com/watch?v=px7ff2_Jeqw</v>
      </c>
      <c r="AO617" s="80" t="e">
        <f>REPLACE(INDEX(GroupVertices[Group],MATCH(Vertices[[#This Row],[Vertex]],GroupVertices[Vertex],0)),1,1,"")</f>
        <v>#N/A</v>
      </c>
      <c r="AP617" s="48"/>
      <c r="AQ617" s="49"/>
      <c r="AR617" s="48"/>
      <c r="AS617" s="49"/>
      <c r="AT617" s="48"/>
      <c r="AU617" s="49"/>
      <c r="AV617" s="48"/>
      <c r="AW617" s="49"/>
      <c r="AX617" s="48"/>
      <c r="AY617" s="48"/>
      <c r="AZ617" s="48"/>
      <c r="BA617" s="48"/>
      <c r="BB617" s="48"/>
      <c r="BC617" s="2"/>
      <c r="BD617" s="3"/>
      <c r="BE617" s="3"/>
      <c r="BF617" s="3"/>
      <c r="BG617" s="3"/>
    </row>
    <row r="618" spans="1:59" ht="15">
      <c r="A618" s="66" t="s">
        <v>371</v>
      </c>
      <c r="B618" s="67" t="s">
        <v>4461</v>
      </c>
      <c r="C618" s="67"/>
      <c r="D618" s="68">
        <v>517.0428699104486</v>
      </c>
      <c r="E618" s="70"/>
      <c r="F618" s="97" t="str">
        <f>HYPERLINK("https://i.ytimg.com/vi/vxjy3hZ5PDw/default.jpg")</f>
        <v>https://i.ytimg.com/vi/vxjy3hZ5PDw/default.jpg</v>
      </c>
      <c r="G618" s="120" t="s">
        <v>52</v>
      </c>
      <c r="H618" s="71" t="s">
        <v>1078</v>
      </c>
      <c r="I618" s="72"/>
      <c r="J618" s="72" t="s">
        <v>159</v>
      </c>
      <c r="K618" s="71" t="s">
        <v>1078</v>
      </c>
      <c r="L618" s="75">
        <v>213.72340425531914</v>
      </c>
      <c r="M618" s="76">
        <v>7022.3876953125</v>
      </c>
      <c r="N618" s="76">
        <v>4009.7861328125</v>
      </c>
      <c r="O618" s="77"/>
      <c r="P618" s="78"/>
      <c r="Q618" s="78"/>
      <c r="R618" s="82"/>
      <c r="S618" s="48"/>
      <c r="T618" s="48"/>
      <c r="U618" s="49"/>
      <c r="V618" s="49"/>
      <c r="W618" s="49"/>
      <c r="X618" s="49"/>
      <c r="Y618" s="49"/>
      <c r="Z618" s="49"/>
      <c r="AA618" s="73">
        <v>618</v>
      </c>
      <c r="AB618" s="73"/>
      <c r="AC618" s="74"/>
      <c r="AD618" s="80" t="s">
        <v>1078</v>
      </c>
      <c r="AE618" s="80" t="s">
        <v>1787</v>
      </c>
      <c r="AF618" s="80" t="s">
        <v>2412</v>
      </c>
      <c r="AG618" s="80" t="s">
        <v>2986</v>
      </c>
      <c r="AH618" s="80" t="s">
        <v>3491</v>
      </c>
      <c r="AI618" s="80">
        <v>4047</v>
      </c>
      <c r="AJ618" s="80">
        <v>3</v>
      </c>
      <c r="AK618" s="80">
        <v>10</v>
      </c>
      <c r="AL618" s="80">
        <v>0</v>
      </c>
      <c r="AM618" s="80" t="s">
        <v>4098</v>
      </c>
      <c r="AN618" s="96" t="str">
        <f>HYPERLINK("https://www.youtube.com/watch?v=vxjy3hZ5PDw")</f>
        <v>https://www.youtube.com/watch?v=vxjy3hZ5PDw</v>
      </c>
      <c r="AO618" s="80" t="e">
        <f>REPLACE(INDEX(GroupVertices[Group],MATCH(Vertices[[#This Row],[Vertex]],GroupVertices[Vertex],0)),1,1,"")</f>
        <v>#N/A</v>
      </c>
      <c r="AP618" s="48"/>
      <c r="AQ618" s="49"/>
      <c r="AR618" s="48"/>
      <c r="AS618" s="49"/>
      <c r="AT618" s="48"/>
      <c r="AU618" s="49"/>
      <c r="AV618" s="48"/>
      <c r="AW618" s="49"/>
      <c r="AX618" s="48"/>
      <c r="AY618" s="48"/>
      <c r="AZ618" s="48"/>
      <c r="BA618" s="48"/>
      <c r="BB618" s="48"/>
      <c r="BC618" s="2"/>
      <c r="BD618" s="3"/>
      <c r="BE618" s="3"/>
      <c r="BF618" s="3"/>
      <c r="BG618" s="3"/>
    </row>
    <row r="619" spans="1:59" ht="15">
      <c r="A619" s="66" t="s">
        <v>314</v>
      </c>
      <c r="B619" s="67" t="s">
        <v>4461</v>
      </c>
      <c r="C619" s="67"/>
      <c r="D619" s="68">
        <v>513.6217271673436</v>
      </c>
      <c r="E619" s="70"/>
      <c r="F619" s="97" t="str">
        <f>HYPERLINK("https://i.ytimg.com/vi/FpQbMd8PUQ0/default.jpg")</f>
        <v>https://i.ytimg.com/vi/FpQbMd8PUQ0/default.jpg</v>
      </c>
      <c r="G619" s="120" t="s">
        <v>52</v>
      </c>
      <c r="H619" s="71" t="s">
        <v>1014</v>
      </c>
      <c r="I619" s="72"/>
      <c r="J619" s="72" t="s">
        <v>159</v>
      </c>
      <c r="K619" s="71" t="s">
        <v>1014</v>
      </c>
      <c r="L619" s="75">
        <v>213.72340425531914</v>
      </c>
      <c r="M619" s="76">
        <v>5408.3515625</v>
      </c>
      <c r="N619" s="76">
        <v>5693.28955078125</v>
      </c>
      <c r="O619" s="77"/>
      <c r="P619" s="78"/>
      <c r="Q619" s="78"/>
      <c r="R619" s="82"/>
      <c r="S619" s="48"/>
      <c r="T619" s="48"/>
      <c r="U619" s="49"/>
      <c r="V619" s="49"/>
      <c r="W619" s="49"/>
      <c r="X619" s="49"/>
      <c r="Y619" s="49"/>
      <c r="Z619" s="49"/>
      <c r="AA619" s="73">
        <v>619</v>
      </c>
      <c r="AB619" s="73"/>
      <c r="AC619" s="74"/>
      <c r="AD619" s="80" t="s">
        <v>1014</v>
      </c>
      <c r="AE619" s="80" t="s">
        <v>1732</v>
      </c>
      <c r="AF619" s="80" t="s">
        <v>2365</v>
      </c>
      <c r="AG619" s="80" t="s">
        <v>2943</v>
      </c>
      <c r="AH619" s="80" t="s">
        <v>3429</v>
      </c>
      <c r="AI619" s="80">
        <v>3894</v>
      </c>
      <c r="AJ619" s="80">
        <v>1</v>
      </c>
      <c r="AK619" s="80">
        <v>28</v>
      </c>
      <c r="AL619" s="80">
        <v>0</v>
      </c>
      <c r="AM619" s="80" t="s">
        <v>4098</v>
      </c>
      <c r="AN619" s="96" t="str">
        <f>HYPERLINK("https://www.youtube.com/watch?v=FpQbMd8PUQ0")</f>
        <v>https://www.youtube.com/watch?v=FpQbMd8PUQ0</v>
      </c>
      <c r="AO619" s="80" t="e">
        <f>REPLACE(INDEX(GroupVertices[Group],MATCH(Vertices[[#This Row],[Vertex]],GroupVertices[Vertex],0)),1,1,"")</f>
        <v>#N/A</v>
      </c>
      <c r="AP619" s="48"/>
      <c r="AQ619" s="49"/>
      <c r="AR619" s="48"/>
      <c r="AS619" s="49"/>
      <c r="AT619" s="48"/>
      <c r="AU619" s="49"/>
      <c r="AV619" s="48"/>
      <c r="AW619" s="49"/>
      <c r="AX619" s="48"/>
      <c r="AY619" s="48"/>
      <c r="AZ619" s="48"/>
      <c r="BA619" s="48"/>
      <c r="BB619" s="48"/>
      <c r="BC619" s="2"/>
      <c r="BD619" s="3"/>
      <c r="BE619" s="3"/>
      <c r="BF619" s="3"/>
      <c r="BG619" s="3"/>
    </row>
    <row r="620" spans="1:59" ht="15">
      <c r="A620" s="66" t="s">
        <v>683</v>
      </c>
      <c r="B620" s="67" t="s">
        <v>4461</v>
      </c>
      <c r="C620" s="67"/>
      <c r="D620" s="68">
        <v>511.73242052109305</v>
      </c>
      <c r="E620" s="70"/>
      <c r="F620" s="97" t="str">
        <f>HYPERLINK("https://i.ytimg.com/vi/G4uSQsU2cbA/default.jpg")</f>
        <v>https://i.ytimg.com/vi/G4uSQsU2cbA/default.jpg</v>
      </c>
      <c r="G620" s="120" t="s">
        <v>52</v>
      </c>
      <c r="H620" s="71" t="s">
        <v>1424</v>
      </c>
      <c r="I620" s="72"/>
      <c r="J620" s="72" t="s">
        <v>159</v>
      </c>
      <c r="K620" s="71" t="s">
        <v>1424</v>
      </c>
      <c r="L620" s="75">
        <v>213.72340425531914</v>
      </c>
      <c r="M620" s="76">
        <v>7633.353515625</v>
      </c>
      <c r="N620" s="76">
        <v>2527.79150390625</v>
      </c>
      <c r="O620" s="77"/>
      <c r="P620" s="78"/>
      <c r="Q620" s="78"/>
      <c r="R620" s="82"/>
      <c r="S620" s="48"/>
      <c r="T620" s="48"/>
      <c r="U620" s="49"/>
      <c r="V620" s="49"/>
      <c r="W620" s="49"/>
      <c r="X620" s="49"/>
      <c r="Y620" s="49"/>
      <c r="Z620" s="49"/>
      <c r="AA620" s="73">
        <v>620</v>
      </c>
      <c r="AB620" s="73"/>
      <c r="AC620" s="74"/>
      <c r="AD620" s="80" t="s">
        <v>1424</v>
      </c>
      <c r="AE620" s="80" t="s">
        <v>1424</v>
      </c>
      <c r="AF620" s="80" t="s">
        <v>2673</v>
      </c>
      <c r="AG620" s="80" t="s">
        <v>3210</v>
      </c>
      <c r="AH620" s="80" t="s">
        <v>3836</v>
      </c>
      <c r="AI620" s="80">
        <v>3812</v>
      </c>
      <c r="AJ620" s="80">
        <v>1</v>
      </c>
      <c r="AK620" s="80">
        <v>9</v>
      </c>
      <c r="AL620" s="80">
        <v>0</v>
      </c>
      <c r="AM620" s="80" t="s">
        <v>4098</v>
      </c>
      <c r="AN620" s="96" t="str">
        <f>HYPERLINK("https://www.youtube.com/watch?v=G4uSQsU2cbA")</f>
        <v>https://www.youtube.com/watch?v=G4uSQsU2cbA</v>
      </c>
      <c r="AO620" s="80" t="e">
        <f>REPLACE(INDEX(GroupVertices[Group],MATCH(Vertices[[#This Row],[Vertex]],GroupVertices[Vertex],0)),1,1,"")</f>
        <v>#N/A</v>
      </c>
      <c r="AP620" s="48"/>
      <c r="AQ620" s="49"/>
      <c r="AR620" s="48"/>
      <c r="AS620" s="49"/>
      <c r="AT620" s="48"/>
      <c r="AU620" s="49"/>
      <c r="AV620" s="48"/>
      <c r="AW620" s="49"/>
      <c r="AX620" s="48"/>
      <c r="AY620" s="48"/>
      <c r="AZ620" s="48"/>
      <c r="BA620" s="48"/>
      <c r="BB620" s="48"/>
      <c r="BC620" s="2"/>
      <c r="BD620" s="3"/>
      <c r="BE620" s="3"/>
      <c r="BF620" s="3"/>
      <c r="BG620" s="3"/>
    </row>
    <row r="621" spans="1:59" ht="15">
      <c r="A621" s="66" t="s">
        <v>301</v>
      </c>
      <c r="B621" s="67" t="s">
        <v>4461</v>
      </c>
      <c r="C621" s="67"/>
      <c r="D621" s="68">
        <v>510.7489277675945</v>
      </c>
      <c r="E621" s="70"/>
      <c r="F621" s="97" t="str">
        <f>HYPERLINK("https://i.ytimg.com/vi/YedNf0EzaW0/default.jpg")</f>
        <v>https://i.ytimg.com/vi/YedNf0EzaW0/default.jpg</v>
      </c>
      <c r="G621" s="120" t="s">
        <v>52</v>
      </c>
      <c r="H621" s="71" t="s">
        <v>1000</v>
      </c>
      <c r="I621" s="72"/>
      <c r="J621" s="72" t="s">
        <v>159</v>
      </c>
      <c r="K621" s="71" t="s">
        <v>1000</v>
      </c>
      <c r="L621" s="75">
        <v>213.72340425531914</v>
      </c>
      <c r="M621" s="76">
        <v>7650.818359375</v>
      </c>
      <c r="N621" s="76">
        <v>9478.5625</v>
      </c>
      <c r="O621" s="77"/>
      <c r="P621" s="78"/>
      <c r="Q621" s="78"/>
      <c r="R621" s="82"/>
      <c r="S621" s="48"/>
      <c r="T621" s="48"/>
      <c r="U621" s="49"/>
      <c r="V621" s="49"/>
      <c r="W621" s="49"/>
      <c r="X621" s="49"/>
      <c r="Y621" s="49"/>
      <c r="Z621" s="49"/>
      <c r="AA621" s="73">
        <v>621</v>
      </c>
      <c r="AB621" s="73"/>
      <c r="AC621" s="74"/>
      <c r="AD621" s="80" t="s">
        <v>1000</v>
      </c>
      <c r="AE621" s="80" t="s">
        <v>1723</v>
      </c>
      <c r="AF621" s="80" t="s">
        <v>2355</v>
      </c>
      <c r="AG621" s="80" t="s">
        <v>2929</v>
      </c>
      <c r="AH621" s="80" t="s">
        <v>3415</v>
      </c>
      <c r="AI621" s="80">
        <v>3770</v>
      </c>
      <c r="AJ621" s="80">
        <v>0</v>
      </c>
      <c r="AK621" s="80">
        <v>15</v>
      </c>
      <c r="AL621" s="80">
        <v>0</v>
      </c>
      <c r="AM621" s="80" t="s">
        <v>4098</v>
      </c>
      <c r="AN621" s="96" t="str">
        <f>HYPERLINK("https://www.youtube.com/watch?v=YedNf0EzaW0")</f>
        <v>https://www.youtube.com/watch?v=YedNf0EzaW0</v>
      </c>
      <c r="AO621" s="80" t="e">
        <f>REPLACE(INDEX(GroupVertices[Group],MATCH(Vertices[[#This Row],[Vertex]],GroupVertices[Vertex],0)),1,1,"")</f>
        <v>#N/A</v>
      </c>
      <c r="AP621" s="48"/>
      <c r="AQ621" s="49"/>
      <c r="AR621" s="48"/>
      <c r="AS621" s="49"/>
      <c r="AT621" s="48"/>
      <c r="AU621" s="49"/>
      <c r="AV621" s="48"/>
      <c r="AW621" s="49"/>
      <c r="AX621" s="48"/>
      <c r="AY621" s="48"/>
      <c r="AZ621" s="48"/>
      <c r="BA621" s="48"/>
      <c r="BB621" s="48"/>
      <c r="BC621" s="2"/>
      <c r="BD621" s="3"/>
      <c r="BE621" s="3"/>
      <c r="BF621" s="3"/>
      <c r="BG621" s="3"/>
    </row>
    <row r="622" spans="1:59" ht="15">
      <c r="A622" s="66" t="s">
        <v>415</v>
      </c>
      <c r="B622" s="67" t="s">
        <v>4461</v>
      </c>
      <c r="C622" s="67"/>
      <c r="D622" s="68">
        <v>509.06116973733486</v>
      </c>
      <c r="E622" s="70"/>
      <c r="F622" s="97" t="str">
        <f>HYPERLINK("https://i.ytimg.com/vi/qaKKFP4aFiM/default.jpg")</f>
        <v>https://i.ytimg.com/vi/qaKKFP4aFiM/default.jpg</v>
      </c>
      <c r="G622" s="120" t="s">
        <v>52</v>
      </c>
      <c r="H622" s="71" t="s">
        <v>1123</v>
      </c>
      <c r="I622" s="72"/>
      <c r="J622" s="72" t="s">
        <v>159</v>
      </c>
      <c r="K622" s="71" t="s">
        <v>1123</v>
      </c>
      <c r="L622" s="75">
        <v>213.72340425531914</v>
      </c>
      <c r="M622" s="76">
        <v>9397.669921875</v>
      </c>
      <c r="N622" s="76">
        <v>6152.2919921875</v>
      </c>
      <c r="O622" s="77"/>
      <c r="P622" s="78"/>
      <c r="Q622" s="78"/>
      <c r="R622" s="82"/>
      <c r="S622" s="48"/>
      <c r="T622" s="48"/>
      <c r="U622" s="49"/>
      <c r="V622" s="49"/>
      <c r="W622" s="49"/>
      <c r="X622" s="49"/>
      <c r="Y622" s="49"/>
      <c r="Z622" s="49"/>
      <c r="AA622" s="73">
        <v>622</v>
      </c>
      <c r="AB622" s="73"/>
      <c r="AC622" s="74"/>
      <c r="AD622" s="80" t="s">
        <v>1123</v>
      </c>
      <c r="AE622" s="80" t="s">
        <v>1820</v>
      </c>
      <c r="AF622" s="80" t="s">
        <v>2441</v>
      </c>
      <c r="AG622" s="80" t="s">
        <v>3006</v>
      </c>
      <c r="AH622" s="80" t="s">
        <v>3536</v>
      </c>
      <c r="AI622" s="80">
        <v>3699</v>
      </c>
      <c r="AJ622" s="80">
        <v>0</v>
      </c>
      <c r="AK622" s="80">
        <v>2</v>
      </c>
      <c r="AL622" s="80">
        <v>0</v>
      </c>
      <c r="AM622" s="80" t="s">
        <v>4098</v>
      </c>
      <c r="AN622" s="96" t="str">
        <f>HYPERLINK("https://www.youtube.com/watch?v=qaKKFP4aFiM")</f>
        <v>https://www.youtube.com/watch?v=qaKKFP4aFiM</v>
      </c>
      <c r="AO622" s="80" t="e">
        <f>REPLACE(INDEX(GroupVertices[Group],MATCH(Vertices[[#This Row],[Vertex]],GroupVertices[Vertex],0)),1,1,"")</f>
        <v>#N/A</v>
      </c>
      <c r="AP622" s="48"/>
      <c r="AQ622" s="49"/>
      <c r="AR622" s="48"/>
      <c r="AS622" s="49"/>
      <c r="AT622" s="48"/>
      <c r="AU622" s="49"/>
      <c r="AV622" s="48"/>
      <c r="AW622" s="49"/>
      <c r="AX622" s="48"/>
      <c r="AY622" s="48"/>
      <c r="AZ622" s="48"/>
      <c r="BA622" s="48"/>
      <c r="BB622" s="48"/>
      <c r="BC622" s="2"/>
      <c r="BD622" s="3"/>
      <c r="BE622" s="3"/>
      <c r="BF622" s="3"/>
      <c r="BG622" s="3"/>
    </row>
    <row r="623" spans="1:59" ht="15">
      <c r="A623" s="66" t="s">
        <v>449</v>
      </c>
      <c r="B623" s="67" t="s">
        <v>4461</v>
      </c>
      <c r="C623" s="67"/>
      <c r="D623" s="68">
        <v>504.43072984511554</v>
      </c>
      <c r="E623" s="70"/>
      <c r="F623" s="97" t="str">
        <f>HYPERLINK("https://i.ytimg.com/vi/n2aGOi1mEZw/default.jpg")</f>
        <v>https://i.ytimg.com/vi/n2aGOi1mEZw/default.jpg</v>
      </c>
      <c r="G623" s="120" t="s">
        <v>52</v>
      </c>
      <c r="H623" s="71" t="s">
        <v>1158</v>
      </c>
      <c r="I623" s="72"/>
      <c r="J623" s="72" t="s">
        <v>159</v>
      </c>
      <c r="K623" s="71" t="s">
        <v>1158</v>
      </c>
      <c r="L623" s="75">
        <v>213.72340425531914</v>
      </c>
      <c r="M623" s="76">
        <v>2805.270751953125</v>
      </c>
      <c r="N623" s="76">
        <v>9041.375</v>
      </c>
      <c r="O623" s="77"/>
      <c r="P623" s="78"/>
      <c r="Q623" s="78"/>
      <c r="R623" s="82"/>
      <c r="S623" s="48"/>
      <c r="T623" s="48"/>
      <c r="U623" s="49"/>
      <c r="V623" s="49"/>
      <c r="W623" s="49"/>
      <c r="X623" s="49"/>
      <c r="Y623" s="49"/>
      <c r="Z623" s="49"/>
      <c r="AA623" s="73">
        <v>623</v>
      </c>
      <c r="AB623" s="73"/>
      <c r="AC623" s="74"/>
      <c r="AD623" s="80" t="s">
        <v>1158</v>
      </c>
      <c r="AE623" s="80" t="s">
        <v>1849</v>
      </c>
      <c r="AF623" s="80" t="s">
        <v>2469</v>
      </c>
      <c r="AG623" s="80" t="s">
        <v>2907</v>
      </c>
      <c r="AH623" s="80" t="s">
        <v>3571</v>
      </c>
      <c r="AI623" s="80">
        <v>3511</v>
      </c>
      <c r="AJ623" s="80">
        <v>12</v>
      </c>
      <c r="AK623" s="80">
        <v>29</v>
      </c>
      <c r="AL623" s="80">
        <v>0</v>
      </c>
      <c r="AM623" s="80" t="s">
        <v>4098</v>
      </c>
      <c r="AN623" s="96" t="str">
        <f>HYPERLINK("https://www.youtube.com/watch?v=n2aGOi1mEZw")</f>
        <v>https://www.youtube.com/watch?v=n2aGOi1mEZw</v>
      </c>
      <c r="AO623" s="80" t="e">
        <f>REPLACE(INDEX(GroupVertices[Group],MATCH(Vertices[[#This Row],[Vertex]],GroupVertices[Vertex],0)),1,1,"")</f>
        <v>#N/A</v>
      </c>
      <c r="AP623" s="48"/>
      <c r="AQ623" s="49"/>
      <c r="AR623" s="48"/>
      <c r="AS623" s="49"/>
      <c r="AT623" s="48"/>
      <c r="AU623" s="49"/>
      <c r="AV623" s="48"/>
      <c r="AW623" s="49"/>
      <c r="AX623" s="48"/>
      <c r="AY623" s="48"/>
      <c r="AZ623" s="48"/>
      <c r="BA623" s="48"/>
      <c r="BB623" s="48"/>
      <c r="BC623" s="2"/>
      <c r="BD623" s="3"/>
      <c r="BE623" s="3"/>
      <c r="BF623" s="3"/>
      <c r="BG623" s="3"/>
    </row>
    <row r="624" spans="1:59" ht="15">
      <c r="A624" s="66" t="s">
        <v>911</v>
      </c>
      <c r="B624" s="67" t="s">
        <v>4461</v>
      </c>
      <c r="C624" s="67"/>
      <c r="D624" s="68">
        <v>499.6788726284162</v>
      </c>
      <c r="E624" s="70"/>
      <c r="F624" s="97" t="str">
        <f>HYPERLINK("https://i.ytimg.com/vi/WG0ZCPF3bAQ/default.jpg")</f>
        <v>https://i.ytimg.com/vi/WG0ZCPF3bAQ/default.jpg</v>
      </c>
      <c r="G624" s="120" t="s">
        <v>52</v>
      </c>
      <c r="H624" s="71" t="s">
        <v>1649</v>
      </c>
      <c r="I624" s="72"/>
      <c r="J624" s="72" t="s">
        <v>159</v>
      </c>
      <c r="K624" s="71" t="s">
        <v>1649</v>
      </c>
      <c r="L624" s="75">
        <v>213.72340425531914</v>
      </c>
      <c r="M624" s="76">
        <v>926.310791015625</v>
      </c>
      <c r="N624" s="76">
        <v>5157.80517578125</v>
      </c>
      <c r="O624" s="77"/>
      <c r="P624" s="78"/>
      <c r="Q624" s="78"/>
      <c r="R624" s="82"/>
      <c r="S624" s="48"/>
      <c r="T624" s="48"/>
      <c r="U624" s="49"/>
      <c r="V624" s="49"/>
      <c r="W624" s="49"/>
      <c r="X624" s="49"/>
      <c r="Y624" s="49"/>
      <c r="Z624" s="49"/>
      <c r="AA624" s="73">
        <v>624</v>
      </c>
      <c r="AB624" s="73"/>
      <c r="AC624" s="74"/>
      <c r="AD624" s="80" t="s">
        <v>1649</v>
      </c>
      <c r="AE624" s="80" t="s">
        <v>2286</v>
      </c>
      <c r="AF624" s="80" t="s">
        <v>2868</v>
      </c>
      <c r="AG624" s="80" t="s">
        <v>2905</v>
      </c>
      <c r="AH624" s="80" t="s">
        <v>4065</v>
      </c>
      <c r="AI624" s="80">
        <v>3328</v>
      </c>
      <c r="AJ624" s="80">
        <v>2</v>
      </c>
      <c r="AK624" s="80">
        <v>7</v>
      </c>
      <c r="AL624" s="80">
        <v>0</v>
      </c>
      <c r="AM624" s="80" t="s">
        <v>4098</v>
      </c>
      <c r="AN624" s="96" t="str">
        <f>HYPERLINK("https://www.youtube.com/watch?v=WG0ZCPF3bAQ")</f>
        <v>https://www.youtube.com/watch?v=WG0ZCPF3bAQ</v>
      </c>
      <c r="AO624" s="80" t="e">
        <f>REPLACE(INDEX(GroupVertices[Group],MATCH(Vertices[[#This Row],[Vertex]],GroupVertices[Vertex],0)),1,1,"")</f>
        <v>#N/A</v>
      </c>
      <c r="AP624" s="48"/>
      <c r="AQ624" s="49"/>
      <c r="AR624" s="48"/>
      <c r="AS624" s="49"/>
      <c r="AT624" s="48"/>
      <c r="AU624" s="49"/>
      <c r="AV624" s="48"/>
      <c r="AW624" s="49"/>
      <c r="AX624" s="48"/>
      <c r="AY624" s="48"/>
      <c r="AZ624" s="48"/>
      <c r="BA624" s="48"/>
      <c r="BB624" s="48"/>
      <c r="BC624" s="2"/>
      <c r="BD624" s="3"/>
      <c r="BE624" s="3"/>
      <c r="BF624" s="3"/>
      <c r="BG624" s="3"/>
    </row>
    <row r="625" spans="1:59" ht="15">
      <c r="A625" s="66" t="s">
        <v>528</v>
      </c>
      <c r="B625" s="67" t="s">
        <v>4461</v>
      </c>
      <c r="C625" s="67"/>
      <c r="D625" s="68">
        <v>497.3273638906427</v>
      </c>
      <c r="E625" s="70"/>
      <c r="F625" s="97" t="str">
        <f>HYPERLINK("https://i.ytimg.com/vi/F1A8qfYkbyU/default.jpg")</f>
        <v>https://i.ytimg.com/vi/F1A8qfYkbyU/default.jpg</v>
      </c>
      <c r="G625" s="120" t="s">
        <v>52</v>
      </c>
      <c r="H625" s="71" t="s">
        <v>1259</v>
      </c>
      <c r="I625" s="72"/>
      <c r="J625" s="72" t="s">
        <v>159</v>
      </c>
      <c r="K625" s="71" t="s">
        <v>1259</v>
      </c>
      <c r="L625" s="75">
        <v>213.72340425531914</v>
      </c>
      <c r="M625" s="76">
        <v>9241.6748046875</v>
      </c>
      <c r="N625" s="76">
        <v>9777.599609375</v>
      </c>
      <c r="O625" s="77"/>
      <c r="P625" s="78"/>
      <c r="Q625" s="78"/>
      <c r="R625" s="82"/>
      <c r="S625" s="48"/>
      <c r="T625" s="48"/>
      <c r="U625" s="49"/>
      <c r="V625" s="49"/>
      <c r="W625" s="49"/>
      <c r="X625" s="49"/>
      <c r="Y625" s="49"/>
      <c r="Z625" s="49"/>
      <c r="AA625" s="73">
        <v>625</v>
      </c>
      <c r="AB625" s="73"/>
      <c r="AC625" s="74"/>
      <c r="AD625" s="80" t="s">
        <v>1259</v>
      </c>
      <c r="AE625" s="80" t="s">
        <v>1936</v>
      </c>
      <c r="AF625" s="80" t="s">
        <v>2545</v>
      </c>
      <c r="AG625" s="80" t="s">
        <v>2969</v>
      </c>
      <c r="AH625" s="80" t="s">
        <v>3671</v>
      </c>
      <c r="AI625" s="80">
        <v>3241</v>
      </c>
      <c r="AJ625" s="80">
        <v>2</v>
      </c>
      <c r="AK625" s="80">
        <v>14</v>
      </c>
      <c r="AL625" s="80">
        <v>0</v>
      </c>
      <c r="AM625" s="80" t="s">
        <v>4098</v>
      </c>
      <c r="AN625" s="96" t="str">
        <f>HYPERLINK("https://www.youtube.com/watch?v=F1A8qfYkbyU")</f>
        <v>https://www.youtube.com/watch?v=F1A8qfYkbyU</v>
      </c>
      <c r="AO625" s="80" t="e">
        <f>REPLACE(INDEX(GroupVertices[Group],MATCH(Vertices[[#This Row],[Vertex]],GroupVertices[Vertex],0)),1,1,"")</f>
        <v>#N/A</v>
      </c>
      <c r="AP625" s="48"/>
      <c r="AQ625" s="49"/>
      <c r="AR625" s="48"/>
      <c r="AS625" s="49"/>
      <c r="AT625" s="48"/>
      <c r="AU625" s="49"/>
      <c r="AV625" s="48"/>
      <c r="AW625" s="49"/>
      <c r="AX625" s="48"/>
      <c r="AY625" s="48"/>
      <c r="AZ625" s="48"/>
      <c r="BA625" s="48"/>
      <c r="BB625" s="48"/>
      <c r="BC625" s="2"/>
      <c r="BD625" s="3"/>
      <c r="BE625" s="3"/>
      <c r="BF625" s="3"/>
      <c r="BG625" s="3"/>
    </row>
    <row r="626" spans="1:59" ht="15">
      <c r="A626" s="66" t="s">
        <v>778</v>
      </c>
      <c r="B626" s="67" t="s">
        <v>4461</v>
      </c>
      <c r="C626" s="67"/>
      <c r="D626" s="68">
        <v>495.05248198416535</v>
      </c>
      <c r="E626" s="70"/>
      <c r="F626" s="97" t="str">
        <f>HYPERLINK("https://i.ytimg.com/vi/-qgkB0XD4bM/default.jpg")</f>
        <v>https://i.ytimg.com/vi/-qgkB0XD4bM/default.jpg</v>
      </c>
      <c r="G626" s="120" t="s">
        <v>52</v>
      </c>
      <c r="H626" s="71" t="s">
        <v>1518</v>
      </c>
      <c r="I626" s="72"/>
      <c r="J626" s="72" t="s">
        <v>159</v>
      </c>
      <c r="K626" s="71" t="s">
        <v>1518</v>
      </c>
      <c r="L626" s="75">
        <v>213.72340425531914</v>
      </c>
      <c r="M626" s="76">
        <v>106.14649963378906</v>
      </c>
      <c r="N626" s="76">
        <v>7545.02685546875</v>
      </c>
      <c r="O626" s="77"/>
      <c r="P626" s="78"/>
      <c r="Q626" s="78"/>
      <c r="R626" s="82"/>
      <c r="S626" s="48"/>
      <c r="T626" s="48"/>
      <c r="U626" s="49"/>
      <c r="V626" s="49"/>
      <c r="W626" s="49"/>
      <c r="X626" s="49"/>
      <c r="Y626" s="49"/>
      <c r="Z626" s="49"/>
      <c r="AA626" s="73">
        <v>626</v>
      </c>
      <c r="AB626" s="73"/>
      <c r="AC626" s="74"/>
      <c r="AD626" s="80" t="s">
        <v>1518</v>
      </c>
      <c r="AE626" s="80" t="s">
        <v>2168</v>
      </c>
      <c r="AF626" s="80" t="s">
        <v>2754</v>
      </c>
      <c r="AG626" s="80" t="s">
        <v>3276</v>
      </c>
      <c r="AH626" s="80" t="s">
        <v>3932</v>
      </c>
      <c r="AI626" s="80">
        <v>3159</v>
      </c>
      <c r="AJ626" s="80">
        <v>1</v>
      </c>
      <c r="AK626" s="80">
        <v>36</v>
      </c>
      <c r="AL626" s="80">
        <v>0</v>
      </c>
      <c r="AM626" s="80" t="s">
        <v>4098</v>
      </c>
      <c r="AN626" s="96" t="str">
        <f>HYPERLINK("https://www.youtube.com/watch?v=-qgkB0XD4bM")</f>
        <v>https://www.youtube.com/watch?v=-qgkB0XD4bM</v>
      </c>
      <c r="AO626" s="80" t="e">
        <f>REPLACE(INDEX(GroupVertices[Group],MATCH(Vertices[[#This Row],[Vertex]],GroupVertices[Vertex],0)),1,1,"")</f>
        <v>#N/A</v>
      </c>
      <c r="AP626" s="48"/>
      <c r="AQ626" s="49"/>
      <c r="AR626" s="48"/>
      <c r="AS626" s="49"/>
      <c r="AT626" s="48"/>
      <c r="AU626" s="49"/>
      <c r="AV626" s="48"/>
      <c r="AW626" s="49"/>
      <c r="AX626" s="48"/>
      <c r="AY626" s="48"/>
      <c r="AZ626" s="48"/>
      <c r="BA626" s="48"/>
      <c r="BB626" s="48"/>
      <c r="BC626" s="2"/>
      <c r="BD626" s="3"/>
      <c r="BE626" s="3"/>
      <c r="BF626" s="3"/>
      <c r="BG626" s="3"/>
    </row>
    <row r="627" spans="1:59" ht="15">
      <c r="A627" s="66" t="s">
        <v>303</v>
      </c>
      <c r="B627" s="67" t="s">
        <v>4461</v>
      </c>
      <c r="C627" s="67"/>
      <c r="D627" s="68">
        <v>492.9194860162813</v>
      </c>
      <c r="E627" s="70"/>
      <c r="F627" s="97" t="str">
        <f>HYPERLINK("https://i.ytimg.com/vi/7G3MxyOcHKQ/default.jpg")</f>
        <v>https://i.ytimg.com/vi/7G3MxyOcHKQ/default.jpg</v>
      </c>
      <c r="G627" s="120" t="s">
        <v>52</v>
      </c>
      <c r="H627" s="71" t="s">
        <v>1002</v>
      </c>
      <c r="I627" s="72"/>
      <c r="J627" s="72" t="s">
        <v>159</v>
      </c>
      <c r="K627" s="71" t="s">
        <v>1002</v>
      </c>
      <c r="L627" s="75">
        <v>213.72340425531914</v>
      </c>
      <c r="M627" s="76">
        <v>8127.4638671875</v>
      </c>
      <c r="N627" s="76">
        <v>9851.9794921875</v>
      </c>
      <c r="O627" s="77"/>
      <c r="P627" s="78"/>
      <c r="Q627" s="78"/>
      <c r="R627" s="82"/>
      <c r="S627" s="48"/>
      <c r="T627" s="48"/>
      <c r="U627" s="49"/>
      <c r="V627" s="49"/>
      <c r="W627" s="49"/>
      <c r="X627" s="49"/>
      <c r="Y627" s="49"/>
      <c r="Z627" s="49"/>
      <c r="AA627" s="73">
        <v>627</v>
      </c>
      <c r="AB627" s="73"/>
      <c r="AC627" s="74"/>
      <c r="AD627" s="80" t="s">
        <v>1002</v>
      </c>
      <c r="AE627" s="80" t="s">
        <v>1724</v>
      </c>
      <c r="AF627" s="80" t="s">
        <v>2356</v>
      </c>
      <c r="AG627" s="80" t="s">
        <v>2931</v>
      </c>
      <c r="AH627" s="80" t="s">
        <v>3417</v>
      </c>
      <c r="AI627" s="80">
        <v>3084</v>
      </c>
      <c r="AJ627" s="80">
        <v>1</v>
      </c>
      <c r="AK627" s="80">
        <v>10</v>
      </c>
      <c r="AL627" s="80">
        <v>0</v>
      </c>
      <c r="AM627" s="80" t="s">
        <v>4098</v>
      </c>
      <c r="AN627" s="96" t="str">
        <f>HYPERLINK("https://www.youtube.com/watch?v=7G3MxyOcHKQ")</f>
        <v>https://www.youtube.com/watch?v=7G3MxyOcHKQ</v>
      </c>
      <c r="AO627" s="80" t="e">
        <f>REPLACE(INDEX(GroupVertices[Group],MATCH(Vertices[[#This Row],[Vertex]],GroupVertices[Vertex],0)),1,1,"")</f>
        <v>#N/A</v>
      </c>
      <c r="AP627" s="48"/>
      <c r="AQ627" s="49"/>
      <c r="AR627" s="48"/>
      <c r="AS627" s="49"/>
      <c r="AT627" s="48"/>
      <c r="AU627" s="49"/>
      <c r="AV627" s="48"/>
      <c r="AW627" s="49"/>
      <c r="AX627" s="48"/>
      <c r="AY627" s="48"/>
      <c r="AZ627" s="48"/>
      <c r="BA627" s="48"/>
      <c r="BB627" s="48"/>
      <c r="BC627" s="2"/>
      <c r="BD627" s="3"/>
      <c r="BE627" s="3"/>
      <c r="BF627" s="3"/>
      <c r="BG627" s="3"/>
    </row>
    <row r="628" spans="1:59" ht="15">
      <c r="A628" s="66" t="s">
        <v>781</v>
      </c>
      <c r="B628" s="67" t="s">
        <v>4461</v>
      </c>
      <c r="C628" s="67"/>
      <c r="D628" s="68">
        <v>492.2839602080448</v>
      </c>
      <c r="E628" s="70"/>
      <c r="F628" s="97" t="str">
        <f>HYPERLINK("https://i.ytimg.com/vi/fYLobCxHP5w/default.jpg")</f>
        <v>https://i.ytimg.com/vi/fYLobCxHP5w/default.jpg</v>
      </c>
      <c r="G628" s="120" t="s">
        <v>52</v>
      </c>
      <c r="H628" s="71" t="s">
        <v>1521</v>
      </c>
      <c r="I628" s="72"/>
      <c r="J628" s="72" t="s">
        <v>159</v>
      </c>
      <c r="K628" s="71" t="s">
        <v>1521</v>
      </c>
      <c r="L628" s="75">
        <v>213.72340425531914</v>
      </c>
      <c r="M628" s="76">
        <v>117.86363220214844</v>
      </c>
      <c r="N628" s="76">
        <v>7252.177734375</v>
      </c>
      <c r="O628" s="77"/>
      <c r="P628" s="78"/>
      <c r="Q628" s="78"/>
      <c r="R628" s="82"/>
      <c r="S628" s="48"/>
      <c r="T628" s="48"/>
      <c r="U628" s="49"/>
      <c r="V628" s="49"/>
      <c r="W628" s="49"/>
      <c r="X628" s="49"/>
      <c r="Y628" s="49"/>
      <c r="Z628" s="49"/>
      <c r="AA628" s="73">
        <v>628</v>
      </c>
      <c r="AB628" s="73"/>
      <c r="AC628" s="74"/>
      <c r="AD628" s="80" t="s">
        <v>1521</v>
      </c>
      <c r="AE628" s="80" t="s">
        <v>2171</v>
      </c>
      <c r="AF628" s="80" t="s">
        <v>2757</v>
      </c>
      <c r="AG628" s="80" t="s">
        <v>3277</v>
      </c>
      <c r="AH628" s="80" t="s">
        <v>3935</v>
      </c>
      <c r="AI628" s="80">
        <v>3062</v>
      </c>
      <c r="AJ628" s="80">
        <v>1</v>
      </c>
      <c r="AK628" s="80">
        <v>32</v>
      </c>
      <c r="AL628" s="80">
        <v>0</v>
      </c>
      <c r="AM628" s="80" t="s">
        <v>4098</v>
      </c>
      <c r="AN628" s="96" t="str">
        <f>HYPERLINK("https://www.youtube.com/watch?v=fYLobCxHP5w")</f>
        <v>https://www.youtube.com/watch?v=fYLobCxHP5w</v>
      </c>
      <c r="AO628" s="80" t="e">
        <f>REPLACE(INDEX(GroupVertices[Group],MATCH(Vertices[[#This Row],[Vertex]],GroupVertices[Vertex],0)),1,1,"")</f>
        <v>#N/A</v>
      </c>
      <c r="AP628" s="48"/>
      <c r="AQ628" s="49"/>
      <c r="AR628" s="48"/>
      <c r="AS628" s="49"/>
      <c r="AT628" s="48"/>
      <c r="AU628" s="49"/>
      <c r="AV628" s="48"/>
      <c r="AW628" s="49"/>
      <c r="AX628" s="48"/>
      <c r="AY628" s="48"/>
      <c r="AZ628" s="48"/>
      <c r="BA628" s="48"/>
      <c r="BB628" s="48"/>
      <c r="BC628" s="2"/>
      <c r="BD628" s="3"/>
      <c r="BE628" s="3"/>
      <c r="BF628" s="3"/>
      <c r="BG628" s="3"/>
    </row>
    <row r="629" spans="1:59" ht="15">
      <c r="A629" s="66" t="s">
        <v>298</v>
      </c>
      <c r="B629" s="67" t="s">
        <v>4461</v>
      </c>
      <c r="C629" s="67"/>
      <c r="D629" s="68">
        <v>491.4684726507112</v>
      </c>
      <c r="E629" s="70"/>
      <c r="F629" s="97" t="str">
        <f>HYPERLINK("https://i.ytimg.com/vi/1TUyoHppfso/default.jpg")</f>
        <v>https://i.ytimg.com/vi/1TUyoHppfso/default.jpg</v>
      </c>
      <c r="G629" s="120" t="s">
        <v>52</v>
      </c>
      <c r="H629" s="71" t="s">
        <v>997</v>
      </c>
      <c r="I629" s="72"/>
      <c r="J629" s="72" t="s">
        <v>159</v>
      </c>
      <c r="K629" s="71" t="s">
        <v>997</v>
      </c>
      <c r="L629" s="75">
        <v>213.72340425531914</v>
      </c>
      <c r="M629" s="76">
        <v>8041.53857421875</v>
      </c>
      <c r="N629" s="76">
        <v>9528.8291015625</v>
      </c>
      <c r="O629" s="77"/>
      <c r="P629" s="78"/>
      <c r="Q629" s="78"/>
      <c r="R629" s="82"/>
      <c r="S629" s="48"/>
      <c r="T629" s="48"/>
      <c r="U629" s="49"/>
      <c r="V629" s="49"/>
      <c r="W629" s="49"/>
      <c r="X629" s="49"/>
      <c r="Y629" s="49"/>
      <c r="Z629" s="49"/>
      <c r="AA629" s="73">
        <v>629</v>
      </c>
      <c r="AB629" s="73"/>
      <c r="AC629" s="74"/>
      <c r="AD629" s="80" t="s">
        <v>997</v>
      </c>
      <c r="AE629" s="80" t="s">
        <v>1720</v>
      </c>
      <c r="AF629" s="80" t="s">
        <v>2352</v>
      </c>
      <c r="AG629" s="80" t="s">
        <v>2926</v>
      </c>
      <c r="AH629" s="80" t="s">
        <v>3412</v>
      </c>
      <c r="AI629" s="80">
        <v>3034</v>
      </c>
      <c r="AJ629" s="80">
        <v>0</v>
      </c>
      <c r="AK629" s="80">
        <v>7</v>
      </c>
      <c r="AL629" s="80">
        <v>0</v>
      </c>
      <c r="AM629" s="80" t="s">
        <v>4098</v>
      </c>
      <c r="AN629" s="96" t="str">
        <f>HYPERLINK("https://www.youtube.com/watch?v=1TUyoHppfso")</f>
        <v>https://www.youtube.com/watch?v=1TUyoHppfso</v>
      </c>
      <c r="AO629" s="80" t="e">
        <f>REPLACE(INDEX(GroupVertices[Group],MATCH(Vertices[[#This Row],[Vertex]],GroupVertices[Vertex],0)),1,1,"")</f>
        <v>#N/A</v>
      </c>
      <c r="AP629" s="48"/>
      <c r="AQ629" s="49"/>
      <c r="AR629" s="48"/>
      <c r="AS629" s="49"/>
      <c r="AT629" s="48"/>
      <c r="AU629" s="49"/>
      <c r="AV629" s="48"/>
      <c r="AW629" s="49"/>
      <c r="AX629" s="48"/>
      <c r="AY629" s="48"/>
      <c r="AZ629" s="48"/>
      <c r="BA629" s="48"/>
      <c r="BB629" s="48"/>
      <c r="BC629" s="2"/>
      <c r="BD629" s="3"/>
      <c r="BE629" s="3"/>
      <c r="BF629" s="3"/>
      <c r="BG629" s="3"/>
    </row>
    <row r="630" spans="1:59" ht="15">
      <c r="A630" s="66" t="s">
        <v>350</v>
      </c>
      <c r="B630" s="67" t="s">
        <v>4461</v>
      </c>
      <c r="C630" s="67"/>
      <c r="D630" s="68">
        <v>488.31157230883264</v>
      </c>
      <c r="E630" s="70"/>
      <c r="F630" s="97" t="str">
        <f>HYPERLINK("https://i.ytimg.com/vi/6JCH-Wx_LRA/default.jpg")</f>
        <v>https://i.ytimg.com/vi/6JCH-Wx_LRA/default.jpg</v>
      </c>
      <c r="G630" s="120" t="s">
        <v>52</v>
      </c>
      <c r="H630" s="71" t="s">
        <v>1054</v>
      </c>
      <c r="I630" s="72"/>
      <c r="J630" s="72" t="s">
        <v>159</v>
      </c>
      <c r="K630" s="71" t="s">
        <v>1054</v>
      </c>
      <c r="L630" s="75">
        <v>213.72340425531914</v>
      </c>
      <c r="M630" s="76">
        <v>4259.29736328125</v>
      </c>
      <c r="N630" s="76">
        <v>6210.5537109375</v>
      </c>
      <c r="O630" s="77"/>
      <c r="P630" s="78"/>
      <c r="Q630" s="78"/>
      <c r="R630" s="82"/>
      <c r="S630" s="48"/>
      <c r="T630" s="48"/>
      <c r="U630" s="49"/>
      <c r="V630" s="49"/>
      <c r="W630" s="49"/>
      <c r="X630" s="49"/>
      <c r="Y630" s="49"/>
      <c r="Z630" s="49"/>
      <c r="AA630" s="73">
        <v>630</v>
      </c>
      <c r="AB630" s="73"/>
      <c r="AC630" s="74"/>
      <c r="AD630" s="80" t="s">
        <v>1054</v>
      </c>
      <c r="AE630" s="80" t="s">
        <v>1765</v>
      </c>
      <c r="AF630" s="80" t="s">
        <v>2393</v>
      </c>
      <c r="AG630" s="80" t="s">
        <v>2977</v>
      </c>
      <c r="AH630" s="80" t="s">
        <v>3469</v>
      </c>
      <c r="AI630" s="80">
        <v>2928</v>
      </c>
      <c r="AJ630" s="80">
        <v>18</v>
      </c>
      <c r="AK630" s="80">
        <v>39</v>
      </c>
      <c r="AL630" s="80">
        <v>0</v>
      </c>
      <c r="AM630" s="80" t="s">
        <v>4098</v>
      </c>
      <c r="AN630" s="96" t="str">
        <f>HYPERLINK("https://www.youtube.com/watch?v=6JCH-Wx_LRA")</f>
        <v>https://www.youtube.com/watch?v=6JCH-Wx_LRA</v>
      </c>
      <c r="AO630" s="80" t="e">
        <f>REPLACE(INDEX(GroupVertices[Group],MATCH(Vertices[[#This Row],[Vertex]],GroupVertices[Vertex],0)),1,1,"")</f>
        <v>#N/A</v>
      </c>
      <c r="AP630" s="48"/>
      <c r="AQ630" s="49"/>
      <c r="AR630" s="48"/>
      <c r="AS630" s="49"/>
      <c r="AT630" s="48"/>
      <c r="AU630" s="49"/>
      <c r="AV630" s="48"/>
      <c r="AW630" s="49"/>
      <c r="AX630" s="48"/>
      <c r="AY630" s="48"/>
      <c r="AZ630" s="48"/>
      <c r="BA630" s="48"/>
      <c r="BB630" s="48"/>
      <c r="BC630" s="2"/>
      <c r="BD630" s="3"/>
      <c r="BE630" s="3"/>
      <c r="BF630" s="3"/>
      <c r="BG630" s="3"/>
    </row>
    <row r="631" spans="1:59" ht="15">
      <c r="A631" s="66" t="s">
        <v>742</v>
      </c>
      <c r="B631" s="67" t="s">
        <v>4461</v>
      </c>
      <c r="C631" s="67"/>
      <c r="D631" s="68">
        <v>486.9982320235825</v>
      </c>
      <c r="E631" s="70"/>
      <c r="F631" s="97" t="str">
        <f>HYPERLINK("https://i.ytimg.com/vi/0CqVF1iAz_Q/default.jpg")</f>
        <v>https://i.ytimg.com/vi/0CqVF1iAz_Q/default.jpg</v>
      </c>
      <c r="G631" s="120" t="s">
        <v>52</v>
      </c>
      <c r="H631" s="71" t="s">
        <v>1483</v>
      </c>
      <c r="I631" s="72"/>
      <c r="J631" s="72" t="s">
        <v>159</v>
      </c>
      <c r="K631" s="71" t="s">
        <v>1483</v>
      </c>
      <c r="L631" s="75">
        <v>213.72340425531914</v>
      </c>
      <c r="M631" s="76">
        <v>3392.8037109375</v>
      </c>
      <c r="N631" s="76">
        <v>4809.2939453125</v>
      </c>
      <c r="O631" s="77"/>
      <c r="P631" s="78"/>
      <c r="Q631" s="78"/>
      <c r="R631" s="82"/>
      <c r="S631" s="48"/>
      <c r="T631" s="48"/>
      <c r="U631" s="49"/>
      <c r="V631" s="49"/>
      <c r="W631" s="49"/>
      <c r="X631" s="49"/>
      <c r="Y631" s="49"/>
      <c r="Z631" s="49"/>
      <c r="AA631" s="73">
        <v>631</v>
      </c>
      <c r="AB631" s="73"/>
      <c r="AC631" s="74"/>
      <c r="AD631" s="80" t="s">
        <v>1483</v>
      </c>
      <c r="AE631" s="80" t="s">
        <v>2138</v>
      </c>
      <c r="AF631" s="80" t="s">
        <v>2726</v>
      </c>
      <c r="AG631" s="80" t="s">
        <v>3252</v>
      </c>
      <c r="AH631" s="80" t="s">
        <v>3896</v>
      </c>
      <c r="AI631" s="80">
        <v>2885</v>
      </c>
      <c r="AJ631" s="80">
        <v>0</v>
      </c>
      <c r="AK631" s="80">
        <v>8</v>
      </c>
      <c r="AL631" s="80">
        <v>0</v>
      </c>
      <c r="AM631" s="80" t="s">
        <v>4098</v>
      </c>
      <c r="AN631" s="96" t="str">
        <f>HYPERLINK("https://www.youtube.com/watch?v=0CqVF1iAz_Q")</f>
        <v>https://www.youtube.com/watch?v=0CqVF1iAz_Q</v>
      </c>
      <c r="AO631" s="80" t="e">
        <f>REPLACE(INDEX(GroupVertices[Group],MATCH(Vertices[[#This Row],[Vertex]],GroupVertices[Vertex],0)),1,1,"")</f>
        <v>#N/A</v>
      </c>
      <c r="AP631" s="48"/>
      <c r="AQ631" s="49"/>
      <c r="AR631" s="48"/>
      <c r="AS631" s="49"/>
      <c r="AT631" s="48"/>
      <c r="AU631" s="49"/>
      <c r="AV631" s="48"/>
      <c r="AW631" s="49"/>
      <c r="AX631" s="48"/>
      <c r="AY631" s="48"/>
      <c r="AZ631" s="48"/>
      <c r="BA631" s="48"/>
      <c r="BB631" s="48"/>
      <c r="BC631" s="2"/>
      <c r="BD631" s="3"/>
      <c r="BE631" s="3"/>
      <c r="BF631" s="3"/>
      <c r="BG631" s="3"/>
    </row>
    <row r="632" spans="1:59" ht="15">
      <c r="A632" s="66" t="s">
        <v>761</v>
      </c>
      <c r="B632" s="67" t="s">
        <v>4461</v>
      </c>
      <c r="C632" s="67"/>
      <c r="D632" s="68">
        <v>485.3836044037634</v>
      </c>
      <c r="E632" s="70"/>
      <c r="F632" s="97" t="str">
        <f>HYPERLINK("https://i.ytimg.com/vi/63yOV4zfIBg/default.jpg")</f>
        <v>https://i.ytimg.com/vi/63yOV4zfIBg/default.jpg</v>
      </c>
      <c r="G632" s="120" t="s">
        <v>52</v>
      </c>
      <c r="H632" s="71" t="s">
        <v>1501</v>
      </c>
      <c r="I632" s="72"/>
      <c r="J632" s="72" t="s">
        <v>159</v>
      </c>
      <c r="K632" s="71" t="s">
        <v>1501</v>
      </c>
      <c r="L632" s="75">
        <v>213.72340425531914</v>
      </c>
      <c r="M632" s="76">
        <v>4386.70361328125</v>
      </c>
      <c r="N632" s="76">
        <v>9349.9248046875</v>
      </c>
      <c r="O632" s="77"/>
      <c r="P632" s="78"/>
      <c r="Q632" s="78"/>
      <c r="R632" s="82"/>
      <c r="S632" s="48"/>
      <c r="T632" s="48"/>
      <c r="U632" s="49"/>
      <c r="V632" s="49"/>
      <c r="W632" s="49"/>
      <c r="X632" s="49"/>
      <c r="Y632" s="49"/>
      <c r="Z632" s="49"/>
      <c r="AA632" s="73">
        <v>632</v>
      </c>
      <c r="AB632" s="73"/>
      <c r="AC632" s="74"/>
      <c r="AD632" s="80" t="s">
        <v>1501</v>
      </c>
      <c r="AE632" s="80"/>
      <c r="AF632" s="80"/>
      <c r="AG632" s="80" t="s">
        <v>3057</v>
      </c>
      <c r="AH632" s="80" t="s">
        <v>3915</v>
      </c>
      <c r="AI632" s="80">
        <v>2833</v>
      </c>
      <c r="AJ632" s="80">
        <v>1</v>
      </c>
      <c r="AK632" s="80">
        <v>10</v>
      </c>
      <c r="AL632" s="80">
        <v>0</v>
      </c>
      <c r="AM632" s="80" t="s">
        <v>4098</v>
      </c>
      <c r="AN632" s="96" t="str">
        <f>HYPERLINK("https://www.youtube.com/watch?v=63yOV4zfIBg")</f>
        <v>https://www.youtube.com/watch?v=63yOV4zfIBg</v>
      </c>
      <c r="AO632" s="80" t="e">
        <f>REPLACE(INDEX(GroupVertices[Group],MATCH(Vertices[[#This Row],[Vertex]],GroupVertices[Vertex],0)),1,1,"")</f>
        <v>#N/A</v>
      </c>
      <c r="AP632" s="48"/>
      <c r="AQ632" s="49"/>
      <c r="AR632" s="48"/>
      <c r="AS632" s="49"/>
      <c r="AT632" s="48"/>
      <c r="AU632" s="49"/>
      <c r="AV632" s="48"/>
      <c r="AW632" s="49"/>
      <c r="AX632" s="48"/>
      <c r="AY632" s="48"/>
      <c r="AZ632" s="48"/>
      <c r="BA632" s="48"/>
      <c r="BB632" s="48"/>
      <c r="BC632" s="2"/>
      <c r="BD632" s="3"/>
      <c r="BE632" s="3"/>
      <c r="BF632" s="3"/>
      <c r="BG632" s="3"/>
    </row>
    <row r="633" spans="1:59" ht="15">
      <c r="A633" s="66" t="s">
        <v>923</v>
      </c>
      <c r="B633" s="67" t="s">
        <v>4461</v>
      </c>
      <c r="C633" s="67"/>
      <c r="D633" s="68">
        <v>482.74397064175264</v>
      </c>
      <c r="E633" s="70"/>
      <c r="F633" s="97" t="str">
        <f>HYPERLINK("https://i.ytimg.com/vi/_cApUm2vY3I/default.jpg")</f>
        <v>https://i.ytimg.com/vi/_cApUm2vY3I/default.jpg</v>
      </c>
      <c r="G633" s="120" t="s">
        <v>52</v>
      </c>
      <c r="H633" s="71" t="s">
        <v>1661</v>
      </c>
      <c r="I633" s="72"/>
      <c r="J633" s="72" t="s">
        <v>159</v>
      </c>
      <c r="K633" s="71" t="s">
        <v>1661</v>
      </c>
      <c r="L633" s="75">
        <v>213.72340425531914</v>
      </c>
      <c r="M633" s="76">
        <v>1172.1241455078125</v>
      </c>
      <c r="N633" s="76">
        <v>5012.265625</v>
      </c>
      <c r="O633" s="77"/>
      <c r="P633" s="78"/>
      <c r="Q633" s="78"/>
      <c r="R633" s="82"/>
      <c r="S633" s="48"/>
      <c r="T633" s="48"/>
      <c r="U633" s="49"/>
      <c r="V633" s="49"/>
      <c r="W633" s="49"/>
      <c r="X633" s="49"/>
      <c r="Y633" s="49"/>
      <c r="Z633" s="49"/>
      <c r="AA633" s="73">
        <v>633</v>
      </c>
      <c r="AB633" s="73"/>
      <c r="AC633" s="74"/>
      <c r="AD633" s="80" t="s">
        <v>1661</v>
      </c>
      <c r="AE633" s="80" t="s">
        <v>2297</v>
      </c>
      <c r="AF633" s="80" t="s">
        <v>2878</v>
      </c>
      <c r="AG633" s="80" t="s">
        <v>3361</v>
      </c>
      <c r="AH633" s="80" t="s">
        <v>4077</v>
      </c>
      <c r="AI633" s="80">
        <v>2750</v>
      </c>
      <c r="AJ633" s="80">
        <v>0</v>
      </c>
      <c r="AK633" s="80">
        <v>0</v>
      </c>
      <c r="AL633" s="80">
        <v>0</v>
      </c>
      <c r="AM633" s="80" t="s">
        <v>4098</v>
      </c>
      <c r="AN633" s="96" t="str">
        <f>HYPERLINK("https://www.youtube.com/watch?v=_cApUm2vY3I")</f>
        <v>https://www.youtube.com/watch?v=_cApUm2vY3I</v>
      </c>
      <c r="AO633" s="80" t="e">
        <f>REPLACE(INDEX(GroupVertices[Group],MATCH(Vertices[[#This Row],[Vertex]],GroupVertices[Vertex],0)),1,1,"")</f>
        <v>#N/A</v>
      </c>
      <c r="AP633" s="48"/>
      <c r="AQ633" s="49"/>
      <c r="AR633" s="48"/>
      <c r="AS633" s="49"/>
      <c r="AT633" s="48"/>
      <c r="AU633" s="49"/>
      <c r="AV633" s="48"/>
      <c r="AW633" s="49"/>
      <c r="AX633" s="48"/>
      <c r="AY633" s="48"/>
      <c r="AZ633" s="48"/>
      <c r="BA633" s="48"/>
      <c r="BB633" s="48"/>
      <c r="BC633" s="2"/>
      <c r="BD633" s="3"/>
      <c r="BE633" s="3"/>
      <c r="BF633" s="3"/>
      <c r="BG633" s="3"/>
    </row>
    <row r="634" spans="1:59" ht="15">
      <c r="A634" s="66" t="s">
        <v>382</v>
      </c>
      <c r="B634" s="67" t="s">
        <v>4461</v>
      </c>
      <c r="C634" s="67"/>
      <c r="D634" s="68">
        <v>478.00352915647704</v>
      </c>
      <c r="E634" s="70"/>
      <c r="F634" s="97" t="str">
        <f>HYPERLINK("https://i.ytimg.com/vi/xmHVqkOkW84/default.jpg")</f>
        <v>https://i.ytimg.com/vi/xmHVqkOkW84/default.jpg</v>
      </c>
      <c r="G634" s="120" t="s">
        <v>52</v>
      </c>
      <c r="H634" s="71" t="s">
        <v>1089</v>
      </c>
      <c r="I634" s="72"/>
      <c r="J634" s="72" t="s">
        <v>159</v>
      </c>
      <c r="K634" s="71" t="s">
        <v>1089</v>
      </c>
      <c r="L634" s="75">
        <v>213.72340425531914</v>
      </c>
      <c r="M634" s="76">
        <v>5295.515625</v>
      </c>
      <c r="N634" s="76">
        <v>235.98841857910156</v>
      </c>
      <c r="O634" s="77"/>
      <c r="P634" s="78"/>
      <c r="Q634" s="78"/>
      <c r="R634" s="82"/>
      <c r="S634" s="48"/>
      <c r="T634" s="48"/>
      <c r="U634" s="49"/>
      <c r="V634" s="49"/>
      <c r="W634" s="49"/>
      <c r="X634" s="49"/>
      <c r="Y634" s="49"/>
      <c r="Z634" s="49"/>
      <c r="AA634" s="73">
        <v>634</v>
      </c>
      <c r="AB634" s="73"/>
      <c r="AC634" s="74"/>
      <c r="AD634" s="80" t="s">
        <v>1089</v>
      </c>
      <c r="AE634" s="80" t="s">
        <v>1795</v>
      </c>
      <c r="AF634" s="80" t="s">
        <v>2422</v>
      </c>
      <c r="AG634" s="80" t="s">
        <v>2992</v>
      </c>
      <c r="AH634" s="80" t="s">
        <v>3503</v>
      </c>
      <c r="AI634" s="80">
        <v>2607</v>
      </c>
      <c r="AJ634" s="80">
        <v>1</v>
      </c>
      <c r="AK634" s="80">
        <v>1</v>
      </c>
      <c r="AL634" s="80">
        <v>0</v>
      </c>
      <c r="AM634" s="80" t="s">
        <v>4098</v>
      </c>
      <c r="AN634" s="96" t="str">
        <f>HYPERLINK("https://www.youtube.com/watch?v=xmHVqkOkW84")</f>
        <v>https://www.youtube.com/watch?v=xmHVqkOkW84</v>
      </c>
      <c r="AO634" s="80" t="e">
        <f>REPLACE(INDEX(GroupVertices[Group],MATCH(Vertices[[#This Row],[Vertex]],GroupVertices[Vertex],0)),1,1,"")</f>
        <v>#N/A</v>
      </c>
      <c r="AP634" s="48"/>
      <c r="AQ634" s="49"/>
      <c r="AR634" s="48"/>
      <c r="AS634" s="49"/>
      <c r="AT634" s="48"/>
      <c r="AU634" s="49"/>
      <c r="AV634" s="48"/>
      <c r="AW634" s="49"/>
      <c r="AX634" s="48"/>
      <c r="AY634" s="48"/>
      <c r="AZ634" s="48"/>
      <c r="BA634" s="48"/>
      <c r="BB634" s="48"/>
      <c r="BC634" s="2"/>
      <c r="BD634" s="3"/>
      <c r="BE634" s="3"/>
      <c r="BF634" s="3"/>
      <c r="BG634" s="3"/>
    </row>
    <row r="635" spans="1:59" ht="15">
      <c r="A635" s="66" t="s">
        <v>446</v>
      </c>
      <c r="B635" s="67" t="s">
        <v>4461</v>
      </c>
      <c r="C635" s="67"/>
      <c r="D635" s="68">
        <v>474.42510877373655</v>
      </c>
      <c r="E635" s="70"/>
      <c r="F635" s="97" t="str">
        <f>HYPERLINK("https://i.ytimg.com/vi/v6Q7jL0BH9k/default.jpg")</f>
        <v>https://i.ytimg.com/vi/v6Q7jL0BH9k/default.jpg</v>
      </c>
      <c r="G635" s="120" t="s">
        <v>52</v>
      </c>
      <c r="H635" s="71" t="s">
        <v>1155</v>
      </c>
      <c r="I635" s="72"/>
      <c r="J635" s="72" t="s">
        <v>159</v>
      </c>
      <c r="K635" s="71" t="s">
        <v>1155</v>
      </c>
      <c r="L635" s="75">
        <v>213.72340425531914</v>
      </c>
      <c r="M635" s="76">
        <v>2704.297607421875</v>
      </c>
      <c r="N635" s="76">
        <v>9268.6494140625</v>
      </c>
      <c r="O635" s="77"/>
      <c r="P635" s="78"/>
      <c r="Q635" s="78"/>
      <c r="R635" s="82"/>
      <c r="S635" s="48"/>
      <c r="T635" s="48"/>
      <c r="U635" s="49"/>
      <c r="V635" s="49"/>
      <c r="W635" s="49"/>
      <c r="X635" s="49"/>
      <c r="Y635" s="49"/>
      <c r="Z635" s="49"/>
      <c r="AA635" s="73">
        <v>635</v>
      </c>
      <c r="AB635" s="73"/>
      <c r="AC635" s="74"/>
      <c r="AD635" s="80" t="s">
        <v>1155</v>
      </c>
      <c r="AE635" s="80" t="s">
        <v>1846</v>
      </c>
      <c r="AF635" s="80" t="s">
        <v>2466</v>
      </c>
      <c r="AG635" s="80" t="s">
        <v>3028</v>
      </c>
      <c r="AH635" s="80" t="s">
        <v>3568</v>
      </c>
      <c r="AI635" s="80">
        <v>2504</v>
      </c>
      <c r="AJ635" s="80">
        <v>1</v>
      </c>
      <c r="AK635" s="80">
        <v>14</v>
      </c>
      <c r="AL635" s="80">
        <v>0</v>
      </c>
      <c r="AM635" s="80" t="s">
        <v>4098</v>
      </c>
      <c r="AN635" s="96" t="str">
        <f>HYPERLINK("https://www.youtube.com/watch?v=v6Q7jL0BH9k")</f>
        <v>https://www.youtube.com/watch?v=v6Q7jL0BH9k</v>
      </c>
      <c r="AO635" s="80" t="e">
        <f>REPLACE(INDEX(GroupVertices[Group],MATCH(Vertices[[#This Row],[Vertex]],GroupVertices[Vertex],0)),1,1,"")</f>
        <v>#N/A</v>
      </c>
      <c r="AP635" s="48"/>
      <c r="AQ635" s="49"/>
      <c r="AR635" s="48"/>
      <c r="AS635" s="49"/>
      <c r="AT635" s="48"/>
      <c r="AU635" s="49"/>
      <c r="AV635" s="48"/>
      <c r="AW635" s="49"/>
      <c r="AX635" s="48"/>
      <c r="AY635" s="48"/>
      <c r="AZ635" s="48"/>
      <c r="BA635" s="48"/>
      <c r="BB635" s="48"/>
      <c r="BC635" s="2"/>
      <c r="BD635" s="3"/>
      <c r="BE635" s="3"/>
      <c r="BF635" s="3"/>
      <c r="BG635" s="3"/>
    </row>
    <row r="636" spans="1:59" ht="15">
      <c r="A636" s="66" t="s">
        <v>581</v>
      </c>
      <c r="B636" s="67" t="s">
        <v>4461</v>
      </c>
      <c r="C636" s="67"/>
      <c r="D636" s="68">
        <v>469.8792138470638</v>
      </c>
      <c r="E636" s="70"/>
      <c r="F636" s="97" t="str">
        <f>HYPERLINK("https://i.ytimg.com/vi/YmfM7yvzxG8/default.jpg")</f>
        <v>https://i.ytimg.com/vi/YmfM7yvzxG8/default.jpg</v>
      </c>
      <c r="G636" s="120" t="s">
        <v>52</v>
      </c>
      <c r="H636" s="71" t="s">
        <v>1316</v>
      </c>
      <c r="I636" s="72"/>
      <c r="J636" s="72" t="s">
        <v>159</v>
      </c>
      <c r="K636" s="71" t="s">
        <v>1316</v>
      </c>
      <c r="L636" s="75">
        <v>213.72340425531914</v>
      </c>
      <c r="M636" s="76">
        <v>8667.923828125</v>
      </c>
      <c r="N636" s="76">
        <v>6415.54345703125</v>
      </c>
      <c r="O636" s="77"/>
      <c r="P636" s="78"/>
      <c r="Q636" s="78"/>
      <c r="R636" s="82"/>
      <c r="S636" s="48"/>
      <c r="T636" s="48"/>
      <c r="U636" s="49"/>
      <c r="V636" s="49"/>
      <c r="W636" s="49"/>
      <c r="X636" s="49"/>
      <c r="Y636" s="49"/>
      <c r="Z636" s="49"/>
      <c r="AA636" s="73">
        <v>636</v>
      </c>
      <c r="AB636" s="73"/>
      <c r="AC636" s="74"/>
      <c r="AD636" s="80" t="s">
        <v>1316</v>
      </c>
      <c r="AE636" s="80" t="s">
        <v>1983</v>
      </c>
      <c r="AF636" s="80" t="s">
        <v>2586</v>
      </c>
      <c r="AG636" s="80" t="s">
        <v>3130</v>
      </c>
      <c r="AH636" s="80" t="s">
        <v>3727</v>
      </c>
      <c r="AI636" s="80">
        <v>2379</v>
      </c>
      <c r="AJ636" s="80">
        <v>0</v>
      </c>
      <c r="AK636" s="80">
        <v>0</v>
      </c>
      <c r="AL636" s="80">
        <v>0</v>
      </c>
      <c r="AM636" s="80" t="s">
        <v>4098</v>
      </c>
      <c r="AN636" s="96" t="str">
        <f>HYPERLINK("https://www.youtube.com/watch?v=YmfM7yvzxG8")</f>
        <v>https://www.youtube.com/watch?v=YmfM7yvzxG8</v>
      </c>
      <c r="AO636" s="80" t="e">
        <f>REPLACE(INDEX(GroupVertices[Group],MATCH(Vertices[[#This Row],[Vertex]],GroupVertices[Vertex],0)),1,1,"")</f>
        <v>#N/A</v>
      </c>
      <c r="AP636" s="48"/>
      <c r="AQ636" s="49"/>
      <c r="AR636" s="48"/>
      <c r="AS636" s="49"/>
      <c r="AT636" s="48"/>
      <c r="AU636" s="49"/>
      <c r="AV636" s="48"/>
      <c r="AW636" s="49"/>
      <c r="AX636" s="48"/>
      <c r="AY636" s="48"/>
      <c r="AZ636" s="48"/>
      <c r="BA636" s="48"/>
      <c r="BB636" s="48"/>
      <c r="BC636" s="2"/>
      <c r="BD636" s="3"/>
      <c r="BE636" s="3"/>
      <c r="BF636" s="3"/>
      <c r="BG636" s="3"/>
    </row>
    <row r="637" spans="1:59" ht="15">
      <c r="A637" s="66" t="s">
        <v>643</v>
      </c>
      <c r="B637" s="67" t="s">
        <v>4461</v>
      </c>
      <c r="C637" s="67"/>
      <c r="D637" s="68">
        <v>469.4678032797673</v>
      </c>
      <c r="E637" s="70"/>
      <c r="F637" s="97" t="str">
        <f>HYPERLINK("https://i.ytimg.com/vi/3ShdSzublcQ/default.jpg")</f>
        <v>https://i.ytimg.com/vi/3ShdSzublcQ/default.jpg</v>
      </c>
      <c r="G637" s="120" t="s">
        <v>52</v>
      </c>
      <c r="H637" s="71" t="s">
        <v>1383</v>
      </c>
      <c r="I637" s="72"/>
      <c r="J637" s="72" t="s">
        <v>159</v>
      </c>
      <c r="K637" s="71" t="s">
        <v>1383</v>
      </c>
      <c r="L637" s="75">
        <v>213.72340425531914</v>
      </c>
      <c r="M637" s="76">
        <v>254.600341796875</v>
      </c>
      <c r="N637" s="76">
        <v>5978.310546875</v>
      </c>
      <c r="O637" s="77"/>
      <c r="P637" s="78"/>
      <c r="Q637" s="78"/>
      <c r="R637" s="82"/>
      <c r="S637" s="48"/>
      <c r="T637" s="48"/>
      <c r="U637" s="49"/>
      <c r="V637" s="49"/>
      <c r="W637" s="49"/>
      <c r="X637" s="49"/>
      <c r="Y637" s="49"/>
      <c r="Z637" s="49"/>
      <c r="AA637" s="73">
        <v>637</v>
      </c>
      <c r="AB637" s="73"/>
      <c r="AC637" s="74"/>
      <c r="AD637" s="80" t="s">
        <v>1383</v>
      </c>
      <c r="AE637" s="80" t="s">
        <v>2048</v>
      </c>
      <c r="AF637" s="80" t="s">
        <v>2642</v>
      </c>
      <c r="AG637" s="80" t="s">
        <v>3178</v>
      </c>
      <c r="AH637" s="80" t="s">
        <v>3795</v>
      </c>
      <c r="AI637" s="80">
        <v>2368</v>
      </c>
      <c r="AJ637" s="80">
        <v>6</v>
      </c>
      <c r="AK637" s="80">
        <v>26</v>
      </c>
      <c r="AL637" s="80">
        <v>0</v>
      </c>
      <c r="AM637" s="80" t="s">
        <v>4098</v>
      </c>
      <c r="AN637" s="96" t="str">
        <f>HYPERLINK("https://www.youtube.com/watch?v=3ShdSzublcQ")</f>
        <v>https://www.youtube.com/watch?v=3ShdSzublcQ</v>
      </c>
      <c r="AO637" s="80" t="e">
        <f>REPLACE(INDEX(GroupVertices[Group],MATCH(Vertices[[#This Row],[Vertex]],GroupVertices[Vertex],0)),1,1,"")</f>
        <v>#N/A</v>
      </c>
      <c r="AP637" s="48"/>
      <c r="AQ637" s="49"/>
      <c r="AR637" s="48"/>
      <c r="AS637" s="49"/>
      <c r="AT637" s="48"/>
      <c r="AU637" s="49"/>
      <c r="AV637" s="48"/>
      <c r="AW637" s="49"/>
      <c r="AX637" s="48"/>
      <c r="AY637" s="48"/>
      <c r="AZ637" s="48"/>
      <c r="BA637" s="48"/>
      <c r="BB637" s="48"/>
      <c r="BC637" s="2"/>
      <c r="BD637" s="3"/>
      <c r="BE637" s="3"/>
      <c r="BF637" s="3"/>
      <c r="BG637" s="3"/>
    </row>
    <row r="638" spans="1:59" ht="15">
      <c r="A638" s="66" t="s">
        <v>624</v>
      </c>
      <c r="B638" s="67" t="s">
        <v>4461</v>
      </c>
      <c r="C638" s="67"/>
      <c r="D638" s="68">
        <v>467.3816546512173</v>
      </c>
      <c r="E638" s="70"/>
      <c r="F638" s="97" t="str">
        <f>HYPERLINK("https://i.ytimg.com/vi/_ovo9jf2WMg/default.jpg")</f>
        <v>https://i.ytimg.com/vi/_ovo9jf2WMg/default.jpg</v>
      </c>
      <c r="G638" s="120" t="s">
        <v>52</v>
      </c>
      <c r="H638" s="71" t="s">
        <v>1364</v>
      </c>
      <c r="I638" s="72"/>
      <c r="J638" s="72" t="s">
        <v>159</v>
      </c>
      <c r="K638" s="71" t="s">
        <v>1364</v>
      </c>
      <c r="L638" s="75">
        <v>213.72340425531914</v>
      </c>
      <c r="M638" s="76">
        <v>634.4779663085938</v>
      </c>
      <c r="N638" s="76">
        <v>5657.16064453125</v>
      </c>
      <c r="O638" s="77"/>
      <c r="P638" s="78"/>
      <c r="Q638" s="78"/>
      <c r="R638" s="82"/>
      <c r="S638" s="48"/>
      <c r="T638" s="48"/>
      <c r="U638" s="49"/>
      <c r="V638" s="49"/>
      <c r="W638" s="49"/>
      <c r="X638" s="49"/>
      <c r="Y638" s="49"/>
      <c r="Z638" s="49"/>
      <c r="AA638" s="73">
        <v>638</v>
      </c>
      <c r="AB638" s="73"/>
      <c r="AC638" s="74"/>
      <c r="AD638" s="80" t="s">
        <v>1364</v>
      </c>
      <c r="AE638" s="80" t="s">
        <v>2030</v>
      </c>
      <c r="AF638" s="80" t="s">
        <v>2628</v>
      </c>
      <c r="AG638" s="80" t="s">
        <v>2907</v>
      </c>
      <c r="AH638" s="80" t="s">
        <v>3776</v>
      </c>
      <c r="AI638" s="80">
        <v>2313</v>
      </c>
      <c r="AJ638" s="80">
        <v>3</v>
      </c>
      <c r="AK638" s="80">
        <v>39</v>
      </c>
      <c r="AL638" s="80">
        <v>0</v>
      </c>
      <c r="AM638" s="80" t="s">
        <v>4098</v>
      </c>
      <c r="AN638" s="96" t="str">
        <f>HYPERLINK("https://www.youtube.com/watch?v=_ovo9jf2WMg")</f>
        <v>https://www.youtube.com/watch?v=_ovo9jf2WMg</v>
      </c>
      <c r="AO638" s="80" t="e">
        <f>REPLACE(INDEX(GroupVertices[Group],MATCH(Vertices[[#This Row],[Vertex]],GroupVertices[Vertex],0)),1,1,"")</f>
        <v>#N/A</v>
      </c>
      <c r="AP638" s="48"/>
      <c r="AQ638" s="49"/>
      <c r="AR638" s="48"/>
      <c r="AS638" s="49"/>
      <c r="AT638" s="48"/>
      <c r="AU638" s="49"/>
      <c r="AV638" s="48"/>
      <c r="AW638" s="49"/>
      <c r="AX638" s="48"/>
      <c r="AY638" s="48"/>
      <c r="AZ638" s="48"/>
      <c r="BA638" s="48"/>
      <c r="BB638" s="48"/>
      <c r="BC638" s="2"/>
      <c r="BD638" s="3"/>
      <c r="BE638" s="3"/>
      <c r="BF638" s="3"/>
      <c r="BG638" s="3"/>
    </row>
    <row r="639" spans="1:59" ht="15">
      <c r="A639" s="66" t="s">
        <v>721</v>
      </c>
      <c r="B639" s="67" t="s">
        <v>4461</v>
      </c>
      <c r="C639" s="67"/>
      <c r="D639" s="68">
        <v>462.9352897076323</v>
      </c>
      <c r="E639" s="70"/>
      <c r="F639" s="97" t="str">
        <f>HYPERLINK("https://i.ytimg.com/vi/-SGPEUuG1I8/default.jpg")</f>
        <v>https://i.ytimg.com/vi/-SGPEUuG1I8/default.jpg</v>
      </c>
      <c r="G639" s="120" t="s">
        <v>52</v>
      </c>
      <c r="H639" s="71" t="s">
        <v>1462</v>
      </c>
      <c r="I639" s="72"/>
      <c r="J639" s="72" t="s">
        <v>159</v>
      </c>
      <c r="K639" s="71" t="s">
        <v>1462</v>
      </c>
      <c r="L639" s="75">
        <v>213.72340425531914</v>
      </c>
      <c r="M639" s="76">
        <v>6786.3671875</v>
      </c>
      <c r="N639" s="76">
        <v>8248.74609375</v>
      </c>
      <c r="O639" s="77"/>
      <c r="P639" s="78"/>
      <c r="Q639" s="78"/>
      <c r="R639" s="82"/>
      <c r="S639" s="48"/>
      <c r="T639" s="48"/>
      <c r="U639" s="49"/>
      <c r="V639" s="49"/>
      <c r="W639" s="49"/>
      <c r="X639" s="49"/>
      <c r="Y639" s="49"/>
      <c r="Z639" s="49"/>
      <c r="AA639" s="73">
        <v>639</v>
      </c>
      <c r="AB639" s="73"/>
      <c r="AC639" s="74"/>
      <c r="AD639" s="80" t="s">
        <v>1462</v>
      </c>
      <c r="AE639" s="80" t="s">
        <v>2119</v>
      </c>
      <c r="AF639" s="80" t="s">
        <v>2709</v>
      </c>
      <c r="AG639" s="80" t="s">
        <v>3224</v>
      </c>
      <c r="AH639" s="80" t="s">
        <v>3875</v>
      </c>
      <c r="AI639" s="80">
        <v>2200</v>
      </c>
      <c r="AJ639" s="80">
        <v>0</v>
      </c>
      <c r="AK639" s="80">
        <v>13</v>
      </c>
      <c r="AL639" s="80">
        <v>0</v>
      </c>
      <c r="AM639" s="80" t="s">
        <v>4098</v>
      </c>
      <c r="AN639" s="96" t="str">
        <f>HYPERLINK("https://www.youtube.com/watch?v=-SGPEUuG1I8")</f>
        <v>https://www.youtube.com/watch?v=-SGPEUuG1I8</v>
      </c>
      <c r="AO639" s="80" t="e">
        <f>REPLACE(INDEX(GroupVertices[Group],MATCH(Vertices[[#This Row],[Vertex]],GroupVertices[Vertex],0)),1,1,"")</f>
        <v>#N/A</v>
      </c>
      <c r="AP639" s="48"/>
      <c r="AQ639" s="49"/>
      <c r="AR639" s="48"/>
      <c r="AS639" s="49"/>
      <c r="AT639" s="48"/>
      <c r="AU639" s="49"/>
      <c r="AV639" s="48"/>
      <c r="AW639" s="49"/>
      <c r="AX639" s="48"/>
      <c r="AY639" s="48"/>
      <c r="AZ639" s="48"/>
      <c r="BA639" s="48"/>
      <c r="BB639" s="48"/>
      <c r="BC639" s="2"/>
      <c r="BD639" s="3"/>
      <c r="BE639" s="3"/>
      <c r="BF639" s="3"/>
      <c r="BG639" s="3"/>
    </row>
    <row r="640" spans="1:59" ht="15">
      <c r="A640" s="66" t="s">
        <v>719</v>
      </c>
      <c r="B640" s="67" t="s">
        <v>4461</v>
      </c>
      <c r="C640" s="67"/>
      <c r="D640" s="68">
        <v>458.9323856595837</v>
      </c>
      <c r="E640" s="70"/>
      <c r="F640" s="97" t="str">
        <f>HYPERLINK("https://i.ytimg.com/vi/K4-7rr4ojFM/default.jpg")</f>
        <v>https://i.ytimg.com/vi/K4-7rr4ojFM/default.jpg</v>
      </c>
      <c r="G640" s="120" t="s">
        <v>52</v>
      </c>
      <c r="H640" s="71" t="s">
        <v>1460</v>
      </c>
      <c r="I640" s="72"/>
      <c r="J640" s="72" t="s">
        <v>159</v>
      </c>
      <c r="K640" s="71" t="s">
        <v>1460</v>
      </c>
      <c r="L640" s="75">
        <v>213.72340425531914</v>
      </c>
      <c r="M640" s="76">
        <v>6772.146484375</v>
      </c>
      <c r="N640" s="76">
        <v>7779.89453125</v>
      </c>
      <c r="O640" s="77"/>
      <c r="P640" s="78"/>
      <c r="Q640" s="78"/>
      <c r="R640" s="82"/>
      <c r="S640" s="48"/>
      <c r="T640" s="48"/>
      <c r="U640" s="49"/>
      <c r="V640" s="49"/>
      <c r="W640" s="49"/>
      <c r="X640" s="49"/>
      <c r="Y640" s="49"/>
      <c r="Z640" s="49"/>
      <c r="AA640" s="73">
        <v>640</v>
      </c>
      <c r="AB640" s="73"/>
      <c r="AC640" s="74"/>
      <c r="AD640" s="80" t="s">
        <v>1460</v>
      </c>
      <c r="AE640" s="80" t="s">
        <v>2118</v>
      </c>
      <c r="AF640" s="80" t="s">
        <v>2707</v>
      </c>
      <c r="AG640" s="80" t="s">
        <v>3224</v>
      </c>
      <c r="AH640" s="80" t="s">
        <v>3873</v>
      </c>
      <c r="AI640" s="80">
        <v>2103</v>
      </c>
      <c r="AJ640" s="80">
        <v>0</v>
      </c>
      <c r="AK640" s="80">
        <v>0</v>
      </c>
      <c r="AL640" s="80">
        <v>0</v>
      </c>
      <c r="AM640" s="80" t="s">
        <v>4098</v>
      </c>
      <c r="AN640" s="96" t="str">
        <f>HYPERLINK("https://www.youtube.com/watch?v=K4-7rr4ojFM")</f>
        <v>https://www.youtube.com/watch?v=K4-7rr4ojFM</v>
      </c>
      <c r="AO640" s="80" t="e">
        <f>REPLACE(INDEX(GroupVertices[Group],MATCH(Vertices[[#This Row],[Vertex]],GroupVertices[Vertex],0)),1,1,"")</f>
        <v>#N/A</v>
      </c>
      <c r="AP640" s="48"/>
      <c r="AQ640" s="49"/>
      <c r="AR640" s="48"/>
      <c r="AS640" s="49"/>
      <c r="AT640" s="48"/>
      <c r="AU640" s="49"/>
      <c r="AV640" s="48"/>
      <c r="AW640" s="49"/>
      <c r="AX640" s="48"/>
      <c r="AY640" s="48"/>
      <c r="AZ640" s="48"/>
      <c r="BA640" s="48"/>
      <c r="BB640" s="48"/>
      <c r="BC640" s="2"/>
      <c r="BD640" s="3"/>
      <c r="BE640" s="3"/>
      <c r="BF640" s="3"/>
      <c r="BG640" s="3"/>
    </row>
    <row r="641" spans="1:59" ht="15">
      <c r="A641" s="66" t="s">
        <v>270</v>
      </c>
      <c r="B641" s="67" t="s">
        <v>4461</v>
      </c>
      <c r="C641" s="67"/>
      <c r="D641" s="68">
        <v>455.9272769067301</v>
      </c>
      <c r="E641" s="70"/>
      <c r="F641" s="97" t="str">
        <f>HYPERLINK("https://i.ytimg.com/vi/FblhjZlu0pQ/default.jpg")</f>
        <v>https://i.ytimg.com/vi/FblhjZlu0pQ/default.jpg</v>
      </c>
      <c r="G641" s="120" t="s">
        <v>52</v>
      </c>
      <c r="H641" s="71" t="s">
        <v>965</v>
      </c>
      <c r="I641" s="72"/>
      <c r="J641" s="72" t="s">
        <v>159</v>
      </c>
      <c r="K641" s="71" t="s">
        <v>965</v>
      </c>
      <c r="L641" s="75">
        <v>213.72340425531914</v>
      </c>
      <c r="M641" s="76">
        <v>6558.03466796875</v>
      </c>
      <c r="N641" s="76">
        <v>8816.4931640625</v>
      </c>
      <c r="O641" s="77"/>
      <c r="P641" s="78"/>
      <c r="Q641" s="78"/>
      <c r="R641" s="82"/>
      <c r="S641" s="48"/>
      <c r="T641" s="48"/>
      <c r="U641" s="49"/>
      <c r="V641" s="49"/>
      <c r="W641" s="49"/>
      <c r="X641" s="49"/>
      <c r="Y641" s="49"/>
      <c r="Z641" s="49"/>
      <c r="AA641" s="73">
        <v>641</v>
      </c>
      <c r="AB641" s="73"/>
      <c r="AC641" s="74"/>
      <c r="AD641" s="80" t="s">
        <v>965</v>
      </c>
      <c r="AE641" s="80" t="s">
        <v>1689</v>
      </c>
      <c r="AF641" s="80" t="s">
        <v>2323</v>
      </c>
      <c r="AG641" s="80" t="s">
        <v>2900</v>
      </c>
      <c r="AH641" s="80" t="s">
        <v>3380</v>
      </c>
      <c r="AI641" s="80">
        <v>2033</v>
      </c>
      <c r="AJ641" s="80">
        <v>7</v>
      </c>
      <c r="AK641" s="80">
        <v>19</v>
      </c>
      <c r="AL641" s="80">
        <v>0</v>
      </c>
      <c r="AM641" s="80" t="s">
        <v>4098</v>
      </c>
      <c r="AN641" s="96" t="str">
        <f>HYPERLINK("https://www.youtube.com/watch?v=FblhjZlu0pQ")</f>
        <v>https://www.youtube.com/watch?v=FblhjZlu0pQ</v>
      </c>
      <c r="AO641" s="80" t="e">
        <f>REPLACE(INDEX(GroupVertices[Group],MATCH(Vertices[[#This Row],[Vertex]],GroupVertices[Vertex],0)),1,1,"")</f>
        <v>#N/A</v>
      </c>
      <c r="AP641" s="48"/>
      <c r="AQ641" s="49"/>
      <c r="AR641" s="48"/>
      <c r="AS641" s="49"/>
      <c r="AT641" s="48"/>
      <c r="AU641" s="49"/>
      <c r="AV641" s="48"/>
      <c r="AW641" s="49"/>
      <c r="AX641" s="48"/>
      <c r="AY641" s="48"/>
      <c r="AZ641" s="48"/>
      <c r="BA641" s="48"/>
      <c r="BB641" s="48"/>
      <c r="BC641" s="2"/>
      <c r="BD641" s="3"/>
      <c r="BE641" s="3"/>
      <c r="BF641" s="3"/>
      <c r="BG641" s="3"/>
    </row>
    <row r="642" spans="1:59" ht="15">
      <c r="A642" s="66" t="s">
        <v>267</v>
      </c>
      <c r="B642" s="67" t="s">
        <v>4461</v>
      </c>
      <c r="C642" s="67"/>
      <c r="D642" s="68">
        <v>453.6271516651633</v>
      </c>
      <c r="E642" s="70"/>
      <c r="F642" s="97" t="str">
        <f>HYPERLINK("https://i.ytimg.com/vi/j4HT_EOBSeM/default.jpg")</f>
        <v>https://i.ytimg.com/vi/j4HT_EOBSeM/default.jpg</v>
      </c>
      <c r="G642" s="120" t="s">
        <v>52</v>
      </c>
      <c r="H642" s="71" t="s">
        <v>962</v>
      </c>
      <c r="I642" s="72"/>
      <c r="J642" s="72" t="s">
        <v>159</v>
      </c>
      <c r="K642" s="71" t="s">
        <v>962</v>
      </c>
      <c r="L642" s="75">
        <v>213.72340425531914</v>
      </c>
      <c r="M642" s="76">
        <v>6124.6025390625</v>
      </c>
      <c r="N642" s="76">
        <v>9512.9326171875</v>
      </c>
      <c r="O642" s="77"/>
      <c r="P642" s="78"/>
      <c r="Q642" s="78"/>
      <c r="R642" s="82"/>
      <c r="S642" s="48"/>
      <c r="T642" s="48"/>
      <c r="U642" s="49"/>
      <c r="V642" s="49"/>
      <c r="W642" s="49"/>
      <c r="X642" s="49"/>
      <c r="Y642" s="49"/>
      <c r="Z642" s="49"/>
      <c r="AA642" s="73">
        <v>642</v>
      </c>
      <c r="AB642" s="73"/>
      <c r="AC642" s="74"/>
      <c r="AD642" s="80" t="s">
        <v>962</v>
      </c>
      <c r="AE642" s="80" t="s">
        <v>1687</v>
      </c>
      <c r="AF642" s="80" t="s">
        <v>2321</v>
      </c>
      <c r="AG642" s="80" t="s">
        <v>2900</v>
      </c>
      <c r="AH642" s="80" t="s">
        <v>3377</v>
      </c>
      <c r="AI642" s="80">
        <v>1981</v>
      </c>
      <c r="AJ642" s="80">
        <v>7</v>
      </c>
      <c r="AK642" s="80">
        <v>16</v>
      </c>
      <c r="AL642" s="80">
        <v>0</v>
      </c>
      <c r="AM642" s="80" t="s">
        <v>4098</v>
      </c>
      <c r="AN642" s="96" t="str">
        <f>HYPERLINK("https://www.youtube.com/watch?v=j4HT_EOBSeM")</f>
        <v>https://www.youtube.com/watch?v=j4HT_EOBSeM</v>
      </c>
      <c r="AO642" s="80" t="e">
        <f>REPLACE(INDEX(GroupVertices[Group],MATCH(Vertices[[#This Row],[Vertex]],GroupVertices[Vertex],0)),1,1,"")</f>
        <v>#N/A</v>
      </c>
      <c r="AP642" s="48"/>
      <c r="AQ642" s="49"/>
      <c r="AR642" s="48"/>
      <c r="AS642" s="49"/>
      <c r="AT642" s="48"/>
      <c r="AU642" s="49"/>
      <c r="AV642" s="48"/>
      <c r="AW642" s="49"/>
      <c r="AX642" s="48"/>
      <c r="AY642" s="48"/>
      <c r="AZ642" s="48"/>
      <c r="BA642" s="48"/>
      <c r="BB642" s="48"/>
      <c r="BC642" s="2"/>
      <c r="BD642" s="3"/>
      <c r="BE642" s="3"/>
      <c r="BF642" s="3"/>
      <c r="BG642" s="3"/>
    </row>
    <row r="643" spans="1:59" ht="15">
      <c r="A643" s="66" t="s">
        <v>265</v>
      </c>
      <c r="B643" s="67" t="s">
        <v>4461</v>
      </c>
      <c r="C643" s="67"/>
      <c r="D643" s="68">
        <v>449.452699837734</v>
      </c>
      <c r="E643" s="70"/>
      <c r="F643" s="97" t="str">
        <f>HYPERLINK("https://i.ytimg.com/vi/8NaD9XRsAto/default.jpg")</f>
        <v>https://i.ytimg.com/vi/8NaD9XRsAto/default.jpg</v>
      </c>
      <c r="G643" s="120" t="s">
        <v>52</v>
      </c>
      <c r="H643" s="71" t="s">
        <v>960</v>
      </c>
      <c r="I643" s="72"/>
      <c r="J643" s="72" t="s">
        <v>159</v>
      </c>
      <c r="K643" s="71" t="s">
        <v>960</v>
      </c>
      <c r="L643" s="75">
        <v>213.72340425531914</v>
      </c>
      <c r="M643" s="76">
        <v>5913.484375</v>
      </c>
      <c r="N643" s="76">
        <v>9667.2744140625</v>
      </c>
      <c r="O643" s="77"/>
      <c r="P643" s="78"/>
      <c r="Q643" s="78"/>
      <c r="R643" s="82"/>
      <c r="S643" s="48"/>
      <c r="T643" s="48"/>
      <c r="U643" s="49"/>
      <c r="V643" s="49"/>
      <c r="W643" s="49"/>
      <c r="X643" s="49"/>
      <c r="Y643" s="49"/>
      <c r="Z643" s="49"/>
      <c r="AA643" s="73">
        <v>643</v>
      </c>
      <c r="AB643" s="73"/>
      <c r="AC643" s="74"/>
      <c r="AD643" s="80" t="s">
        <v>960</v>
      </c>
      <c r="AE643" s="80" t="s">
        <v>1685</v>
      </c>
      <c r="AF643" s="80" t="s">
        <v>2319</v>
      </c>
      <c r="AG643" s="80" t="s">
        <v>2898</v>
      </c>
      <c r="AH643" s="80" t="s">
        <v>3375</v>
      </c>
      <c r="AI643" s="80">
        <v>1890</v>
      </c>
      <c r="AJ643" s="80">
        <v>3</v>
      </c>
      <c r="AK643" s="80">
        <v>23</v>
      </c>
      <c r="AL643" s="80">
        <v>0</v>
      </c>
      <c r="AM643" s="80" t="s">
        <v>4098</v>
      </c>
      <c r="AN643" s="96" t="str">
        <f>HYPERLINK("https://www.youtube.com/watch?v=8NaD9XRsAto")</f>
        <v>https://www.youtube.com/watch?v=8NaD9XRsAto</v>
      </c>
      <c r="AO643" s="80" t="e">
        <f>REPLACE(INDEX(GroupVertices[Group],MATCH(Vertices[[#This Row],[Vertex]],GroupVertices[Vertex],0)),1,1,"")</f>
        <v>#N/A</v>
      </c>
      <c r="AP643" s="48"/>
      <c r="AQ643" s="49"/>
      <c r="AR643" s="48"/>
      <c r="AS643" s="49"/>
      <c r="AT643" s="48"/>
      <c r="AU643" s="49"/>
      <c r="AV643" s="48"/>
      <c r="AW643" s="49"/>
      <c r="AX643" s="48"/>
      <c r="AY643" s="48"/>
      <c r="AZ643" s="48"/>
      <c r="BA643" s="48"/>
      <c r="BB643" s="48"/>
      <c r="BC643" s="2"/>
      <c r="BD643" s="3"/>
      <c r="BE643" s="3"/>
      <c r="BF643" s="3"/>
      <c r="BG643" s="3"/>
    </row>
    <row r="644" spans="1:59" ht="15">
      <c r="A644" s="66" t="s">
        <v>277</v>
      </c>
      <c r="B644" s="67" t="s">
        <v>4461</v>
      </c>
      <c r="C644" s="67"/>
      <c r="D644" s="68">
        <v>447.4097122050602</v>
      </c>
      <c r="E644" s="70"/>
      <c r="F644" s="97" t="str">
        <f>HYPERLINK("https://i.ytimg.com/vi/hKQHZio0H1s/default.jpg")</f>
        <v>https://i.ytimg.com/vi/hKQHZio0H1s/default.jpg</v>
      </c>
      <c r="G644" s="120" t="s">
        <v>52</v>
      </c>
      <c r="H644" s="71" t="s">
        <v>973</v>
      </c>
      <c r="I644" s="72"/>
      <c r="J644" s="72" t="s">
        <v>159</v>
      </c>
      <c r="K644" s="71" t="s">
        <v>973</v>
      </c>
      <c r="L644" s="75">
        <v>213.72340425531914</v>
      </c>
      <c r="M644" s="76">
        <v>6450.513671875</v>
      </c>
      <c r="N644" s="76">
        <v>5851.91748046875</v>
      </c>
      <c r="O644" s="77"/>
      <c r="P644" s="78"/>
      <c r="Q644" s="78"/>
      <c r="R644" s="82"/>
      <c r="S644" s="48"/>
      <c r="T644" s="48"/>
      <c r="U644" s="49"/>
      <c r="V644" s="49"/>
      <c r="W644" s="49"/>
      <c r="X644" s="49"/>
      <c r="Y644" s="49"/>
      <c r="Z644" s="49"/>
      <c r="AA644" s="73">
        <v>644</v>
      </c>
      <c r="AB644" s="73"/>
      <c r="AC644" s="74"/>
      <c r="AD644" s="80" t="s">
        <v>973</v>
      </c>
      <c r="AE644" s="80" t="s">
        <v>1696</v>
      </c>
      <c r="AF644" s="80" t="s">
        <v>2329</v>
      </c>
      <c r="AG644" s="80" t="s">
        <v>2907</v>
      </c>
      <c r="AH644" s="80" t="s">
        <v>3388</v>
      </c>
      <c r="AI644" s="80">
        <v>1847</v>
      </c>
      <c r="AJ644" s="80">
        <v>9</v>
      </c>
      <c r="AK644" s="80">
        <v>24</v>
      </c>
      <c r="AL644" s="80">
        <v>0</v>
      </c>
      <c r="AM644" s="80" t="s">
        <v>4098</v>
      </c>
      <c r="AN644" s="96" t="str">
        <f>HYPERLINK("https://www.youtube.com/watch?v=hKQHZio0H1s")</f>
        <v>https://www.youtube.com/watch?v=hKQHZio0H1s</v>
      </c>
      <c r="AO644" s="80" t="e">
        <f>REPLACE(INDEX(GroupVertices[Group],MATCH(Vertices[[#This Row],[Vertex]],GroupVertices[Vertex],0)),1,1,"")</f>
        <v>#N/A</v>
      </c>
      <c r="AP644" s="48"/>
      <c r="AQ644" s="49"/>
      <c r="AR644" s="48"/>
      <c r="AS644" s="49"/>
      <c r="AT644" s="48"/>
      <c r="AU644" s="49"/>
      <c r="AV644" s="48"/>
      <c r="AW644" s="49"/>
      <c r="AX644" s="48"/>
      <c r="AY644" s="48"/>
      <c r="AZ644" s="48"/>
      <c r="BA644" s="48"/>
      <c r="BB644" s="48"/>
      <c r="BC644" s="2"/>
      <c r="BD644" s="3"/>
      <c r="BE644" s="3"/>
      <c r="BF644" s="3"/>
      <c r="BG644" s="3"/>
    </row>
    <row r="645" spans="1:59" ht="15">
      <c r="A645" s="66" t="s">
        <v>389</v>
      </c>
      <c r="B645" s="67" t="s">
        <v>4461</v>
      </c>
      <c r="C645" s="67"/>
      <c r="D645" s="68">
        <v>442.62078962009736</v>
      </c>
      <c r="E645" s="70"/>
      <c r="F645" s="97" t="str">
        <f>HYPERLINK("https://i.ytimg.com/vi/VGUZBKs_xtU/default.jpg")</f>
        <v>https://i.ytimg.com/vi/VGUZBKs_xtU/default.jpg</v>
      </c>
      <c r="G645" s="120" t="s">
        <v>52</v>
      </c>
      <c r="H645" s="71" t="s">
        <v>1096</v>
      </c>
      <c r="I645" s="72"/>
      <c r="J645" s="72" t="s">
        <v>159</v>
      </c>
      <c r="K645" s="71" t="s">
        <v>1096</v>
      </c>
      <c r="L645" s="75">
        <v>213.72340425531914</v>
      </c>
      <c r="M645" s="76">
        <v>5582.66357421875</v>
      </c>
      <c r="N645" s="76">
        <v>1365.839111328125</v>
      </c>
      <c r="O645" s="77"/>
      <c r="P645" s="78"/>
      <c r="Q645" s="78"/>
      <c r="R645" s="82"/>
      <c r="S645" s="48"/>
      <c r="T645" s="48"/>
      <c r="U645" s="49"/>
      <c r="V645" s="49"/>
      <c r="W645" s="49"/>
      <c r="X645" s="49"/>
      <c r="Y645" s="49"/>
      <c r="Z645" s="49"/>
      <c r="AA645" s="73">
        <v>645</v>
      </c>
      <c r="AB645" s="73"/>
      <c r="AC645" s="74"/>
      <c r="AD645" s="80" t="s">
        <v>1096</v>
      </c>
      <c r="AE645" s="80" t="s">
        <v>1800</v>
      </c>
      <c r="AF645" s="80" t="s">
        <v>2425</v>
      </c>
      <c r="AG645" s="80" t="s">
        <v>2998</v>
      </c>
      <c r="AH645" s="80" t="s">
        <v>3510</v>
      </c>
      <c r="AI645" s="80">
        <v>1750</v>
      </c>
      <c r="AJ645" s="80">
        <v>0</v>
      </c>
      <c r="AK645" s="80">
        <v>0</v>
      </c>
      <c r="AL645" s="80">
        <v>0</v>
      </c>
      <c r="AM645" s="80" t="s">
        <v>4098</v>
      </c>
      <c r="AN645" s="96" t="str">
        <f>HYPERLINK("https://www.youtube.com/watch?v=VGUZBKs_xtU")</f>
        <v>https://www.youtube.com/watch?v=VGUZBKs_xtU</v>
      </c>
      <c r="AO645" s="80" t="e">
        <f>REPLACE(INDEX(GroupVertices[Group],MATCH(Vertices[[#This Row],[Vertex]],GroupVertices[Vertex],0)),1,1,"")</f>
        <v>#N/A</v>
      </c>
      <c r="AP645" s="48"/>
      <c r="AQ645" s="49"/>
      <c r="AR645" s="48"/>
      <c r="AS645" s="49"/>
      <c r="AT645" s="48"/>
      <c r="AU645" s="49"/>
      <c r="AV645" s="48"/>
      <c r="AW645" s="49"/>
      <c r="AX645" s="48"/>
      <c r="AY645" s="48"/>
      <c r="AZ645" s="48"/>
      <c r="BA645" s="48"/>
      <c r="BB645" s="48"/>
      <c r="BC645" s="2"/>
      <c r="BD645" s="3"/>
      <c r="BE645" s="3"/>
      <c r="BF645" s="3"/>
      <c r="BG645" s="3"/>
    </row>
    <row r="646" spans="1:59" ht="15">
      <c r="A646" s="66" t="s">
        <v>459</v>
      </c>
      <c r="B646" s="67" t="s">
        <v>4461</v>
      </c>
      <c r="C646" s="67"/>
      <c r="D646" s="68">
        <v>442.2649934674711</v>
      </c>
      <c r="E646" s="70"/>
      <c r="F646" s="97" t="str">
        <f>HYPERLINK("https://i.ytimg.com/vi/yJ0DhVzCMH8/default_live.jpg")</f>
        <v>https://i.ytimg.com/vi/yJ0DhVzCMH8/default_live.jpg</v>
      </c>
      <c r="G646" s="120" t="s">
        <v>52</v>
      </c>
      <c r="H646" s="71" t="s">
        <v>1170</v>
      </c>
      <c r="I646" s="72"/>
      <c r="J646" s="72" t="s">
        <v>159</v>
      </c>
      <c r="K646" s="71" t="s">
        <v>1170</v>
      </c>
      <c r="L646" s="75">
        <v>213.72340425531914</v>
      </c>
      <c r="M646" s="76">
        <v>3102.733642578125</v>
      </c>
      <c r="N646" s="76">
        <v>2053.195556640625</v>
      </c>
      <c r="O646" s="77"/>
      <c r="P646" s="78"/>
      <c r="Q646" s="78"/>
      <c r="R646" s="82"/>
      <c r="S646" s="48"/>
      <c r="T646" s="48"/>
      <c r="U646" s="49"/>
      <c r="V646" s="49"/>
      <c r="W646" s="49"/>
      <c r="X646" s="49"/>
      <c r="Y646" s="49"/>
      <c r="Z646" s="49"/>
      <c r="AA646" s="73">
        <v>646</v>
      </c>
      <c r="AB646" s="73"/>
      <c r="AC646" s="74"/>
      <c r="AD646" s="80" t="s">
        <v>1170</v>
      </c>
      <c r="AE646" s="80" t="s">
        <v>1859</v>
      </c>
      <c r="AF646" s="80"/>
      <c r="AG646" s="80" t="s">
        <v>3037</v>
      </c>
      <c r="AH646" s="80" t="s">
        <v>3583</v>
      </c>
      <c r="AI646" s="80">
        <v>1743</v>
      </c>
      <c r="AJ646" s="80">
        <v>0</v>
      </c>
      <c r="AK646" s="80">
        <v>73</v>
      </c>
      <c r="AL646" s="80">
        <v>0</v>
      </c>
      <c r="AM646" s="80" t="s">
        <v>4098</v>
      </c>
      <c r="AN646" s="96" t="str">
        <f>HYPERLINK("https://www.youtube.com/watch?v=yJ0DhVzCMH8")</f>
        <v>https://www.youtube.com/watch?v=yJ0DhVzCMH8</v>
      </c>
      <c r="AO646" s="80" t="e">
        <f>REPLACE(INDEX(GroupVertices[Group],MATCH(Vertices[[#This Row],[Vertex]],GroupVertices[Vertex],0)),1,1,"")</f>
        <v>#N/A</v>
      </c>
      <c r="AP646" s="48"/>
      <c r="AQ646" s="49"/>
      <c r="AR646" s="48"/>
      <c r="AS646" s="49"/>
      <c r="AT646" s="48"/>
      <c r="AU646" s="49"/>
      <c r="AV646" s="48"/>
      <c r="AW646" s="49"/>
      <c r="AX646" s="48"/>
      <c r="AY646" s="48"/>
      <c r="AZ646" s="48"/>
      <c r="BA646" s="48"/>
      <c r="BB646" s="48"/>
      <c r="BC646" s="2"/>
      <c r="BD646" s="3"/>
      <c r="BE646" s="3"/>
      <c r="BF646" s="3"/>
      <c r="BG646" s="3"/>
    </row>
    <row r="647" spans="1:59" ht="15">
      <c r="A647" s="66" t="s">
        <v>359</v>
      </c>
      <c r="B647" s="67" t="s">
        <v>4461</v>
      </c>
      <c r="C647" s="67"/>
      <c r="D647" s="68">
        <v>441.39493325305347</v>
      </c>
      <c r="E647" s="70"/>
      <c r="F647" s="97" t="str">
        <f>HYPERLINK("https://i.ytimg.com/vi/z4dmsYmlUbM/default.jpg")</f>
        <v>https://i.ytimg.com/vi/z4dmsYmlUbM/default.jpg</v>
      </c>
      <c r="G647" s="120" t="s">
        <v>52</v>
      </c>
      <c r="H647" s="71" t="s">
        <v>1063</v>
      </c>
      <c r="I647" s="72"/>
      <c r="J647" s="72" t="s">
        <v>159</v>
      </c>
      <c r="K647" s="71" t="s">
        <v>1063</v>
      </c>
      <c r="L647" s="75">
        <v>213.72340425531914</v>
      </c>
      <c r="M647" s="76">
        <v>3985.099365234375</v>
      </c>
      <c r="N647" s="76">
        <v>5733.478515625</v>
      </c>
      <c r="O647" s="77"/>
      <c r="P647" s="78"/>
      <c r="Q647" s="78"/>
      <c r="R647" s="82"/>
      <c r="S647" s="48"/>
      <c r="T647" s="48"/>
      <c r="U647" s="49"/>
      <c r="V647" s="49"/>
      <c r="W647" s="49"/>
      <c r="X647" s="49"/>
      <c r="Y647" s="49"/>
      <c r="Z647" s="49"/>
      <c r="AA647" s="73">
        <v>647</v>
      </c>
      <c r="AB647" s="73"/>
      <c r="AC647" s="74"/>
      <c r="AD647" s="80" t="s">
        <v>1063</v>
      </c>
      <c r="AE647" s="80" t="s">
        <v>1774</v>
      </c>
      <c r="AF647" s="80" t="s">
        <v>2401</v>
      </c>
      <c r="AG647" s="80" t="s">
        <v>2975</v>
      </c>
      <c r="AH647" s="80" t="s">
        <v>3475</v>
      </c>
      <c r="AI647" s="80">
        <v>1726</v>
      </c>
      <c r="AJ647" s="80">
        <v>2</v>
      </c>
      <c r="AK647" s="80">
        <v>9</v>
      </c>
      <c r="AL647" s="80">
        <v>0</v>
      </c>
      <c r="AM647" s="80" t="s">
        <v>4098</v>
      </c>
      <c r="AN647" s="96" t="str">
        <f>HYPERLINK("https://www.youtube.com/watch?v=z4dmsYmlUbM")</f>
        <v>https://www.youtube.com/watch?v=z4dmsYmlUbM</v>
      </c>
      <c r="AO647" s="80" t="e">
        <f>REPLACE(INDEX(GroupVertices[Group],MATCH(Vertices[[#This Row],[Vertex]],GroupVertices[Vertex],0)),1,1,"")</f>
        <v>#N/A</v>
      </c>
      <c r="AP647" s="48"/>
      <c r="AQ647" s="49"/>
      <c r="AR647" s="48"/>
      <c r="AS647" s="49"/>
      <c r="AT647" s="48"/>
      <c r="AU647" s="49"/>
      <c r="AV647" s="48"/>
      <c r="AW647" s="49"/>
      <c r="AX647" s="48"/>
      <c r="AY647" s="48"/>
      <c r="AZ647" s="48"/>
      <c r="BA647" s="48"/>
      <c r="BB647" s="48"/>
      <c r="BC647" s="2"/>
      <c r="BD647" s="3"/>
      <c r="BE647" s="3"/>
      <c r="BF647" s="3"/>
      <c r="BG647" s="3"/>
    </row>
    <row r="648" spans="1:59" ht="15">
      <c r="A648" s="66" t="s">
        <v>545</v>
      </c>
      <c r="B648" s="67" t="s">
        <v>4461</v>
      </c>
      <c r="C648" s="67"/>
      <c r="D648" s="68">
        <v>438.2008214837595</v>
      </c>
      <c r="E648" s="70"/>
      <c r="F648" s="97" t="str">
        <f>HYPERLINK("https://i.ytimg.com/vi/TxpW2jXlkwo/default.jpg")</f>
        <v>https://i.ytimg.com/vi/TxpW2jXlkwo/default.jpg</v>
      </c>
      <c r="G648" s="120" t="s">
        <v>52</v>
      </c>
      <c r="H648" s="71" t="s">
        <v>1277</v>
      </c>
      <c r="I648" s="72"/>
      <c r="J648" s="72" t="s">
        <v>159</v>
      </c>
      <c r="K648" s="71" t="s">
        <v>1277</v>
      </c>
      <c r="L648" s="75">
        <v>213.72340425531914</v>
      </c>
      <c r="M648" s="76">
        <v>3673.354248046875</v>
      </c>
      <c r="N648" s="76">
        <v>6953.341796875</v>
      </c>
      <c r="O648" s="77"/>
      <c r="P648" s="78"/>
      <c r="Q648" s="78"/>
      <c r="R648" s="82"/>
      <c r="S648" s="48"/>
      <c r="T648" s="48"/>
      <c r="U648" s="49"/>
      <c r="V648" s="49"/>
      <c r="W648" s="49"/>
      <c r="X648" s="49"/>
      <c r="Y648" s="49"/>
      <c r="Z648" s="49"/>
      <c r="AA648" s="73">
        <v>648</v>
      </c>
      <c r="AB648" s="73"/>
      <c r="AC648" s="74"/>
      <c r="AD648" s="80" t="s">
        <v>1277</v>
      </c>
      <c r="AE648" s="80"/>
      <c r="AF648" s="80"/>
      <c r="AG648" s="80" t="s">
        <v>3110</v>
      </c>
      <c r="AH648" s="80" t="s">
        <v>3689</v>
      </c>
      <c r="AI648" s="80">
        <v>1665</v>
      </c>
      <c r="AJ648" s="80">
        <v>2</v>
      </c>
      <c r="AK648" s="80">
        <v>31</v>
      </c>
      <c r="AL648" s="80">
        <v>0</v>
      </c>
      <c r="AM648" s="80" t="s">
        <v>4098</v>
      </c>
      <c r="AN648" s="96" t="str">
        <f>HYPERLINK("https://www.youtube.com/watch?v=TxpW2jXlkwo")</f>
        <v>https://www.youtube.com/watch?v=TxpW2jXlkwo</v>
      </c>
      <c r="AO648" s="80" t="e">
        <f>REPLACE(INDEX(GroupVertices[Group],MATCH(Vertices[[#This Row],[Vertex]],GroupVertices[Vertex],0)),1,1,"")</f>
        <v>#N/A</v>
      </c>
      <c r="AP648" s="48"/>
      <c r="AQ648" s="49"/>
      <c r="AR648" s="48"/>
      <c r="AS648" s="49"/>
      <c r="AT648" s="48"/>
      <c r="AU648" s="49"/>
      <c r="AV648" s="48"/>
      <c r="AW648" s="49"/>
      <c r="AX648" s="48"/>
      <c r="AY648" s="48"/>
      <c r="AZ648" s="48"/>
      <c r="BA648" s="48"/>
      <c r="BB648" s="48"/>
      <c r="BC648" s="2"/>
      <c r="BD648" s="3"/>
      <c r="BE648" s="3"/>
      <c r="BF648" s="3"/>
      <c r="BG648" s="3"/>
    </row>
    <row r="649" spans="1:59" ht="15">
      <c r="A649" s="66" t="s">
        <v>681</v>
      </c>
      <c r="B649" s="67" t="s">
        <v>4461</v>
      </c>
      <c r="C649" s="67"/>
      <c r="D649" s="68">
        <v>436.6952804945407</v>
      </c>
      <c r="E649" s="70"/>
      <c r="F649" s="97" t="str">
        <f>HYPERLINK("https://i.ytimg.com/vi/xhr06ccqxgU/default.jpg")</f>
        <v>https://i.ytimg.com/vi/xhr06ccqxgU/default.jpg</v>
      </c>
      <c r="G649" s="120" t="s">
        <v>52</v>
      </c>
      <c r="H649" s="71" t="s">
        <v>1422</v>
      </c>
      <c r="I649" s="72"/>
      <c r="J649" s="72" t="s">
        <v>159</v>
      </c>
      <c r="K649" s="71" t="s">
        <v>1422</v>
      </c>
      <c r="L649" s="75">
        <v>213.72340425531914</v>
      </c>
      <c r="M649" s="76">
        <v>9550.03125</v>
      </c>
      <c r="N649" s="76">
        <v>3229.292724609375</v>
      </c>
      <c r="O649" s="77"/>
      <c r="P649" s="78"/>
      <c r="Q649" s="78"/>
      <c r="R649" s="82"/>
      <c r="S649" s="48"/>
      <c r="T649" s="48"/>
      <c r="U649" s="49"/>
      <c r="V649" s="49"/>
      <c r="W649" s="49"/>
      <c r="X649" s="49"/>
      <c r="Y649" s="49"/>
      <c r="Z649" s="49"/>
      <c r="AA649" s="73">
        <v>649</v>
      </c>
      <c r="AB649" s="73"/>
      <c r="AC649" s="74"/>
      <c r="AD649" s="80" t="s">
        <v>1422</v>
      </c>
      <c r="AE649" s="80" t="s">
        <v>2081</v>
      </c>
      <c r="AF649" s="80" t="s">
        <v>2671</v>
      </c>
      <c r="AG649" s="80" t="s">
        <v>3207</v>
      </c>
      <c r="AH649" s="80" t="s">
        <v>3834</v>
      </c>
      <c r="AI649" s="80">
        <v>1637</v>
      </c>
      <c r="AJ649" s="80">
        <v>10</v>
      </c>
      <c r="AK649" s="80">
        <v>13</v>
      </c>
      <c r="AL649" s="80">
        <v>0</v>
      </c>
      <c r="AM649" s="80" t="s">
        <v>4098</v>
      </c>
      <c r="AN649" s="96" t="str">
        <f>HYPERLINK("https://www.youtube.com/watch?v=xhr06ccqxgU")</f>
        <v>https://www.youtube.com/watch?v=xhr06ccqxgU</v>
      </c>
      <c r="AO649" s="80" t="e">
        <f>REPLACE(INDEX(GroupVertices[Group],MATCH(Vertices[[#This Row],[Vertex]],GroupVertices[Vertex],0)),1,1,"")</f>
        <v>#N/A</v>
      </c>
      <c r="AP649" s="48"/>
      <c r="AQ649" s="49"/>
      <c r="AR649" s="48"/>
      <c r="AS649" s="49"/>
      <c r="AT649" s="48"/>
      <c r="AU649" s="49"/>
      <c r="AV649" s="48"/>
      <c r="AW649" s="49"/>
      <c r="AX649" s="48"/>
      <c r="AY649" s="48"/>
      <c r="AZ649" s="48"/>
      <c r="BA649" s="48"/>
      <c r="BB649" s="48"/>
      <c r="BC649" s="2"/>
      <c r="BD649" s="3"/>
      <c r="BE649" s="3"/>
      <c r="BF649" s="3"/>
      <c r="BG649" s="3"/>
    </row>
    <row r="650" spans="1:59" ht="15">
      <c r="A650" s="66" t="s">
        <v>443</v>
      </c>
      <c r="B650" s="67" t="s">
        <v>4461</v>
      </c>
      <c r="C650" s="67"/>
      <c r="D650" s="68">
        <v>436.586758450165</v>
      </c>
      <c r="E650" s="70"/>
      <c r="F650" s="97" t="str">
        <f>HYPERLINK("https://i.ytimg.com/vi/orf4nJ4MeDw/default.jpg")</f>
        <v>https://i.ytimg.com/vi/orf4nJ4MeDw/default.jpg</v>
      </c>
      <c r="G650" s="120" t="s">
        <v>52</v>
      </c>
      <c r="H650" s="71" t="s">
        <v>1152</v>
      </c>
      <c r="I650" s="72"/>
      <c r="J650" s="72" t="s">
        <v>159</v>
      </c>
      <c r="K650" s="71" t="s">
        <v>1152</v>
      </c>
      <c r="L650" s="75">
        <v>213.72340425531914</v>
      </c>
      <c r="M650" s="76">
        <v>2474.192626953125</v>
      </c>
      <c r="N650" s="76">
        <v>9666.7001953125</v>
      </c>
      <c r="O650" s="77"/>
      <c r="P650" s="78"/>
      <c r="Q650" s="78"/>
      <c r="R650" s="82"/>
      <c r="S650" s="48"/>
      <c r="T650" s="48"/>
      <c r="U650" s="49"/>
      <c r="V650" s="49"/>
      <c r="W650" s="49"/>
      <c r="X650" s="49"/>
      <c r="Y650" s="49"/>
      <c r="Z650" s="49"/>
      <c r="AA650" s="73">
        <v>650</v>
      </c>
      <c r="AB650" s="73"/>
      <c r="AC650" s="74"/>
      <c r="AD650" s="80" t="s">
        <v>1152</v>
      </c>
      <c r="AE650" s="80" t="s">
        <v>1843</v>
      </c>
      <c r="AF650" s="80" t="s">
        <v>2418</v>
      </c>
      <c r="AG650" s="80" t="s">
        <v>2992</v>
      </c>
      <c r="AH650" s="80" t="s">
        <v>3565</v>
      </c>
      <c r="AI650" s="80">
        <v>1635</v>
      </c>
      <c r="AJ650" s="80">
        <v>0</v>
      </c>
      <c r="AK650" s="80">
        <v>0</v>
      </c>
      <c r="AL650" s="80">
        <v>0</v>
      </c>
      <c r="AM650" s="80" t="s">
        <v>4098</v>
      </c>
      <c r="AN650" s="96" t="str">
        <f>HYPERLINK("https://www.youtube.com/watch?v=orf4nJ4MeDw")</f>
        <v>https://www.youtube.com/watch?v=orf4nJ4MeDw</v>
      </c>
      <c r="AO650" s="80" t="e">
        <f>REPLACE(INDEX(GroupVertices[Group],MATCH(Vertices[[#This Row],[Vertex]],GroupVertices[Vertex],0)),1,1,"")</f>
        <v>#N/A</v>
      </c>
      <c r="AP650" s="48"/>
      <c r="AQ650" s="49"/>
      <c r="AR650" s="48"/>
      <c r="AS650" s="49"/>
      <c r="AT650" s="48"/>
      <c r="AU650" s="49"/>
      <c r="AV650" s="48"/>
      <c r="AW650" s="49"/>
      <c r="AX650" s="48"/>
      <c r="AY650" s="48"/>
      <c r="AZ650" s="48"/>
      <c r="BA650" s="48"/>
      <c r="BB650" s="48"/>
      <c r="BC650" s="2"/>
      <c r="BD650" s="3"/>
      <c r="BE650" s="3"/>
      <c r="BF650" s="3"/>
      <c r="BG650" s="3"/>
    </row>
    <row r="651" spans="1:59" ht="15">
      <c r="A651" s="66" t="s">
        <v>828</v>
      </c>
      <c r="B651" s="67" t="s">
        <v>4461</v>
      </c>
      <c r="C651" s="67"/>
      <c r="D651" s="68">
        <v>436.2603940338674</v>
      </c>
      <c r="E651" s="70"/>
      <c r="F651" s="97" t="str">
        <f>HYPERLINK("https://i.ytimg.com/vi/BtHpfHMS0Ic/default.jpg")</f>
        <v>https://i.ytimg.com/vi/BtHpfHMS0Ic/default.jpg</v>
      </c>
      <c r="G651" s="120" t="s">
        <v>52</v>
      </c>
      <c r="H651" s="71" t="s">
        <v>1567</v>
      </c>
      <c r="I651" s="72"/>
      <c r="J651" s="72" t="s">
        <v>159</v>
      </c>
      <c r="K651" s="71" t="s">
        <v>1567</v>
      </c>
      <c r="L651" s="75">
        <v>213.72340425531914</v>
      </c>
      <c r="M651" s="76">
        <v>307.865478515625</v>
      </c>
      <c r="N651" s="76">
        <v>3169.818359375</v>
      </c>
      <c r="O651" s="77"/>
      <c r="P651" s="78"/>
      <c r="Q651" s="78"/>
      <c r="R651" s="82"/>
      <c r="S651" s="48"/>
      <c r="T651" s="48"/>
      <c r="U651" s="49"/>
      <c r="V651" s="49"/>
      <c r="W651" s="49"/>
      <c r="X651" s="49"/>
      <c r="Y651" s="49"/>
      <c r="Z651" s="49"/>
      <c r="AA651" s="73">
        <v>651</v>
      </c>
      <c r="AB651" s="73"/>
      <c r="AC651" s="74"/>
      <c r="AD651" s="80" t="s">
        <v>1567</v>
      </c>
      <c r="AE651" s="80" t="s">
        <v>2214</v>
      </c>
      <c r="AF651" s="80" t="s">
        <v>2798</v>
      </c>
      <c r="AG651" s="80" t="s">
        <v>3309</v>
      </c>
      <c r="AH651" s="80" t="s">
        <v>3982</v>
      </c>
      <c r="AI651" s="80">
        <v>1629</v>
      </c>
      <c r="AJ651" s="80">
        <v>0</v>
      </c>
      <c r="AK651" s="80">
        <v>10</v>
      </c>
      <c r="AL651" s="80">
        <v>0</v>
      </c>
      <c r="AM651" s="80" t="s">
        <v>4098</v>
      </c>
      <c r="AN651" s="96" t="str">
        <f>HYPERLINK("https://www.youtube.com/watch?v=BtHpfHMS0Ic")</f>
        <v>https://www.youtube.com/watch?v=BtHpfHMS0Ic</v>
      </c>
      <c r="AO651" s="80" t="e">
        <f>REPLACE(INDEX(GroupVertices[Group],MATCH(Vertices[[#This Row],[Vertex]],GroupVertices[Vertex],0)),1,1,"")</f>
        <v>#N/A</v>
      </c>
      <c r="AP651" s="48"/>
      <c r="AQ651" s="49"/>
      <c r="AR651" s="48"/>
      <c r="AS651" s="49"/>
      <c r="AT651" s="48"/>
      <c r="AU651" s="49"/>
      <c r="AV651" s="48"/>
      <c r="AW651" s="49"/>
      <c r="AX651" s="48"/>
      <c r="AY651" s="48"/>
      <c r="AZ651" s="48"/>
      <c r="BA651" s="48"/>
      <c r="BB651" s="48"/>
      <c r="BC651" s="2"/>
      <c r="BD651" s="3"/>
      <c r="BE651" s="3"/>
      <c r="BF651" s="3"/>
      <c r="BG651" s="3"/>
    </row>
    <row r="652" spans="1:59" ht="15">
      <c r="A652" s="66" t="s">
        <v>269</v>
      </c>
      <c r="B652" s="67" t="s">
        <v>4461</v>
      </c>
      <c r="C652" s="67"/>
      <c r="D652" s="68">
        <v>436.2058831195087</v>
      </c>
      <c r="E652" s="70"/>
      <c r="F652" s="97" t="str">
        <f>HYPERLINK("https://i.ytimg.com/vi/9l9_SOGYyU8/default.jpg")</f>
        <v>https://i.ytimg.com/vi/9l9_SOGYyU8/default.jpg</v>
      </c>
      <c r="G652" s="120" t="s">
        <v>52</v>
      </c>
      <c r="H652" s="71" t="s">
        <v>964</v>
      </c>
      <c r="I652" s="72"/>
      <c r="J652" s="72" t="s">
        <v>159</v>
      </c>
      <c r="K652" s="71" t="s">
        <v>964</v>
      </c>
      <c r="L652" s="75">
        <v>213.72340425531914</v>
      </c>
      <c r="M652" s="76">
        <v>6295.9306640625</v>
      </c>
      <c r="N652" s="76">
        <v>9336.5849609375</v>
      </c>
      <c r="O652" s="77"/>
      <c r="P652" s="78"/>
      <c r="Q652" s="78"/>
      <c r="R652" s="82"/>
      <c r="S652" s="48"/>
      <c r="T652" s="48"/>
      <c r="U652" s="49"/>
      <c r="V652" s="49"/>
      <c r="W652" s="49"/>
      <c r="X652" s="49"/>
      <c r="Y652" s="49"/>
      <c r="Z652" s="49"/>
      <c r="AA652" s="73">
        <v>652</v>
      </c>
      <c r="AB652" s="73"/>
      <c r="AC652" s="74"/>
      <c r="AD652" s="80" t="s">
        <v>964</v>
      </c>
      <c r="AE652" s="80"/>
      <c r="AF652" s="80"/>
      <c r="AG652" s="80" t="s">
        <v>2901</v>
      </c>
      <c r="AH652" s="80" t="s">
        <v>3379</v>
      </c>
      <c r="AI652" s="80">
        <v>1628</v>
      </c>
      <c r="AJ652" s="80">
        <v>4</v>
      </c>
      <c r="AK652" s="80">
        <v>20</v>
      </c>
      <c r="AL652" s="80">
        <v>0</v>
      </c>
      <c r="AM652" s="80" t="s">
        <v>4098</v>
      </c>
      <c r="AN652" s="96" t="str">
        <f>HYPERLINK("https://www.youtube.com/watch?v=9l9_SOGYyU8")</f>
        <v>https://www.youtube.com/watch?v=9l9_SOGYyU8</v>
      </c>
      <c r="AO652" s="80" t="e">
        <f>REPLACE(INDEX(GroupVertices[Group],MATCH(Vertices[[#This Row],[Vertex]],GroupVertices[Vertex],0)),1,1,"")</f>
        <v>#N/A</v>
      </c>
      <c r="AP652" s="48"/>
      <c r="AQ652" s="49"/>
      <c r="AR652" s="48"/>
      <c r="AS652" s="49"/>
      <c r="AT652" s="48"/>
      <c r="AU652" s="49"/>
      <c r="AV652" s="48"/>
      <c r="AW652" s="49"/>
      <c r="AX652" s="48"/>
      <c r="AY652" s="48"/>
      <c r="AZ652" s="48"/>
      <c r="BA652" s="48"/>
      <c r="BB652" s="48"/>
      <c r="BC652" s="2"/>
      <c r="BD652" s="3"/>
      <c r="BE652" s="3"/>
      <c r="BF652" s="3"/>
      <c r="BG652" s="3"/>
    </row>
    <row r="653" spans="1:59" ht="15">
      <c r="A653" s="66" t="s">
        <v>354</v>
      </c>
      <c r="B653" s="67" t="s">
        <v>4461</v>
      </c>
      <c r="C653" s="67"/>
      <c r="D653" s="68">
        <v>434.4436213515881</v>
      </c>
      <c r="E653" s="70"/>
      <c r="F653" s="97" t="str">
        <f>HYPERLINK("https://i.ytimg.com/vi/i88CBli0uQc/default.jpg")</f>
        <v>https://i.ytimg.com/vi/i88CBli0uQc/default.jpg</v>
      </c>
      <c r="G653" s="120" t="s">
        <v>52</v>
      </c>
      <c r="H653" s="71" t="s">
        <v>1058</v>
      </c>
      <c r="I653" s="72"/>
      <c r="J653" s="72" t="s">
        <v>159</v>
      </c>
      <c r="K653" s="71" t="s">
        <v>1058</v>
      </c>
      <c r="L653" s="75">
        <v>213.72340425531914</v>
      </c>
      <c r="M653" s="76">
        <v>3696.714599609375</v>
      </c>
      <c r="N653" s="76">
        <v>5725.9853515625</v>
      </c>
      <c r="O653" s="77"/>
      <c r="P653" s="78"/>
      <c r="Q653" s="78"/>
      <c r="R653" s="82"/>
      <c r="S653" s="48"/>
      <c r="T653" s="48"/>
      <c r="U653" s="49"/>
      <c r="V653" s="49"/>
      <c r="W653" s="49"/>
      <c r="X653" s="49"/>
      <c r="Y653" s="49"/>
      <c r="Z653" s="49"/>
      <c r="AA653" s="73">
        <v>653</v>
      </c>
      <c r="AB653" s="73"/>
      <c r="AC653" s="74"/>
      <c r="AD653" s="80" t="s">
        <v>1058</v>
      </c>
      <c r="AE653" s="80" t="s">
        <v>1769</v>
      </c>
      <c r="AF653" s="80" t="s">
        <v>2397</v>
      </c>
      <c r="AG653" s="80" t="s">
        <v>2979</v>
      </c>
      <c r="AH653" s="80" t="s">
        <v>3473</v>
      </c>
      <c r="AI653" s="80">
        <v>1596</v>
      </c>
      <c r="AJ653" s="80">
        <v>12</v>
      </c>
      <c r="AK653" s="80">
        <v>20</v>
      </c>
      <c r="AL653" s="80">
        <v>0</v>
      </c>
      <c r="AM653" s="80" t="s">
        <v>4098</v>
      </c>
      <c r="AN653" s="96" t="str">
        <f>HYPERLINK("https://www.youtube.com/watch?v=i88CBli0uQc")</f>
        <v>https://www.youtube.com/watch?v=i88CBli0uQc</v>
      </c>
      <c r="AO653" s="80" t="e">
        <f>REPLACE(INDEX(GroupVertices[Group],MATCH(Vertices[[#This Row],[Vertex]],GroupVertices[Vertex],0)),1,1,"")</f>
        <v>#N/A</v>
      </c>
      <c r="AP653" s="48"/>
      <c r="AQ653" s="49"/>
      <c r="AR653" s="48"/>
      <c r="AS653" s="49"/>
      <c r="AT653" s="48"/>
      <c r="AU653" s="49"/>
      <c r="AV653" s="48"/>
      <c r="AW653" s="49"/>
      <c r="AX653" s="48"/>
      <c r="AY653" s="48"/>
      <c r="AZ653" s="48"/>
      <c r="BA653" s="48"/>
      <c r="BB653" s="48"/>
      <c r="BC653" s="2"/>
      <c r="BD653" s="3"/>
      <c r="BE653" s="3"/>
      <c r="BF653" s="3"/>
      <c r="BG653" s="3"/>
    </row>
    <row r="654" spans="1:59" ht="15">
      <c r="A654" s="66" t="s">
        <v>655</v>
      </c>
      <c r="B654" s="67" t="s">
        <v>4461</v>
      </c>
      <c r="C654" s="67"/>
      <c r="D654" s="68">
        <v>423.19174299761363</v>
      </c>
      <c r="E654" s="70"/>
      <c r="F654" s="97" t="str">
        <f>HYPERLINK("https://i.ytimg.com/vi/Q-1EpHE_4Pc/default.jpg")</f>
        <v>https://i.ytimg.com/vi/Q-1EpHE_4Pc/default.jpg</v>
      </c>
      <c r="G654" s="120" t="s">
        <v>52</v>
      </c>
      <c r="H654" s="71" t="s">
        <v>1395</v>
      </c>
      <c r="I654" s="72"/>
      <c r="J654" s="72" t="s">
        <v>159</v>
      </c>
      <c r="K654" s="71" t="s">
        <v>1395</v>
      </c>
      <c r="L654" s="75">
        <v>213.72340425531914</v>
      </c>
      <c r="M654" s="76">
        <v>2572.788818359375</v>
      </c>
      <c r="N654" s="76">
        <v>860.4549560546875</v>
      </c>
      <c r="O654" s="77"/>
      <c r="P654" s="78"/>
      <c r="Q654" s="78"/>
      <c r="R654" s="82"/>
      <c r="S654" s="48"/>
      <c r="T654" s="48"/>
      <c r="U654" s="49"/>
      <c r="V654" s="49"/>
      <c r="W654" s="49"/>
      <c r="X654" s="49"/>
      <c r="Y654" s="49"/>
      <c r="Z654" s="49"/>
      <c r="AA654" s="73">
        <v>654</v>
      </c>
      <c r="AB654" s="73"/>
      <c r="AC654" s="74"/>
      <c r="AD654" s="80" t="s">
        <v>1395</v>
      </c>
      <c r="AE654" s="80" t="s">
        <v>2059</v>
      </c>
      <c r="AF654" s="80"/>
      <c r="AG654" s="80" t="s">
        <v>3188</v>
      </c>
      <c r="AH654" s="80" t="s">
        <v>3807</v>
      </c>
      <c r="AI654" s="80">
        <v>1406</v>
      </c>
      <c r="AJ654" s="80">
        <v>4</v>
      </c>
      <c r="AK654" s="80">
        <v>22</v>
      </c>
      <c r="AL654" s="80">
        <v>0</v>
      </c>
      <c r="AM654" s="80" t="s">
        <v>4098</v>
      </c>
      <c r="AN654" s="96" t="str">
        <f>HYPERLINK("https://www.youtube.com/watch?v=Q-1EpHE_4Pc")</f>
        <v>https://www.youtube.com/watch?v=Q-1EpHE_4Pc</v>
      </c>
      <c r="AO654" s="80" t="e">
        <f>REPLACE(INDEX(GroupVertices[Group],MATCH(Vertices[[#This Row],[Vertex]],GroupVertices[Vertex],0)),1,1,"")</f>
        <v>#N/A</v>
      </c>
      <c r="AP654" s="48"/>
      <c r="AQ654" s="49"/>
      <c r="AR654" s="48"/>
      <c r="AS654" s="49"/>
      <c r="AT654" s="48"/>
      <c r="AU654" s="49"/>
      <c r="AV654" s="48"/>
      <c r="AW654" s="49"/>
      <c r="AX654" s="48"/>
      <c r="AY654" s="48"/>
      <c r="AZ654" s="48"/>
      <c r="BA654" s="48"/>
      <c r="BB654" s="48"/>
      <c r="BC654" s="2"/>
      <c r="BD654" s="3"/>
      <c r="BE654" s="3"/>
      <c r="BF654" s="3"/>
      <c r="BG654" s="3"/>
    </row>
    <row r="655" spans="1:59" ht="15">
      <c r="A655" s="66" t="s">
        <v>404</v>
      </c>
      <c r="B655" s="67" t="s">
        <v>4461</v>
      </c>
      <c r="C655" s="67"/>
      <c r="D655" s="68">
        <v>422.812108685977</v>
      </c>
      <c r="E655" s="70"/>
      <c r="F655" s="97" t="str">
        <f>HYPERLINK("https://i.ytimg.com/vi/UYYz40tMzW0/default.jpg")</f>
        <v>https://i.ytimg.com/vi/UYYz40tMzW0/default.jpg</v>
      </c>
      <c r="G655" s="120" t="s">
        <v>52</v>
      </c>
      <c r="H655" s="71" t="s">
        <v>1111</v>
      </c>
      <c r="I655" s="72"/>
      <c r="J655" s="72" t="s">
        <v>159</v>
      </c>
      <c r="K655" s="71" t="s">
        <v>1111</v>
      </c>
      <c r="L655" s="75">
        <v>213.72340425531914</v>
      </c>
      <c r="M655" s="76">
        <v>5034.48095703125</v>
      </c>
      <c r="N655" s="76">
        <v>160.5028839111328</v>
      </c>
      <c r="O655" s="77"/>
      <c r="P655" s="78"/>
      <c r="Q655" s="78"/>
      <c r="R655" s="82"/>
      <c r="S655" s="48"/>
      <c r="T655" s="48"/>
      <c r="U655" s="49"/>
      <c r="V655" s="49"/>
      <c r="W655" s="49"/>
      <c r="X655" s="49"/>
      <c r="Y655" s="49"/>
      <c r="Z655" s="49"/>
      <c r="AA655" s="73">
        <v>655</v>
      </c>
      <c r="AB655" s="73"/>
      <c r="AC655" s="74"/>
      <c r="AD655" s="80" t="s">
        <v>1111</v>
      </c>
      <c r="AE655" s="80" t="s">
        <v>1799</v>
      </c>
      <c r="AF655" s="80"/>
      <c r="AG655" s="80" t="s">
        <v>2958</v>
      </c>
      <c r="AH655" s="80" t="s">
        <v>3524</v>
      </c>
      <c r="AI655" s="80">
        <v>1400</v>
      </c>
      <c r="AJ655" s="80">
        <v>0</v>
      </c>
      <c r="AK655" s="80">
        <v>15</v>
      </c>
      <c r="AL655" s="80">
        <v>0</v>
      </c>
      <c r="AM655" s="80" t="s">
        <v>4098</v>
      </c>
      <c r="AN655" s="96" t="str">
        <f>HYPERLINK("https://www.youtube.com/watch?v=UYYz40tMzW0")</f>
        <v>https://www.youtube.com/watch?v=UYYz40tMzW0</v>
      </c>
      <c r="AO655" s="80" t="e">
        <f>REPLACE(INDEX(GroupVertices[Group],MATCH(Vertices[[#This Row],[Vertex]],GroupVertices[Vertex],0)),1,1,"")</f>
        <v>#N/A</v>
      </c>
      <c r="AP655" s="48"/>
      <c r="AQ655" s="49"/>
      <c r="AR655" s="48"/>
      <c r="AS655" s="49"/>
      <c r="AT655" s="48"/>
      <c r="AU655" s="49"/>
      <c r="AV655" s="48"/>
      <c r="AW655" s="49"/>
      <c r="AX655" s="48"/>
      <c r="AY655" s="48"/>
      <c r="AZ655" s="48"/>
      <c r="BA655" s="48"/>
      <c r="BB655" s="48"/>
      <c r="BC655" s="2"/>
      <c r="BD655" s="3"/>
      <c r="BE655" s="3"/>
      <c r="BF655" s="3"/>
      <c r="BG655" s="3"/>
    </row>
    <row r="656" spans="1:59" ht="15">
      <c r="A656" s="66" t="s">
        <v>273</v>
      </c>
      <c r="B656" s="67" t="s">
        <v>4461</v>
      </c>
      <c r="C656" s="67"/>
      <c r="D656" s="68">
        <v>421.2771248286836</v>
      </c>
      <c r="E656" s="70"/>
      <c r="F656" s="97" t="str">
        <f>HYPERLINK("https://i.ytimg.com/vi/Z9qtyFEid38/default.jpg")</f>
        <v>https://i.ytimg.com/vi/Z9qtyFEid38/default.jpg</v>
      </c>
      <c r="G656" s="120" t="s">
        <v>52</v>
      </c>
      <c r="H656" s="71" t="s">
        <v>968</v>
      </c>
      <c r="I656" s="72"/>
      <c r="J656" s="72" t="s">
        <v>159</v>
      </c>
      <c r="K656" s="71" t="s">
        <v>968</v>
      </c>
      <c r="L656" s="75">
        <v>213.72340425531914</v>
      </c>
      <c r="M656" s="76">
        <v>5683.556640625</v>
      </c>
      <c r="N656" s="76">
        <v>9782.6318359375</v>
      </c>
      <c r="O656" s="77"/>
      <c r="P656" s="78"/>
      <c r="Q656" s="78"/>
      <c r="R656" s="82"/>
      <c r="S656" s="48"/>
      <c r="T656" s="48"/>
      <c r="U656" s="49"/>
      <c r="V656" s="49"/>
      <c r="W656" s="49"/>
      <c r="X656" s="49"/>
      <c r="Y656" s="49"/>
      <c r="Z656" s="49"/>
      <c r="AA656" s="73">
        <v>656</v>
      </c>
      <c r="AB656" s="73"/>
      <c r="AC656" s="74"/>
      <c r="AD656" s="80" t="s">
        <v>968</v>
      </c>
      <c r="AE656" s="80" t="s">
        <v>1692</v>
      </c>
      <c r="AF656" s="80" t="s">
        <v>2325</v>
      </c>
      <c r="AG656" s="80" t="s">
        <v>2900</v>
      </c>
      <c r="AH656" s="80" t="s">
        <v>3383</v>
      </c>
      <c r="AI656" s="80">
        <v>1376</v>
      </c>
      <c r="AJ656" s="80">
        <v>0</v>
      </c>
      <c r="AK656" s="80">
        <v>24</v>
      </c>
      <c r="AL656" s="80">
        <v>0</v>
      </c>
      <c r="AM656" s="80" t="s">
        <v>4098</v>
      </c>
      <c r="AN656" s="96" t="str">
        <f>HYPERLINK("https://www.youtube.com/watch?v=Z9qtyFEid38")</f>
        <v>https://www.youtube.com/watch?v=Z9qtyFEid38</v>
      </c>
      <c r="AO656" s="80" t="e">
        <f>REPLACE(INDEX(GroupVertices[Group],MATCH(Vertices[[#This Row],[Vertex]],GroupVertices[Vertex],0)),1,1,"")</f>
        <v>#N/A</v>
      </c>
      <c r="AP656" s="48"/>
      <c r="AQ656" s="49"/>
      <c r="AR656" s="48"/>
      <c r="AS656" s="49"/>
      <c r="AT656" s="48"/>
      <c r="AU656" s="49"/>
      <c r="AV656" s="48"/>
      <c r="AW656" s="49"/>
      <c r="AX656" s="48"/>
      <c r="AY656" s="48"/>
      <c r="AZ656" s="48"/>
      <c r="BA656" s="48"/>
      <c r="BB656" s="48"/>
      <c r="BC656" s="2"/>
      <c r="BD656" s="3"/>
      <c r="BE656" s="3"/>
      <c r="BF656" s="3"/>
      <c r="BG656" s="3"/>
    </row>
    <row r="657" spans="1:59" ht="15">
      <c r="A657" s="66" t="s">
        <v>840</v>
      </c>
      <c r="B657" s="67" t="s">
        <v>4461</v>
      </c>
      <c r="C657" s="67"/>
      <c r="D657" s="68">
        <v>417.1167693471365</v>
      </c>
      <c r="E657" s="70"/>
      <c r="F657" s="97" t="str">
        <f>HYPERLINK("https://i.ytimg.com/vi/mxl1MIYEMvo/default.jpg")</f>
        <v>https://i.ytimg.com/vi/mxl1MIYEMvo/default.jpg</v>
      </c>
      <c r="G657" s="120" t="s">
        <v>52</v>
      </c>
      <c r="H657" s="71" t="s">
        <v>1579</v>
      </c>
      <c r="I657" s="72"/>
      <c r="J657" s="72" t="s">
        <v>159</v>
      </c>
      <c r="K657" s="71" t="s">
        <v>1579</v>
      </c>
      <c r="L657" s="75">
        <v>213.72340425531914</v>
      </c>
      <c r="M657" s="76">
        <v>207.6244659423828</v>
      </c>
      <c r="N657" s="76">
        <v>1621.661865234375</v>
      </c>
      <c r="O657" s="77"/>
      <c r="P657" s="78"/>
      <c r="Q657" s="78"/>
      <c r="R657" s="82"/>
      <c r="S657" s="48"/>
      <c r="T657" s="48"/>
      <c r="U657" s="49"/>
      <c r="V657" s="49"/>
      <c r="W657" s="49"/>
      <c r="X657" s="49"/>
      <c r="Y657" s="49"/>
      <c r="Z657" s="49"/>
      <c r="AA657" s="73">
        <v>657</v>
      </c>
      <c r="AB657" s="73"/>
      <c r="AC657" s="74"/>
      <c r="AD657" s="80" t="s">
        <v>1579</v>
      </c>
      <c r="AE657" s="80"/>
      <c r="AF657" s="80" t="s">
        <v>2809</v>
      </c>
      <c r="AG657" s="80" t="s">
        <v>3313</v>
      </c>
      <c r="AH657" s="80" t="s">
        <v>3994</v>
      </c>
      <c r="AI657" s="80">
        <v>1313</v>
      </c>
      <c r="AJ657" s="80">
        <v>5</v>
      </c>
      <c r="AK657" s="80">
        <v>15</v>
      </c>
      <c r="AL657" s="80">
        <v>0</v>
      </c>
      <c r="AM657" s="80" t="s">
        <v>4098</v>
      </c>
      <c r="AN657" s="96" t="str">
        <f>HYPERLINK("https://www.youtube.com/watch?v=mxl1MIYEMvo")</f>
        <v>https://www.youtube.com/watch?v=mxl1MIYEMvo</v>
      </c>
      <c r="AO657" s="80" t="e">
        <f>REPLACE(INDEX(GroupVertices[Group],MATCH(Vertices[[#This Row],[Vertex]],GroupVertices[Vertex],0)),1,1,"")</f>
        <v>#N/A</v>
      </c>
      <c r="AP657" s="48"/>
      <c r="AQ657" s="49"/>
      <c r="AR657" s="48"/>
      <c r="AS657" s="49"/>
      <c r="AT657" s="48"/>
      <c r="AU657" s="49"/>
      <c r="AV657" s="48"/>
      <c r="AW657" s="49"/>
      <c r="AX657" s="48"/>
      <c r="AY657" s="48"/>
      <c r="AZ657" s="48"/>
      <c r="BA657" s="48"/>
      <c r="BB657" s="48"/>
      <c r="BC657" s="2"/>
      <c r="BD657" s="3"/>
      <c r="BE657" s="3"/>
      <c r="BF657" s="3"/>
      <c r="BG657" s="3"/>
    </row>
    <row r="658" spans="1:59" ht="15">
      <c r="A658" s="66" t="s">
        <v>758</v>
      </c>
      <c r="B658" s="67" t="s">
        <v>4461</v>
      </c>
      <c r="C658" s="67"/>
      <c r="D658" s="68">
        <v>415.20323213439644</v>
      </c>
      <c r="E658" s="70"/>
      <c r="F658" s="97" t="str">
        <f>HYPERLINK("https://i.ytimg.com/vi/EFdCUS6z87w/default.jpg")</f>
        <v>https://i.ytimg.com/vi/EFdCUS6z87w/default.jpg</v>
      </c>
      <c r="G658" s="120" t="s">
        <v>52</v>
      </c>
      <c r="H658" s="71" t="s">
        <v>1498</v>
      </c>
      <c r="I658" s="72"/>
      <c r="J658" s="72" t="s">
        <v>159</v>
      </c>
      <c r="K658" s="71" t="s">
        <v>1498</v>
      </c>
      <c r="L658" s="75">
        <v>213.72340425531914</v>
      </c>
      <c r="M658" s="76">
        <v>3384.000732421875</v>
      </c>
      <c r="N658" s="76">
        <v>8488.7578125</v>
      </c>
      <c r="O658" s="77"/>
      <c r="P658" s="78"/>
      <c r="Q658" s="78"/>
      <c r="R658" s="82"/>
      <c r="S658" s="48"/>
      <c r="T658" s="48"/>
      <c r="U658" s="49"/>
      <c r="V658" s="49"/>
      <c r="W658" s="49"/>
      <c r="X658" s="49"/>
      <c r="Y658" s="49"/>
      <c r="Z658" s="49"/>
      <c r="AA658" s="73">
        <v>658</v>
      </c>
      <c r="AB658" s="73"/>
      <c r="AC658" s="74"/>
      <c r="AD658" s="80" t="s">
        <v>1498</v>
      </c>
      <c r="AE658" s="80"/>
      <c r="AF658" s="80"/>
      <c r="AG658" s="80" t="s">
        <v>3057</v>
      </c>
      <c r="AH658" s="80" t="s">
        <v>3912</v>
      </c>
      <c r="AI658" s="80">
        <v>1285</v>
      </c>
      <c r="AJ658" s="80">
        <v>0</v>
      </c>
      <c r="AK658" s="80">
        <v>4</v>
      </c>
      <c r="AL658" s="80">
        <v>0</v>
      </c>
      <c r="AM658" s="80" t="s">
        <v>4098</v>
      </c>
      <c r="AN658" s="96" t="str">
        <f>HYPERLINK("https://www.youtube.com/watch?v=EFdCUS6z87w")</f>
        <v>https://www.youtube.com/watch?v=EFdCUS6z87w</v>
      </c>
      <c r="AO658" s="80" t="e">
        <f>REPLACE(INDEX(GroupVertices[Group],MATCH(Vertices[[#This Row],[Vertex]],GroupVertices[Vertex],0)),1,1,"")</f>
        <v>#N/A</v>
      </c>
      <c r="AP658" s="48"/>
      <c r="AQ658" s="49"/>
      <c r="AR658" s="48"/>
      <c r="AS658" s="49"/>
      <c r="AT658" s="48"/>
      <c r="AU658" s="49"/>
      <c r="AV658" s="48"/>
      <c r="AW658" s="49"/>
      <c r="AX658" s="48"/>
      <c r="AY658" s="48"/>
      <c r="AZ658" s="48"/>
      <c r="BA658" s="48"/>
      <c r="BB658" s="48"/>
      <c r="BC658" s="2"/>
      <c r="BD658" s="3"/>
      <c r="BE658" s="3"/>
      <c r="BF658" s="3"/>
      <c r="BG658" s="3"/>
    </row>
    <row r="659" spans="1:59" ht="15">
      <c r="A659" s="66" t="s">
        <v>284</v>
      </c>
      <c r="B659" s="67" t="s">
        <v>4461</v>
      </c>
      <c r="C659" s="67"/>
      <c r="D659" s="68">
        <v>410.595318426948</v>
      </c>
      <c r="E659" s="70"/>
      <c r="F659" s="97" t="str">
        <f>HYPERLINK("https://i.ytimg.com/vi/76CC22sg_C0/default.jpg")</f>
        <v>https://i.ytimg.com/vi/76CC22sg_C0/default.jpg</v>
      </c>
      <c r="G659" s="120" t="s">
        <v>52</v>
      </c>
      <c r="H659" s="71" t="s">
        <v>981</v>
      </c>
      <c r="I659" s="72"/>
      <c r="J659" s="72" t="s">
        <v>159</v>
      </c>
      <c r="K659" s="71" t="s">
        <v>981</v>
      </c>
      <c r="L659" s="75">
        <v>213.72340425531914</v>
      </c>
      <c r="M659" s="76">
        <v>5454.1318359375</v>
      </c>
      <c r="N659" s="76">
        <v>6797.68212890625</v>
      </c>
      <c r="O659" s="77"/>
      <c r="P659" s="78"/>
      <c r="Q659" s="78"/>
      <c r="R659" s="82"/>
      <c r="S659" s="48"/>
      <c r="T659" s="48"/>
      <c r="U659" s="49"/>
      <c r="V659" s="49"/>
      <c r="W659" s="49"/>
      <c r="X659" s="49"/>
      <c r="Y659" s="49"/>
      <c r="Z659" s="49"/>
      <c r="AA659" s="73">
        <v>659</v>
      </c>
      <c r="AB659" s="73"/>
      <c r="AC659" s="74"/>
      <c r="AD659" s="80" t="s">
        <v>981</v>
      </c>
      <c r="AE659" s="80" t="s">
        <v>1704</v>
      </c>
      <c r="AF659" s="80" t="s">
        <v>2336</v>
      </c>
      <c r="AG659" s="80" t="s">
        <v>2915</v>
      </c>
      <c r="AH659" s="80" t="s">
        <v>3396</v>
      </c>
      <c r="AI659" s="80">
        <v>1220</v>
      </c>
      <c r="AJ659" s="80">
        <v>1</v>
      </c>
      <c r="AK659" s="80">
        <v>2</v>
      </c>
      <c r="AL659" s="80">
        <v>0</v>
      </c>
      <c r="AM659" s="80" t="s">
        <v>4098</v>
      </c>
      <c r="AN659" s="96" t="str">
        <f>HYPERLINK("https://www.youtube.com/watch?v=76CC22sg_C0")</f>
        <v>https://www.youtube.com/watch?v=76CC22sg_C0</v>
      </c>
      <c r="AO659" s="80" t="e">
        <f>REPLACE(INDEX(GroupVertices[Group],MATCH(Vertices[[#This Row],[Vertex]],GroupVertices[Vertex],0)),1,1,"")</f>
        <v>#N/A</v>
      </c>
      <c r="AP659" s="48"/>
      <c r="AQ659" s="49"/>
      <c r="AR659" s="48"/>
      <c r="AS659" s="49"/>
      <c r="AT659" s="48"/>
      <c r="AU659" s="49"/>
      <c r="AV659" s="48"/>
      <c r="AW659" s="49"/>
      <c r="AX659" s="48"/>
      <c r="AY659" s="48"/>
      <c r="AZ659" s="48"/>
      <c r="BA659" s="48"/>
      <c r="BB659" s="48"/>
      <c r="BC659" s="2"/>
      <c r="BD659" s="3"/>
      <c r="BE659" s="3"/>
      <c r="BF659" s="3"/>
      <c r="BG659" s="3"/>
    </row>
    <row r="660" spans="1:59" ht="15">
      <c r="A660" s="66" t="s">
        <v>342</v>
      </c>
      <c r="B660" s="67" t="s">
        <v>4461</v>
      </c>
      <c r="C660" s="67"/>
      <c r="D660" s="68">
        <v>408.1610622861116</v>
      </c>
      <c r="E660" s="70"/>
      <c r="F660" s="97" t="str">
        <f>HYPERLINK("https://i.ytimg.com/vi/Hm4Idkhsr6I/default.jpg")</f>
        <v>https://i.ytimg.com/vi/Hm4Idkhsr6I/default.jpg</v>
      </c>
      <c r="G660" s="120" t="s">
        <v>52</v>
      </c>
      <c r="H660" s="71" t="s">
        <v>1045</v>
      </c>
      <c r="I660" s="72"/>
      <c r="J660" s="72" t="s">
        <v>159</v>
      </c>
      <c r="K660" s="71" t="s">
        <v>1045</v>
      </c>
      <c r="L660" s="75">
        <v>213.72340425531914</v>
      </c>
      <c r="M660" s="76">
        <v>7511.8642578125</v>
      </c>
      <c r="N660" s="76">
        <v>1966.4134521484375</v>
      </c>
      <c r="O660" s="77"/>
      <c r="P660" s="78"/>
      <c r="Q660" s="78"/>
      <c r="R660" s="82"/>
      <c r="S660" s="48"/>
      <c r="T660" s="48"/>
      <c r="U660" s="49"/>
      <c r="V660" s="49"/>
      <c r="W660" s="49"/>
      <c r="X660" s="49"/>
      <c r="Y660" s="49"/>
      <c r="Z660" s="49"/>
      <c r="AA660" s="73">
        <v>660</v>
      </c>
      <c r="AB660" s="73"/>
      <c r="AC660" s="74"/>
      <c r="AD660" s="80" t="s">
        <v>1045</v>
      </c>
      <c r="AE660" s="80" t="s">
        <v>1757</v>
      </c>
      <c r="AF660" s="80" t="s">
        <v>2386</v>
      </c>
      <c r="AG660" s="80" t="s">
        <v>2971</v>
      </c>
      <c r="AH660" s="80" t="s">
        <v>3460</v>
      </c>
      <c r="AI660" s="80">
        <v>1187</v>
      </c>
      <c r="AJ660" s="80">
        <v>3</v>
      </c>
      <c r="AK660" s="80">
        <v>15</v>
      </c>
      <c r="AL660" s="80">
        <v>0</v>
      </c>
      <c r="AM660" s="80" t="s">
        <v>4098</v>
      </c>
      <c r="AN660" s="96" t="str">
        <f>HYPERLINK("https://www.youtube.com/watch?v=Hm4Idkhsr6I")</f>
        <v>https://www.youtube.com/watch?v=Hm4Idkhsr6I</v>
      </c>
      <c r="AO660" s="80" t="e">
        <f>REPLACE(INDEX(GroupVertices[Group],MATCH(Vertices[[#This Row],[Vertex]],GroupVertices[Vertex],0)),1,1,"")</f>
        <v>#N/A</v>
      </c>
      <c r="AP660" s="48"/>
      <c r="AQ660" s="49"/>
      <c r="AR660" s="48"/>
      <c r="AS660" s="49"/>
      <c r="AT660" s="48"/>
      <c r="AU660" s="49"/>
      <c r="AV660" s="48"/>
      <c r="AW660" s="49"/>
      <c r="AX660" s="48"/>
      <c r="AY660" s="48"/>
      <c r="AZ660" s="48"/>
      <c r="BA660" s="48"/>
      <c r="BB660" s="48"/>
      <c r="BC660" s="2"/>
      <c r="BD660" s="3"/>
      <c r="BE660" s="3"/>
      <c r="BF660" s="3"/>
      <c r="BG660" s="3"/>
    </row>
    <row r="661" spans="1:59" ht="15">
      <c r="A661" s="66" t="s">
        <v>343</v>
      </c>
      <c r="B661" s="67" t="s">
        <v>4461</v>
      </c>
      <c r="C661" s="67"/>
      <c r="D661" s="68">
        <v>402.04717770183584</v>
      </c>
      <c r="E661" s="70"/>
      <c r="F661" s="97" t="str">
        <f>HYPERLINK("https://i.ytimg.com/vi/shu0ZF52us4/default.jpg")</f>
        <v>https://i.ytimg.com/vi/shu0ZF52us4/default.jpg</v>
      </c>
      <c r="G661" s="120" t="s">
        <v>52</v>
      </c>
      <c r="H661" s="71" t="s">
        <v>1046</v>
      </c>
      <c r="I661" s="72"/>
      <c r="J661" s="72" t="s">
        <v>159</v>
      </c>
      <c r="K661" s="71" t="s">
        <v>1046</v>
      </c>
      <c r="L661" s="75">
        <v>213.72340425531914</v>
      </c>
      <c r="M661" s="76">
        <v>7398.048828125</v>
      </c>
      <c r="N661" s="76">
        <v>2998.963623046875</v>
      </c>
      <c r="O661" s="77"/>
      <c r="P661" s="78"/>
      <c r="Q661" s="78"/>
      <c r="R661" s="82"/>
      <c r="S661" s="48"/>
      <c r="T661" s="48"/>
      <c r="U661" s="49"/>
      <c r="V661" s="49"/>
      <c r="W661" s="49"/>
      <c r="X661" s="49"/>
      <c r="Y661" s="49"/>
      <c r="Z661" s="49"/>
      <c r="AA661" s="73">
        <v>661</v>
      </c>
      <c r="AB661" s="73"/>
      <c r="AC661" s="74"/>
      <c r="AD661" s="80" t="s">
        <v>1046</v>
      </c>
      <c r="AE661" s="80" t="s">
        <v>1758</v>
      </c>
      <c r="AF661" s="80" t="s">
        <v>2387</v>
      </c>
      <c r="AG661" s="80" t="s">
        <v>2968</v>
      </c>
      <c r="AH661" s="80" t="s">
        <v>3461</v>
      </c>
      <c r="AI661" s="80">
        <v>1108</v>
      </c>
      <c r="AJ661" s="80">
        <v>0</v>
      </c>
      <c r="AK661" s="80">
        <v>8</v>
      </c>
      <c r="AL661" s="80">
        <v>0</v>
      </c>
      <c r="AM661" s="80" t="s">
        <v>4098</v>
      </c>
      <c r="AN661" s="96" t="str">
        <f>HYPERLINK("https://www.youtube.com/watch?v=shu0ZF52us4")</f>
        <v>https://www.youtube.com/watch?v=shu0ZF52us4</v>
      </c>
      <c r="AO661" s="80" t="e">
        <f>REPLACE(INDEX(GroupVertices[Group],MATCH(Vertices[[#This Row],[Vertex]],GroupVertices[Vertex],0)),1,1,"")</f>
        <v>#N/A</v>
      </c>
      <c r="AP661" s="48"/>
      <c r="AQ661" s="49"/>
      <c r="AR661" s="48"/>
      <c r="AS661" s="49"/>
      <c r="AT661" s="48"/>
      <c r="AU661" s="49"/>
      <c r="AV661" s="48"/>
      <c r="AW661" s="49"/>
      <c r="AX661" s="48"/>
      <c r="AY661" s="48"/>
      <c r="AZ661" s="48"/>
      <c r="BA661" s="48"/>
      <c r="BB661" s="48"/>
      <c r="BC661" s="2"/>
      <c r="BD661" s="3"/>
      <c r="BE661" s="3"/>
      <c r="BF661" s="3"/>
      <c r="BG661" s="3"/>
    </row>
    <row r="662" spans="1:59" ht="15">
      <c r="A662" s="66" t="s">
        <v>379</v>
      </c>
      <c r="B662" s="67" t="s">
        <v>4461</v>
      </c>
      <c r="C662" s="67"/>
      <c r="D662" s="68">
        <v>400.9994821306104</v>
      </c>
      <c r="E662" s="70"/>
      <c r="F662" s="97" t="str">
        <f>HYPERLINK("https://i.ytimg.com/vi/7z-Zmy66CHE/default.jpg")</f>
        <v>https://i.ytimg.com/vi/7z-Zmy66CHE/default.jpg</v>
      </c>
      <c r="G662" s="120" t="s">
        <v>52</v>
      </c>
      <c r="H662" s="71" t="s">
        <v>1087</v>
      </c>
      <c r="I662" s="72"/>
      <c r="J662" s="72" t="s">
        <v>159</v>
      </c>
      <c r="K662" s="71" t="s">
        <v>1087</v>
      </c>
      <c r="L662" s="75">
        <v>213.72340425531914</v>
      </c>
      <c r="M662" s="76">
        <v>5592.2197265625</v>
      </c>
      <c r="N662" s="76">
        <v>638.1857299804688</v>
      </c>
      <c r="O662" s="77"/>
      <c r="P662" s="78"/>
      <c r="Q662" s="78"/>
      <c r="R662" s="82"/>
      <c r="S662" s="48"/>
      <c r="T662" s="48"/>
      <c r="U662" s="49"/>
      <c r="V662" s="49"/>
      <c r="W662" s="49"/>
      <c r="X662" s="49"/>
      <c r="Y662" s="49"/>
      <c r="Z662" s="49"/>
      <c r="AA662" s="73">
        <v>662</v>
      </c>
      <c r="AB662" s="73"/>
      <c r="AC662" s="74"/>
      <c r="AD662" s="80" t="s">
        <v>1087</v>
      </c>
      <c r="AE662" s="80" t="s">
        <v>1793</v>
      </c>
      <c r="AF662" s="80" t="s">
        <v>2420</v>
      </c>
      <c r="AG662" s="80" t="s">
        <v>2958</v>
      </c>
      <c r="AH662" s="80" t="s">
        <v>3500</v>
      </c>
      <c r="AI662" s="80">
        <v>1095</v>
      </c>
      <c r="AJ662" s="80">
        <v>0</v>
      </c>
      <c r="AK662" s="80">
        <v>1</v>
      </c>
      <c r="AL662" s="80">
        <v>0</v>
      </c>
      <c r="AM662" s="80" t="s">
        <v>4098</v>
      </c>
      <c r="AN662" s="96" t="str">
        <f>HYPERLINK("https://www.youtube.com/watch?v=7z-Zmy66CHE")</f>
        <v>https://www.youtube.com/watch?v=7z-Zmy66CHE</v>
      </c>
      <c r="AO662" s="80" t="e">
        <f>REPLACE(INDEX(GroupVertices[Group],MATCH(Vertices[[#This Row],[Vertex]],GroupVertices[Vertex],0)),1,1,"")</f>
        <v>#N/A</v>
      </c>
      <c r="AP662" s="48"/>
      <c r="AQ662" s="49"/>
      <c r="AR662" s="48"/>
      <c r="AS662" s="49"/>
      <c r="AT662" s="48"/>
      <c r="AU662" s="49"/>
      <c r="AV662" s="48"/>
      <c r="AW662" s="49"/>
      <c r="AX662" s="48"/>
      <c r="AY662" s="48"/>
      <c r="AZ662" s="48"/>
      <c r="BA662" s="48"/>
      <c r="BB662" s="48"/>
      <c r="BC662" s="2"/>
      <c r="BD662" s="3"/>
      <c r="BE662" s="3"/>
      <c r="BF662" s="3"/>
      <c r="BG662" s="3"/>
    </row>
    <row r="663" spans="1:59" ht="15">
      <c r="A663" s="66" t="s">
        <v>333</v>
      </c>
      <c r="B663" s="67" t="s">
        <v>4461</v>
      </c>
      <c r="C663" s="67"/>
      <c r="D663" s="68">
        <v>392.9431246209422</v>
      </c>
      <c r="E663" s="70"/>
      <c r="F663" s="97" t="str">
        <f>HYPERLINK("https://i.ytimg.com/vi/TiTxYSqPBaI/default.jpg")</f>
        <v>https://i.ytimg.com/vi/TiTxYSqPBaI/default.jpg</v>
      </c>
      <c r="G663" s="120" t="s">
        <v>52</v>
      </c>
      <c r="H663" s="71" t="s">
        <v>1035</v>
      </c>
      <c r="I663" s="72"/>
      <c r="J663" s="72" t="s">
        <v>159</v>
      </c>
      <c r="K663" s="71" t="s">
        <v>1035</v>
      </c>
      <c r="L663" s="75">
        <v>213.72340425531914</v>
      </c>
      <c r="M663" s="76">
        <v>8026.9228515625</v>
      </c>
      <c r="N663" s="76">
        <v>5101.5673828125</v>
      </c>
      <c r="O663" s="77"/>
      <c r="P663" s="78"/>
      <c r="Q663" s="78"/>
      <c r="R663" s="82"/>
      <c r="S663" s="48"/>
      <c r="T663" s="48"/>
      <c r="U663" s="49"/>
      <c r="V663" s="49"/>
      <c r="W663" s="49"/>
      <c r="X663" s="49"/>
      <c r="Y663" s="49"/>
      <c r="Z663" s="49"/>
      <c r="AA663" s="73">
        <v>663</v>
      </c>
      <c r="AB663" s="73"/>
      <c r="AC663" s="74"/>
      <c r="AD663" s="80" t="s">
        <v>1035</v>
      </c>
      <c r="AE663" s="80"/>
      <c r="AF663" s="80" t="s">
        <v>2378</v>
      </c>
      <c r="AG663" s="80" t="s">
        <v>2963</v>
      </c>
      <c r="AH663" s="80" t="s">
        <v>3450</v>
      </c>
      <c r="AI663" s="80">
        <v>1000</v>
      </c>
      <c r="AJ663" s="80">
        <v>1</v>
      </c>
      <c r="AK663" s="80">
        <v>2</v>
      </c>
      <c r="AL663" s="80">
        <v>0</v>
      </c>
      <c r="AM663" s="80" t="s">
        <v>4098</v>
      </c>
      <c r="AN663" s="96" t="str">
        <f>HYPERLINK("https://www.youtube.com/watch?v=TiTxYSqPBaI")</f>
        <v>https://www.youtube.com/watch?v=TiTxYSqPBaI</v>
      </c>
      <c r="AO663" s="80" t="e">
        <f>REPLACE(INDEX(GroupVertices[Group],MATCH(Vertices[[#This Row],[Vertex]],GroupVertices[Vertex],0)),1,1,"")</f>
        <v>#N/A</v>
      </c>
      <c r="AP663" s="48"/>
      <c r="AQ663" s="49"/>
      <c r="AR663" s="48"/>
      <c r="AS663" s="49"/>
      <c r="AT663" s="48"/>
      <c r="AU663" s="49"/>
      <c r="AV663" s="48"/>
      <c r="AW663" s="49"/>
      <c r="AX663" s="48"/>
      <c r="AY663" s="48"/>
      <c r="AZ663" s="48"/>
      <c r="BA663" s="48"/>
      <c r="BB663" s="48"/>
      <c r="BC663" s="2"/>
      <c r="BD663" s="3"/>
      <c r="BE663" s="3"/>
      <c r="BF663" s="3"/>
      <c r="BG663" s="3"/>
    </row>
    <row r="664" spans="1:59" ht="15">
      <c r="A664" s="66" t="s">
        <v>347</v>
      </c>
      <c r="B664" s="67" t="s">
        <v>4461</v>
      </c>
      <c r="C664" s="67"/>
      <c r="D664" s="68">
        <v>392.3195423791438</v>
      </c>
      <c r="E664" s="70"/>
      <c r="F664" s="97" t="str">
        <f>HYPERLINK("https://i.ytimg.com/vi/kmQkXIg6Drw/default.jpg")</f>
        <v>https://i.ytimg.com/vi/kmQkXIg6Drw/default.jpg</v>
      </c>
      <c r="G664" s="120" t="s">
        <v>52</v>
      </c>
      <c r="H664" s="71" t="s">
        <v>1050</v>
      </c>
      <c r="I664" s="72"/>
      <c r="J664" s="72" t="s">
        <v>159</v>
      </c>
      <c r="K664" s="71" t="s">
        <v>1050</v>
      </c>
      <c r="L664" s="75">
        <v>213.72340425531914</v>
      </c>
      <c r="M664" s="76">
        <v>7452.2998046875</v>
      </c>
      <c r="N664" s="76">
        <v>904.1824340820312</v>
      </c>
      <c r="O664" s="77"/>
      <c r="P664" s="78"/>
      <c r="Q664" s="78"/>
      <c r="R664" s="82"/>
      <c r="S664" s="48"/>
      <c r="T664" s="48"/>
      <c r="U664" s="49"/>
      <c r="V664" s="49"/>
      <c r="W664" s="49"/>
      <c r="X664" s="49"/>
      <c r="Y664" s="49"/>
      <c r="Z664" s="49"/>
      <c r="AA664" s="73">
        <v>664</v>
      </c>
      <c r="AB664" s="73"/>
      <c r="AC664" s="74"/>
      <c r="AD664" s="80" t="s">
        <v>1050</v>
      </c>
      <c r="AE664" s="80" t="s">
        <v>1762</v>
      </c>
      <c r="AF664" s="80" t="s">
        <v>2391</v>
      </c>
      <c r="AG664" s="80" t="s">
        <v>2968</v>
      </c>
      <c r="AH664" s="80" t="s">
        <v>3465</v>
      </c>
      <c r="AI664" s="80">
        <v>993</v>
      </c>
      <c r="AJ664" s="80">
        <v>5</v>
      </c>
      <c r="AK664" s="80">
        <v>8</v>
      </c>
      <c r="AL664" s="80">
        <v>0</v>
      </c>
      <c r="AM664" s="80" t="s">
        <v>4098</v>
      </c>
      <c r="AN664" s="96" t="str">
        <f>HYPERLINK("https://www.youtube.com/watch?v=kmQkXIg6Drw")</f>
        <v>https://www.youtube.com/watch?v=kmQkXIg6Drw</v>
      </c>
      <c r="AO664" s="80" t="e">
        <f>REPLACE(INDEX(GroupVertices[Group],MATCH(Vertices[[#This Row],[Vertex]],GroupVertices[Vertex],0)),1,1,"")</f>
        <v>#N/A</v>
      </c>
      <c r="AP664" s="48"/>
      <c r="AQ664" s="49"/>
      <c r="AR664" s="48"/>
      <c r="AS664" s="49"/>
      <c r="AT664" s="48"/>
      <c r="AU664" s="49"/>
      <c r="AV664" s="48"/>
      <c r="AW664" s="49"/>
      <c r="AX664" s="48"/>
      <c r="AY664" s="48"/>
      <c r="AZ664" s="48"/>
      <c r="BA664" s="48"/>
      <c r="BB664" s="48"/>
      <c r="BC664" s="2"/>
      <c r="BD664" s="3"/>
      <c r="BE664" s="3"/>
      <c r="BF664" s="3"/>
      <c r="BG664" s="3"/>
    </row>
    <row r="665" spans="1:59" ht="15">
      <c r="A665" s="66" t="s">
        <v>378</v>
      </c>
      <c r="B665" s="67" t="s">
        <v>4461</v>
      </c>
      <c r="C665" s="67"/>
      <c r="D665" s="68">
        <v>390.7866374928276</v>
      </c>
      <c r="E665" s="70"/>
      <c r="F665" s="97" t="str">
        <f>HYPERLINK("https://i.ytimg.com/vi/f7ppy_LUeBc/default.jpg")</f>
        <v>https://i.ytimg.com/vi/f7ppy_LUeBc/default.jpg</v>
      </c>
      <c r="G665" s="120" t="s">
        <v>52</v>
      </c>
      <c r="H665" s="71" t="s">
        <v>1086</v>
      </c>
      <c r="I665" s="72"/>
      <c r="J665" s="72" t="s">
        <v>159</v>
      </c>
      <c r="K665" s="71" t="s">
        <v>1086</v>
      </c>
      <c r="L665" s="75">
        <v>213.72340425531914</v>
      </c>
      <c r="M665" s="76">
        <v>5145.34765625</v>
      </c>
      <c r="N665" s="76">
        <v>1005.2852172851562</v>
      </c>
      <c r="O665" s="77"/>
      <c r="P665" s="78"/>
      <c r="Q665" s="78"/>
      <c r="R665" s="82"/>
      <c r="S665" s="48"/>
      <c r="T665" s="48"/>
      <c r="U665" s="49"/>
      <c r="V665" s="49"/>
      <c r="W665" s="49"/>
      <c r="X665" s="49"/>
      <c r="Y665" s="49"/>
      <c r="Z665" s="49"/>
      <c r="AA665" s="73">
        <v>665</v>
      </c>
      <c r="AB665" s="73"/>
      <c r="AC665" s="74"/>
      <c r="AD665" s="80" t="s">
        <v>1086</v>
      </c>
      <c r="AE665" s="80"/>
      <c r="AF665" s="80" t="s">
        <v>2419</v>
      </c>
      <c r="AG665" s="80" t="s">
        <v>2993</v>
      </c>
      <c r="AH665" s="80" t="s">
        <v>3499</v>
      </c>
      <c r="AI665" s="80">
        <v>976</v>
      </c>
      <c r="AJ665" s="80">
        <v>0</v>
      </c>
      <c r="AK665" s="80">
        <v>3</v>
      </c>
      <c r="AL665" s="80">
        <v>0</v>
      </c>
      <c r="AM665" s="80" t="s">
        <v>4098</v>
      </c>
      <c r="AN665" s="96" t="str">
        <f>HYPERLINK("https://www.youtube.com/watch?v=f7ppy_LUeBc")</f>
        <v>https://www.youtube.com/watch?v=f7ppy_LUeBc</v>
      </c>
      <c r="AO665" s="80" t="e">
        <f>REPLACE(INDEX(GroupVertices[Group],MATCH(Vertices[[#This Row],[Vertex]],GroupVertices[Vertex],0)),1,1,"")</f>
        <v>#N/A</v>
      </c>
      <c r="AP665" s="48"/>
      <c r="AQ665" s="49"/>
      <c r="AR665" s="48"/>
      <c r="AS665" s="49"/>
      <c r="AT665" s="48"/>
      <c r="AU665" s="49"/>
      <c r="AV665" s="48"/>
      <c r="AW665" s="49"/>
      <c r="AX665" s="48"/>
      <c r="AY665" s="48"/>
      <c r="AZ665" s="48"/>
      <c r="BA665" s="48"/>
      <c r="BB665" s="48"/>
      <c r="BC665" s="2"/>
      <c r="BD665" s="3"/>
      <c r="BE665" s="3"/>
      <c r="BF665" s="3"/>
      <c r="BG665" s="3"/>
    </row>
    <row r="666" spans="1:59" ht="15">
      <c r="A666" s="66" t="s">
        <v>757</v>
      </c>
      <c r="B666" s="67" t="s">
        <v>4461</v>
      </c>
      <c r="C666" s="67"/>
      <c r="D666" s="68">
        <v>387.45038184301814</v>
      </c>
      <c r="E666" s="70"/>
      <c r="F666" s="97" t="str">
        <f>HYPERLINK("https://i.ytimg.com/vi/bZTGUhR5nGA/default.jpg")</f>
        <v>https://i.ytimg.com/vi/bZTGUhR5nGA/default.jpg</v>
      </c>
      <c r="G666" s="120" t="s">
        <v>52</v>
      </c>
      <c r="H666" s="71" t="s">
        <v>1497</v>
      </c>
      <c r="I666" s="72"/>
      <c r="J666" s="72" t="s">
        <v>159</v>
      </c>
      <c r="K666" s="71" t="s">
        <v>1497</v>
      </c>
      <c r="L666" s="75">
        <v>213.72340425531914</v>
      </c>
      <c r="M666" s="76">
        <v>3863.102294921875</v>
      </c>
      <c r="N666" s="76">
        <v>8921.642578125</v>
      </c>
      <c r="O666" s="77"/>
      <c r="P666" s="78"/>
      <c r="Q666" s="78"/>
      <c r="R666" s="82"/>
      <c r="S666" s="48"/>
      <c r="T666" s="48"/>
      <c r="U666" s="49"/>
      <c r="V666" s="49"/>
      <c r="W666" s="49"/>
      <c r="X666" s="49"/>
      <c r="Y666" s="49"/>
      <c r="Z666" s="49"/>
      <c r="AA666" s="73">
        <v>666</v>
      </c>
      <c r="AB666" s="73"/>
      <c r="AC666" s="74"/>
      <c r="AD666" s="80" t="s">
        <v>1497</v>
      </c>
      <c r="AE666" s="80"/>
      <c r="AF666" s="80" t="s">
        <v>2737</v>
      </c>
      <c r="AG666" s="80" t="s">
        <v>3057</v>
      </c>
      <c r="AH666" s="80" t="s">
        <v>3911</v>
      </c>
      <c r="AI666" s="80">
        <v>940</v>
      </c>
      <c r="AJ666" s="80">
        <v>0</v>
      </c>
      <c r="AK666" s="80">
        <v>3</v>
      </c>
      <c r="AL666" s="80">
        <v>0</v>
      </c>
      <c r="AM666" s="80" t="s">
        <v>4098</v>
      </c>
      <c r="AN666" s="96" t="str">
        <f>HYPERLINK("https://www.youtube.com/watch?v=bZTGUhR5nGA")</f>
        <v>https://www.youtube.com/watch?v=bZTGUhR5nGA</v>
      </c>
      <c r="AO666" s="80" t="e">
        <f>REPLACE(INDEX(GroupVertices[Group],MATCH(Vertices[[#This Row],[Vertex]],GroupVertices[Vertex],0)),1,1,"")</f>
        <v>#N/A</v>
      </c>
      <c r="AP666" s="48"/>
      <c r="AQ666" s="49"/>
      <c r="AR666" s="48"/>
      <c r="AS666" s="49"/>
      <c r="AT666" s="48"/>
      <c r="AU666" s="49"/>
      <c r="AV666" s="48"/>
      <c r="AW666" s="49"/>
      <c r="AX666" s="48"/>
      <c r="AY666" s="48"/>
      <c r="AZ666" s="48"/>
      <c r="BA666" s="48"/>
      <c r="BB666" s="48"/>
      <c r="BC666" s="2"/>
      <c r="BD666" s="3"/>
      <c r="BE666" s="3"/>
      <c r="BF666" s="3"/>
      <c r="BG666" s="3"/>
    </row>
    <row r="667" spans="1:59" ht="15">
      <c r="A667" s="66" t="s">
        <v>302</v>
      </c>
      <c r="B667" s="67" t="s">
        <v>4461</v>
      </c>
      <c r="C667" s="67"/>
      <c r="D667" s="68">
        <v>386.40544603913327</v>
      </c>
      <c r="E667" s="70"/>
      <c r="F667" s="97" t="str">
        <f>HYPERLINK("https://i.ytimg.com/vi/FnpdwZ_oJnE/default.jpg")</f>
        <v>https://i.ytimg.com/vi/FnpdwZ_oJnE/default.jpg</v>
      </c>
      <c r="G667" s="120" t="s">
        <v>52</v>
      </c>
      <c r="H667" s="71" t="s">
        <v>1001</v>
      </c>
      <c r="I667" s="72"/>
      <c r="J667" s="72" t="s">
        <v>159</v>
      </c>
      <c r="K667" s="71" t="s">
        <v>1001</v>
      </c>
      <c r="L667" s="75">
        <v>213.72340425531914</v>
      </c>
      <c r="M667" s="76">
        <v>8389.755859375</v>
      </c>
      <c r="N667" s="76">
        <v>9665.0830078125</v>
      </c>
      <c r="O667" s="77"/>
      <c r="P667" s="78"/>
      <c r="Q667" s="78"/>
      <c r="R667" s="82"/>
      <c r="S667" s="48"/>
      <c r="T667" s="48"/>
      <c r="U667" s="49"/>
      <c r="V667" s="49"/>
      <c r="W667" s="49"/>
      <c r="X667" s="49"/>
      <c r="Y667" s="49"/>
      <c r="Z667" s="49"/>
      <c r="AA667" s="73">
        <v>667</v>
      </c>
      <c r="AB667" s="73"/>
      <c r="AC667" s="74"/>
      <c r="AD667" s="80" t="s">
        <v>1001</v>
      </c>
      <c r="AE667" s="80"/>
      <c r="AF667" s="80"/>
      <c r="AG667" s="80" t="s">
        <v>2930</v>
      </c>
      <c r="AH667" s="80" t="s">
        <v>3416</v>
      </c>
      <c r="AI667" s="80">
        <v>929</v>
      </c>
      <c r="AJ667" s="80">
        <v>0</v>
      </c>
      <c r="AK667" s="80">
        <v>2</v>
      </c>
      <c r="AL667" s="80">
        <v>0</v>
      </c>
      <c r="AM667" s="80" t="s">
        <v>4098</v>
      </c>
      <c r="AN667" s="96" t="str">
        <f>HYPERLINK("https://www.youtube.com/watch?v=FnpdwZ_oJnE")</f>
        <v>https://www.youtube.com/watch?v=FnpdwZ_oJnE</v>
      </c>
      <c r="AO667" s="80" t="e">
        <f>REPLACE(INDEX(GroupVertices[Group],MATCH(Vertices[[#This Row],[Vertex]],GroupVertices[Vertex],0)),1,1,"")</f>
        <v>#N/A</v>
      </c>
      <c r="AP667" s="48"/>
      <c r="AQ667" s="49"/>
      <c r="AR667" s="48"/>
      <c r="AS667" s="49"/>
      <c r="AT667" s="48"/>
      <c r="AU667" s="49"/>
      <c r="AV667" s="48"/>
      <c r="AW667" s="49"/>
      <c r="AX667" s="48"/>
      <c r="AY667" s="48"/>
      <c r="AZ667" s="48"/>
      <c r="BA667" s="48"/>
      <c r="BB667" s="48"/>
      <c r="BC667" s="2"/>
      <c r="BD667" s="3"/>
      <c r="BE667" s="3"/>
      <c r="BF667" s="3"/>
      <c r="BG667" s="3"/>
    </row>
    <row r="668" spans="1:59" ht="15">
      <c r="A668" s="66" t="s">
        <v>592</v>
      </c>
      <c r="B668" s="67" t="s">
        <v>4461</v>
      </c>
      <c r="C668" s="67"/>
      <c r="D668" s="68">
        <v>372.57788373680205</v>
      </c>
      <c r="E668" s="70"/>
      <c r="F668" s="97" t="str">
        <f>HYPERLINK("https://i.ytimg.com/vi/Tz3MtN89gSQ/default.jpg")</f>
        <v>https://i.ytimg.com/vi/Tz3MtN89gSQ/default.jpg</v>
      </c>
      <c r="G668" s="120" t="s">
        <v>52</v>
      </c>
      <c r="H668" s="71" t="s">
        <v>1327</v>
      </c>
      <c r="I668" s="72"/>
      <c r="J668" s="72" t="s">
        <v>159</v>
      </c>
      <c r="K668" s="71" t="s">
        <v>1327</v>
      </c>
      <c r="L668" s="75">
        <v>213.72340425531914</v>
      </c>
      <c r="M668" s="76">
        <v>9010.4404296875</v>
      </c>
      <c r="N668" s="76">
        <v>6600.87353515625</v>
      </c>
      <c r="O668" s="77"/>
      <c r="P668" s="78"/>
      <c r="Q668" s="78"/>
      <c r="R668" s="82"/>
      <c r="S668" s="48"/>
      <c r="T668" s="48"/>
      <c r="U668" s="49"/>
      <c r="V668" s="49"/>
      <c r="W668" s="49"/>
      <c r="X668" s="49"/>
      <c r="Y668" s="49"/>
      <c r="Z668" s="49"/>
      <c r="AA668" s="73">
        <v>668</v>
      </c>
      <c r="AB668" s="73"/>
      <c r="AC668" s="74"/>
      <c r="AD668" s="80" t="s">
        <v>1327</v>
      </c>
      <c r="AE668" s="80" t="s">
        <v>1994</v>
      </c>
      <c r="AF668" s="80" t="s">
        <v>2595</v>
      </c>
      <c r="AG668" s="80" t="s">
        <v>3140</v>
      </c>
      <c r="AH668" s="80" t="s">
        <v>3738</v>
      </c>
      <c r="AI668" s="80">
        <v>795</v>
      </c>
      <c r="AJ668" s="80">
        <v>0</v>
      </c>
      <c r="AK668" s="80">
        <v>5</v>
      </c>
      <c r="AL668" s="80">
        <v>0</v>
      </c>
      <c r="AM668" s="80" t="s">
        <v>4098</v>
      </c>
      <c r="AN668" s="96" t="str">
        <f>HYPERLINK("https://www.youtube.com/watch?v=Tz3MtN89gSQ")</f>
        <v>https://www.youtube.com/watch?v=Tz3MtN89gSQ</v>
      </c>
      <c r="AO668" s="80" t="e">
        <f>REPLACE(INDEX(GroupVertices[Group],MATCH(Vertices[[#This Row],[Vertex]],GroupVertices[Vertex],0)),1,1,"")</f>
        <v>#N/A</v>
      </c>
      <c r="AP668" s="48"/>
      <c r="AQ668" s="49"/>
      <c r="AR668" s="48"/>
      <c r="AS668" s="49"/>
      <c r="AT668" s="48"/>
      <c r="AU668" s="49"/>
      <c r="AV668" s="48"/>
      <c r="AW668" s="49"/>
      <c r="AX668" s="48"/>
      <c r="AY668" s="48"/>
      <c r="AZ668" s="48"/>
      <c r="BA668" s="48"/>
      <c r="BB668" s="48"/>
      <c r="BC668" s="2"/>
      <c r="BD668" s="3"/>
      <c r="BE668" s="3"/>
      <c r="BF668" s="3"/>
      <c r="BG668" s="3"/>
    </row>
    <row r="669" spans="1:59" ht="15">
      <c r="A669" s="66" t="s">
        <v>851</v>
      </c>
      <c r="B669" s="67" t="s">
        <v>4461</v>
      </c>
      <c r="C669" s="67"/>
      <c r="D669" s="68">
        <v>371.9053727836931</v>
      </c>
      <c r="E669" s="70"/>
      <c r="F669" s="97" t="str">
        <f>HYPERLINK("https://i.ytimg.com/vi/p92OAp2Zg-g/default.jpg")</f>
        <v>https://i.ytimg.com/vi/p92OAp2Zg-g/default.jpg</v>
      </c>
      <c r="G669" s="120" t="s">
        <v>52</v>
      </c>
      <c r="H669" s="71" t="s">
        <v>1590</v>
      </c>
      <c r="I669" s="72"/>
      <c r="J669" s="72" t="s">
        <v>159</v>
      </c>
      <c r="K669" s="71" t="s">
        <v>1590</v>
      </c>
      <c r="L669" s="75">
        <v>213.72340425531914</v>
      </c>
      <c r="M669" s="76">
        <v>4416.4697265625</v>
      </c>
      <c r="N669" s="76">
        <v>3149.67333984375</v>
      </c>
      <c r="O669" s="77"/>
      <c r="P669" s="78"/>
      <c r="Q669" s="78"/>
      <c r="R669" s="82"/>
      <c r="S669" s="48"/>
      <c r="T669" s="48"/>
      <c r="U669" s="49"/>
      <c r="V669" s="49"/>
      <c r="W669" s="49"/>
      <c r="X669" s="49"/>
      <c r="Y669" s="49"/>
      <c r="Z669" s="49"/>
      <c r="AA669" s="73">
        <v>669</v>
      </c>
      <c r="AB669" s="73"/>
      <c r="AC669" s="74"/>
      <c r="AD669" s="80" t="s">
        <v>1590</v>
      </c>
      <c r="AE669" s="80" t="s">
        <v>2233</v>
      </c>
      <c r="AF669" s="80" t="s">
        <v>2817</v>
      </c>
      <c r="AG669" s="80" t="s">
        <v>3052</v>
      </c>
      <c r="AH669" s="80" t="s">
        <v>4005</v>
      </c>
      <c r="AI669" s="80">
        <v>789</v>
      </c>
      <c r="AJ669" s="80">
        <v>2</v>
      </c>
      <c r="AK669" s="80">
        <v>1</v>
      </c>
      <c r="AL669" s="80">
        <v>0</v>
      </c>
      <c r="AM669" s="80" t="s">
        <v>4098</v>
      </c>
      <c r="AN669" s="96" t="str">
        <f>HYPERLINK("https://www.youtube.com/watch?v=p92OAp2Zg-g")</f>
        <v>https://www.youtube.com/watch?v=p92OAp2Zg-g</v>
      </c>
      <c r="AO669" s="80" t="e">
        <f>REPLACE(INDEX(GroupVertices[Group],MATCH(Vertices[[#This Row],[Vertex]],GroupVertices[Vertex],0)),1,1,"")</f>
        <v>#N/A</v>
      </c>
      <c r="AP669" s="48"/>
      <c r="AQ669" s="49"/>
      <c r="AR669" s="48"/>
      <c r="AS669" s="49"/>
      <c r="AT669" s="48"/>
      <c r="AU669" s="49"/>
      <c r="AV669" s="48"/>
      <c r="AW669" s="49"/>
      <c r="AX669" s="48"/>
      <c r="AY669" s="48"/>
      <c r="AZ669" s="48"/>
      <c r="BA669" s="48"/>
      <c r="BB669" s="48"/>
      <c r="BC669" s="2"/>
      <c r="BD669" s="3"/>
      <c r="BE669" s="3"/>
      <c r="BF669" s="3"/>
      <c r="BG669" s="3"/>
    </row>
    <row r="670" spans="1:59" ht="15">
      <c r="A670" s="66" t="s">
        <v>353</v>
      </c>
      <c r="B670" s="67" t="s">
        <v>4461</v>
      </c>
      <c r="C670" s="67"/>
      <c r="D670" s="68">
        <v>370.2014620985556</v>
      </c>
      <c r="E670" s="70"/>
      <c r="F670" s="97" t="str">
        <f>HYPERLINK("https://i.ytimg.com/vi/6h4HQgbHuhY/default.jpg")</f>
        <v>https://i.ytimg.com/vi/6h4HQgbHuhY/default.jpg</v>
      </c>
      <c r="G670" s="120" t="s">
        <v>52</v>
      </c>
      <c r="H670" s="71" t="s">
        <v>1057</v>
      </c>
      <c r="I670" s="72"/>
      <c r="J670" s="72" t="s">
        <v>159</v>
      </c>
      <c r="K670" s="71" t="s">
        <v>1057</v>
      </c>
      <c r="L670" s="75">
        <v>213.72340425531914</v>
      </c>
      <c r="M670" s="76">
        <v>4650.10107421875</v>
      </c>
      <c r="N670" s="76">
        <v>6271.04931640625</v>
      </c>
      <c r="O670" s="77"/>
      <c r="P670" s="78"/>
      <c r="Q670" s="78"/>
      <c r="R670" s="82"/>
      <c r="S670" s="48"/>
      <c r="T670" s="48"/>
      <c r="U670" s="49"/>
      <c r="V670" s="49"/>
      <c r="W670" s="49"/>
      <c r="X670" s="49"/>
      <c r="Y670" s="49"/>
      <c r="Z670" s="49"/>
      <c r="AA670" s="73">
        <v>670</v>
      </c>
      <c r="AB670" s="73"/>
      <c r="AC670" s="74"/>
      <c r="AD670" s="80" t="s">
        <v>1057</v>
      </c>
      <c r="AE670" s="80" t="s">
        <v>1768</v>
      </c>
      <c r="AF670" s="80" t="s">
        <v>2396</v>
      </c>
      <c r="AG670" s="80" t="s">
        <v>2978</v>
      </c>
      <c r="AH670" s="80" t="s">
        <v>3472</v>
      </c>
      <c r="AI670" s="80">
        <v>774</v>
      </c>
      <c r="AJ670" s="80">
        <v>3</v>
      </c>
      <c r="AK670" s="80">
        <v>6</v>
      </c>
      <c r="AL670" s="80">
        <v>0</v>
      </c>
      <c r="AM670" s="80" t="s">
        <v>4098</v>
      </c>
      <c r="AN670" s="96" t="str">
        <f>HYPERLINK("https://www.youtube.com/watch?v=6h4HQgbHuhY")</f>
        <v>https://www.youtube.com/watch?v=6h4HQgbHuhY</v>
      </c>
      <c r="AO670" s="80" t="e">
        <f>REPLACE(INDEX(GroupVertices[Group],MATCH(Vertices[[#This Row],[Vertex]],GroupVertices[Vertex],0)),1,1,"")</f>
        <v>#N/A</v>
      </c>
      <c r="AP670" s="48"/>
      <c r="AQ670" s="49"/>
      <c r="AR670" s="48"/>
      <c r="AS670" s="49"/>
      <c r="AT670" s="48"/>
      <c r="AU670" s="49"/>
      <c r="AV670" s="48"/>
      <c r="AW670" s="49"/>
      <c r="AX670" s="48"/>
      <c r="AY670" s="48"/>
      <c r="AZ670" s="48"/>
      <c r="BA670" s="48"/>
      <c r="BB670" s="48"/>
      <c r="BC670" s="2"/>
      <c r="BD670" s="3"/>
      <c r="BE670" s="3"/>
      <c r="BF670" s="3"/>
      <c r="BG670" s="3"/>
    </row>
    <row r="671" spans="1:59" ht="15">
      <c r="A671" s="66" t="s">
        <v>688</v>
      </c>
      <c r="B671" s="67" t="s">
        <v>4461</v>
      </c>
      <c r="C671" s="67"/>
      <c r="D671" s="68">
        <v>369.27915747744765</v>
      </c>
      <c r="E671" s="70"/>
      <c r="F671" s="97" t="str">
        <f>HYPERLINK("https://i.ytimg.com/vi/vuTRGTT-1lQ/default.jpg")</f>
        <v>https://i.ytimg.com/vi/vuTRGTT-1lQ/default.jpg</v>
      </c>
      <c r="G671" s="120" t="s">
        <v>52</v>
      </c>
      <c r="H671" s="71" t="s">
        <v>1429</v>
      </c>
      <c r="I671" s="72"/>
      <c r="J671" s="72" t="s">
        <v>159</v>
      </c>
      <c r="K671" s="71" t="s">
        <v>1429</v>
      </c>
      <c r="L671" s="75">
        <v>213.72340425531914</v>
      </c>
      <c r="M671" s="76">
        <v>8084.36865234375</v>
      </c>
      <c r="N671" s="76">
        <v>2334.99267578125</v>
      </c>
      <c r="O671" s="77"/>
      <c r="P671" s="78"/>
      <c r="Q671" s="78"/>
      <c r="R671" s="82"/>
      <c r="S671" s="48"/>
      <c r="T671" s="48"/>
      <c r="U671" s="49"/>
      <c r="V671" s="49"/>
      <c r="W671" s="49"/>
      <c r="X671" s="49"/>
      <c r="Y671" s="49"/>
      <c r="Z671" s="49"/>
      <c r="AA671" s="73">
        <v>671</v>
      </c>
      <c r="AB671" s="73"/>
      <c r="AC671" s="74"/>
      <c r="AD671" s="80" t="s">
        <v>1429</v>
      </c>
      <c r="AE671" s="80" t="s">
        <v>2087</v>
      </c>
      <c r="AF671" s="80" t="s">
        <v>2678</v>
      </c>
      <c r="AG671" s="80" t="s">
        <v>3214</v>
      </c>
      <c r="AH671" s="80" t="s">
        <v>3841</v>
      </c>
      <c r="AI671" s="80">
        <v>766</v>
      </c>
      <c r="AJ671" s="80">
        <v>0</v>
      </c>
      <c r="AK671" s="80">
        <v>7</v>
      </c>
      <c r="AL671" s="80">
        <v>0</v>
      </c>
      <c r="AM671" s="80" t="s">
        <v>4098</v>
      </c>
      <c r="AN671" s="96" t="str">
        <f>HYPERLINK("https://www.youtube.com/watch?v=vuTRGTT-1lQ")</f>
        <v>https://www.youtube.com/watch?v=vuTRGTT-1lQ</v>
      </c>
      <c r="AO671" s="80" t="e">
        <f>REPLACE(INDEX(GroupVertices[Group],MATCH(Vertices[[#This Row],[Vertex]],GroupVertices[Vertex],0)),1,1,"")</f>
        <v>#N/A</v>
      </c>
      <c r="AP671" s="48"/>
      <c r="AQ671" s="49"/>
      <c r="AR671" s="48"/>
      <c r="AS671" s="49"/>
      <c r="AT671" s="48"/>
      <c r="AU671" s="49"/>
      <c r="AV671" s="48"/>
      <c r="AW671" s="49"/>
      <c r="AX671" s="48"/>
      <c r="AY671" s="48"/>
      <c r="AZ671" s="48"/>
      <c r="BA671" s="48"/>
      <c r="BB671" s="48"/>
      <c r="BC671" s="2"/>
      <c r="BD671" s="3"/>
      <c r="BE671" s="3"/>
      <c r="BF671" s="3"/>
      <c r="BG671" s="3"/>
    </row>
    <row r="672" spans="1:59" ht="15">
      <c r="A672" s="66" t="s">
        <v>361</v>
      </c>
      <c r="B672" s="67" t="s">
        <v>4461</v>
      </c>
      <c r="C672" s="67"/>
      <c r="D672" s="68">
        <v>368.46420467356717</v>
      </c>
      <c r="E672" s="70"/>
      <c r="F672" s="97" t="str">
        <f>HYPERLINK("https://i.ytimg.com/vi/EMP5F5We5bA/default.jpg")</f>
        <v>https://i.ytimg.com/vi/EMP5F5We5bA/default.jpg</v>
      </c>
      <c r="G672" s="120" t="s">
        <v>52</v>
      </c>
      <c r="H672" s="71" t="s">
        <v>1066</v>
      </c>
      <c r="I672" s="72"/>
      <c r="J672" s="72" t="s">
        <v>159</v>
      </c>
      <c r="K672" s="71" t="s">
        <v>1066</v>
      </c>
      <c r="L672" s="75">
        <v>213.72340425531914</v>
      </c>
      <c r="M672" s="76">
        <v>852.85205078125</v>
      </c>
      <c r="N672" s="76">
        <v>9589.2900390625</v>
      </c>
      <c r="O672" s="77"/>
      <c r="P672" s="78"/>
      <c r="Q672" s="78"/>
      <c r="R672" s="82"/>
      <c r="S672" s="48"/>
      <c r="T672" s="48"/>
      <c r="U672" s="49"/>
      <c r="V672" s="49"/>
      <c r="W672" s="49"/>
      <c r="X672" s="49"/>
      <c r="Y672" s="49"/>
      <c r="Z672" s="49"/>
      <c r="AA672" s="73">
        <v>672</v>
      </c>
      <c r="AB672" s="73"/>
      <c r="AC672" s="74"/>
      <c r="AD672" s="80" t="s">
        <v>1066</v>
      </c>
      <c r="AE672" s="80" t="s">
        <v>1777</v>
      </c>
      <c r="AF672" s="80" t="s">
        <v>2404</v>
      </c>
      <c r="AG672" s="80" t="s">
        <v>2982</v>
      </c>
      <c r="AH672" s="80" t="s">
        <v>3479</v>
      </c>
      <c r="AI672" s="80">
        <v>759</v>
      </c>
      <c r="AJ672" s="80">
        <v>1</v>
      </c>
      <c r="AK672" s="80">
        <v>5</v>
      </c>
      <c r="AL672" s="80">
        <v>0</v>
      </c>
      <c r="AM672" s="80" t="s">
        <v>4098</v>
      </c>
      <c r="AN672" s="96" t="str">
        <f>HYPERLINK("https://www.youtube.com/watch?v=EMP5F5We5bA")</f>
        <v>https://www.youtube.com/watch?v=EMP5F5We5bA</v>
      </c>
      <c r="AO672" s="80" t="e">
        <f>REPLACE(INDEX(GroupVertices[Group],MATCH(Vertices[[#This Row],[Vertex]],GroupVertices[Vertex],0)),1,1,"")</f>
        <v>#N/A</v>
      </c>
      <c r="AP672" s="48"/>
      <c r="AQ672" s="49"/>
      <c r="AR672" s="48"/>
      <c r="AS672" s="49"/>
      <c r="AT672" s="48"/>
      <c r="AU672" s="49"/>
      <c r="AV672" s="48"/>
      <c r="AW672" s="49"/>
      <c r="AX672" s="48"/>
      <c r="AY672" s="48"/>
      <c r="AZ672" s="48"/>
      <c r="BA672" s="48"/>
      <c r="BB672" s="48"/>
      <c r="BC672" s="2"/>
      <c r="BD672" s="3"/>
      <c r="BE672" s="3"/>
      <c r="BF672" s="3"/>
      <c r="BG672" s="3"/>
    </row>
    <row r="673" spans="1:59" ht="15">
      <c r="A673" s="66" t="s">
        <v>521</v>
      </c>
      <c r="B673" s="67" t="s">
        <v>4461</v>
      </c>
      <c r="C673" s="67"/>
      <c r="D673" s="68">
        <v>366.8115049466447</v>
      </c>
      <c r="E673" s="70"/>
      <c r="F673" s="97" t="str">
        <f>HYPERLINK("https://i.ytimg.com/vi/BlgflCZKGqA/default.jpg")</f>
        <v>https://i.ytimg.com/vi/BlgflCZKGqA/default.jpg</v>
      </c>
      <c r="G673" s="120" t="s">
        <v>52</v>
      </c>
      <c r="H673" s="71" t="s">
        <v>1252</v>
      </c>
      <c r="I673" s="72"/>
      <c r="J673" s="72" t="s">
        <v>159</v>
      </c>
      <c r="K673" s="71" t="s">
        <v>1252</v>
      </c>
      <c r="L673" s="75">
        <v>213.72340425531914</v>
      </c>
      <c r="M673" s="76">
        <v>9532.580078125</v>
      </c>
      <c r="N673" s="76">
        <v>9181.771484375</v>
      </c>
      <c r="O673" s="77"/>
      <c r="P673" s="78"/>
      <c r="Q673" s="78"/>
      <c r="R673" s="82"/>
      <c r="S673" s="48"/>
      <c r="T673" s="48"/>
      <c r="U673" s="49"/>
      <c r="V673" s="49"/>
      <c r="W673" s="49"/>
      <c r="X673" s="49"/>
      <c r="Y673" s="49"/>
      <c r="Z673" s="49"/>
      <c r="AA673" s="73">
        <v>673</v>
      </c>
      <c r="AB673" s="73"/>
      <c r="AC673" s="74"/>
      <c r="AD673" s="80" t="s">
        <v>1252</v>
      </c>
      <c r="AE673" s="80" t="s">
        <v>1932</v>
      </c>
      <c r="AF673" s="80" t="s">
        <v>2540</v>
      </c>
      <c r="AG673" s="80" t="s">
        <v>3089</v>
      </c>
      <c r="AH673" s="80" t="s">
        <v>3664</v>
      </c>
      <c r="AI673" s="80">
        <v>745</v>
      </c>
      <c r="AJ673" s="80">
        <v>0</v>
      </c>
      <c r="AK673" s="80">
        <v>3</v>
      </c>
      <c r="AL673" s="80">
        <v>0</v>
      </c>
      <c r="AM673" s="80" t="s">
        <v>4098</v>
      </c>
      <c r="AN673" s="96" t="str">
        <f>HYPERLINK("https://www.youtube.com/watch?v=BlgflCZKGqA")</f>
        <v>https://www.youtube.com/watch?v=BlgflCZKGqA</v>
      </c>
      <c r="AO673" s="80" t="e">
        <f>REPLACE(INDEX(GroupVertices[Group],MATCH(Vertices[[#This Row],[Vertex]],GroupVertices[Vertex],0)),1,1,"")</f>
        <v>#N/A</v>
      </c>
      <c r="AP673" s="48"/>
      <c r="AQ673" s="49"/>
      <c r="AR673" s="48"/>
      <c r="AS673" s="49"/>
      <c r="AT673" s="48"/>
      <c r="AU673" s="49"/>
      <c r="AV673" s="48"/>
      <c r="AW673" s="49"/>
      <c r="AX673" s="48"/>
      <c r="AY673" s="48"/>
      <c r="AZ673" s="48"/>
      <c r="BA673" s="48"/>
      <c r="BB673" s="48"/>
      <c r="BC673" s="2"/>
      <c r="BD673" s="3"/>
      <c r="BE673" s="3"/>
      <c r="BF673" s="3"/>
      <c r="BG673" s="3"/>
    </row>
    <row r="674" spans="1:59" ht="15">
      <c r="A674" s="66" t="s">
        <v>582</v>
      </c>
      <c r="B674" s="67" t="s">
        <v>4461</v>
      </c>
      <c r="C674" s="67"/>
      <c r="D674" s="68">
        <v>366.33359789066395</v>
      </c>
      <c r="E674" s="70"/>
      <c r="F674" s="97" t="str">
        <f>HYPERLINK("https://i.ytimg.com/vi/Dcu1C1IVxuo/default.jpg")</f>
        <v>https://i.ytimg.com/vi/Dcu1C1IVxuo/default.jpg</v>
      </c>
      <c r="G674" s="120" t="s">
        <v>52</v>
      </c>
      <c r="H674" s="71" t="s">
        <v>1317</v>
      </c>
      <c r="I674" s="72"/>
      <c r="J674" s="72" t="s">
        <v>159</v>
      </c>
      <c r="K674" s="71" t="s">
        <v>1317</v>
      </c>
      <c r="L674" s="75">
        <v>213.72340425531914</v>
      </c>
      <c r="M674" s="76">
        <v>9232.6943359375</v>
      </c>
      <c r="N674" s="76">
        <v>7330.59521484375</v>
      </c>
      <c r="O674" s="77"/>
      <c r="P674" s="78"/>
      <c r="Q674" s="78"/>
      <c r="R674" s="82"/>
      <c r="S674" s="48"/>
      <c r="T674" s="48"/>
      <c r="U674" s="49"/>
      <c r="V674" s="49"/>
      <c r="W674" s="49"/>
      <c r="X674" s="49"/>
      <c r="Y674" s="49"/>
      <c r="Z674" s="49"/>
      <c r="AA674" s="73">
        <v>674</v>
      </c>
      <c r="AB674" s="73"/>
      <c r="AC674" s="74"/>
      <c r="AD674" s="80" t="s">
        <v>1317</v>
      </c>
      <c r="AE674" s="80" t="s">
        <v>1984</v>
      </c>
      <c r="AF674" s="80" t="s">
        <v>2587</v>
      </c>
      <c r="AG674" s="80" t="s">
        <v>3131</v>
      </c>
      <c r="AH674" s="80" t="s">
        <v>3728</v>
      </c>
      <c r="AI674" s="80">
        <v>741</v>
      </c>
      <c r="AJ674" s="80">
        <v>0</v>
      </c>
      <c r="AK674" s="80">
        <v>1</v>
      </c>
      <c r="AL674" s="80">
        <v>0</v>
      </c>
      <c r="AM674" s="80" t="s">
        <v>4098</v>
      </c>
      <c r="AN674" s="96" t="str">
        <f>HYPERLINK("https://www.youtube.com/watch?v=Dcu1C1IVxuo")</f>
        <v>https://www.youtube.com/watch?v=Dcu1C1IVxuo</v>
      </c>
      <c r="AO674" s="80" t="e">
        <f>REPLACE(INDEX(GroupVertices[Group],MATCH(Vertices[[#This Row],[Vertex]],GroupVertices[Vertex],0)),1,1,"")</f>
        <v>#N/A</v>
      </c>
      <c r="AP674" s="48"/>
      <c r="AQ674" s="49"/>
      <c r="AR674" s="48"/>
      <c r="AS674" s="49"/>
      <c r="AT674" s="48"/>
      <c r="AU674" s="49"/>
      <c r="AV674" s="48"/>
      <c r="AW674" s="49"/>
      <c r="AX674" s="48"/>
      <c r="AY674" s="48"/>
      <c r="AZ674" s="48"/>
      <c r="BA674" s="48"/>
      <c r="BB674" s="48"/>
      <c r="BC674" s="2"/>
      <c r="BD674" s="3"/>
      <c r="BE674" s="3"/>
      <c r="BF674" s="3"/>
      <c r="BG674" s="3"/>
    </row>
    <row r="675" spans="1:59" ht="15">
      <c r="A675" s="66" t="s">
        <v>696</v>
      </c>
      <c r="B675" s="67" t="s">
        <v>4461</v>
      </c>
      <c r="C675" s="67"/>
      <c r="D675" s="68">
        <v>365.36999525408567</v>
      </c>
      <c r="E675" s="70"/>
      <c r="F675" s="97" t="str">
        <f>HYPERLINK("https://i.ytimg.com/vi/g1dSnIPOgPA/default.jpg")</f>
        <v>https://i.ytimg.com/vi/g1dSnIPOgPA/default.jpg</v>
      </c>
      <c r="G675" s="120" t="s">
        <v>52</v>
      </c>
      <c r="H675" s="71" t="s">
        <v>1437</v>
      </c>
      <c r="I675" s="72"/>
      <c r="J675" s="72" t="s">
        <v>159</v>
      </c>
      <c r="K675" s="71" t="s">
        <v>1437</v>
      </c>
      <c r="L675" s="75">
        <v>213.72340425531914</v>
      </c>
      <c r="M675" s="76">
        <v>9764.4072265625</v>
      </c>
      <c r="N675" s="76">
        <v>2291.91162109375</v>
      </c>
      <c r="O675" s="77"/>
      <c r="P675" s="78"/>
      <c r="Q675" s="78"/>
      <c r="R675" s="82"/>
      <c r="S675" s="48"/>
      <c r="T675" s="48"/>
      <c r="U675" s="49"/>
      <c r="V675" s="49"/>
      <c r="W675" s="49"/>
      <c r="X675" s="49"/>
      <c r="Y675" s="49"/>
      <c r="Z675" s="49"/>
      <c r="AA675" s="73">
        <v>675</v>
      </c>
      <c r="AB675" s="73"/>
      <c r="AC675" s="74"/>
      <c r="AD675" s="80" t="s">
        <v>1437</v>
      </c>
      <c r="AE675" s="80" t="s">
        <v>2094</v>
      </c>
      <c r="AF675" s="80" t="s">
        <v>2685</v>
      </c>
      <c r="AG675" s="80" t="s">
        <v>3220</v>
      </c>
      <c r="AH675" s="80" t="s">
        <v>3849</v>
      </c>
      <c r="AI675" s="80">
        <v>733</v>
      </c>
      <c r="AJ675" s="80">
        <v>4</v>
      </c>
      <c r="AK675" s="80">
        <v>26</v>
      </c>
      <c r="AL675" s="80">
        <v>0</v>
      </c>
      <c r="AM675" s="80" t="s">
        <v>4098</v>
      </c>
      <c r="AN675" s="96" t="str">
        <f>HYPERLINK("https://www.youtube.com/watch?v=g1dSnIPOgPA")</f>
        <v>https://www.youtube.com/watch?v=g1dSnIPOgPA</v>
      </c>
      <c r="AO675" s="80" t="e">
        <f>REPLACE(INDEX(GroupVertices[Group],MATCH(Vertices[[#This Row],[Vertex]],GroupVertices[Vertex],0)),1,1,"")</f>
        <v>#N/A</v>
      </c>
      <c r="AP675" s="48"/>
      <c r="AQ675" s="49"/>
      <c r="AR675" s="48"/>
      <c r="AS675" s="49"/>
      <c r="AT675" s="48"/>
      <c r="AU675" s="49"/>
      <c r="AV675" s="48"/>
      <c r="AW675" s="49"/>
      <c r="AX675" s="48"/>
      <c r="AY675" s="48"/>
      <c r="AZ675" s="48"/>
      <c r="BA675" s="48"/>
      <c r="BB675" s="48"/>
      <c r="BC675" s="2"/>
      <c r="BD675" s="3"/>
      <c r="BE675" s="3"/>
      <c r="BF675" s="3"/>
      <c r="BG675" s="3"/>
    </row>
    <row r="676" spans="1:59" ht="15">
      <c r="A676" s="66" t="s">
        <v>380</v>
      </c>
      <c r="B676" s="67" t="s">
        <v>4461</v>
      </c>
      <c r="C676" s="67"/>
      <c r="D676" s="68">
        <v>365.2488061277636</v>
      </c>
      <c r="E676" s="70"/>
      <c r="F676" s="97" t="str">
        <f>HYPERLINK("https://i.ytimg.com/vi/-LO9XHo1xFE/default.jpg")</f>
        <v>https://i.ytimg.com/vi/-LO9XHo1xFE/default.jpg</v>
      </c>
      <c r="G676" s="120" t="s">
        <v>52</v>
      </c>
      <c r="H676" s="71" t="s">
        <v>1088</v>
      </c>
      <c r="I676" s="72"/>
      <c r="J676" s="72" t="s">
        <v>159</v>
      </c>
      <c r="K676" s="71" t="s">
        <v>1088</v>
      </c>
      <c r="L676" s="75">
        <v>213.72340425531914</v>
      </c>
      <c r="M676" s="76">
        <v>5459.580078125</v>
      </c>
      <c r="N676" s="76">
        <v>1082.2197265625</v>
      </c>
      <c r="O676" s="77"/>
      <c r="P676" s="78"/>
      <c r="Q676" s="78"/>
      <c r="R676" s="82"/>
      <c r="S676" s="48"/>
      <c r="T676" s="48"/>
      <c r="U676" s="49"/>
      <c r="V676" s="49"/>
      <c r="W676" s="49"/>
      <c r="X676" s="49"/>
      <c r="Y676" s="49"/>
      <c r="Z676" s="49"/>
      <c r="AA676" s="73">
        <v>676</v>
      </c>
      <c r="AB676" s="73"/>
      <c r="AC676" s="74"/>
      <c r="AD676" s="80" t="s">
        <v>1088</v>
      </c>
      <c r="AE676" s="80" t="s">
        <v>1794</v>
      </c>
      <c r="AF676" s="80" t="s">
        <v>2421</v>
      </c>
      <c r="AG676" s="80" t="s">
        <v>2994</v>
      </c>
      <c r="AH676" s="80" t="s">
        <v>3501</v>
      </c>
      <c r="AI676" s="80">
        <v>732</v>
      </c>
      <c r="AJ676" s="80">
        <v>0</v>
      </c>
      <c r="AK676" s="80">
        <v>0</v>
      </c>
      <c r="AL676" s="80">
        <v>0</v>
      </c>
      <c r="AM676" s="80" t="s">
        <v>4098</v>
      </c>
      <c r="AN676" s="96" t="str">
        <f>HYPERLINK("https://www.youtube.com/watch?v=-LO9XHo1xFE")</f>
        <v>https://www.youtube.com/watch?v=-LO9XHo1xFE</v>
      </c>
      <c r="AO676" s="80" t="e">
        <f>REPLACE(INDEX(GroupVertices[Group],MATCH(Vertices[[#This Row],[Vertex]],GroupVertices[Vertex],0)),1,1,"")</f>
        <v>#N/A</v>
      </c>
      <c r="AP676" s="48"/>
      <c r="AQ676" s="49"/>
      <c r="AR676" s="48"/>
      <c r="AS676" s="49"/>
      <c r="AT676" s="48"/>
      <c r="AU676" s="49"/>
      <c r="AV676" s="48"/>
      <c r="AW676" s="49"/>
      <c r="AX676" s="48"/>
      <c r="AY676" s="48"/>
      <c r="AZ676" s="48"/>
      <c r="BA676" s="48"/>
      <c r="BB676" s="48"/>
      <c r="BC676" s="2"/>
      <c r="BD676" s="3"/>
      <c r="BE676" s="3"/>
      <c r="BF676" s="3"/>
      <c r="BG676" s="3"/>
    </row>
    <row r="677" spans="1:59" ht="15">
      <c r="A677" s="66" t="s">
        <v>552</v>
      </c>
      <c r="B677" s="67" t="s">
        <v>4461</v>
      </c>
      <c r="C677" s="67"/>
      <c r="D677" s="68">
        <v>358.9681803763123</v>
      </c>
      <c r="E677" s="70"/>
      <c r="F677" s="97" t="str">
        <f>HYPERLINK("https://i.ytimg.com/vi/ibgyw7NtqiY/default.jpg")</f>
        <v>https://i.ytimg.com/vi/ibgyw7NtqiY/default.jpg</v>
      </c>
      <c r="G677" s="120" t="s">
        <v>52</v>
      </c>
      <c r="H677" s="71" t="s">
        <v>1285</v>
      </c>
      <c r="I677" s="72"/>
      <c r="J677" s="72" t="s">
        <v>159</v>
      </c>
      <c r="K677" s="71" t="s">
        <v>1285</v>
      </c>
      <c r="L677" s="75">
        <v>213.72340425531914</v>
      </c>
      <c r="M677" s="76">
        <v>1942.3677978515625</v>
      </c>
      <c r="N677" s="76">
        <v>5409.82373046875</v>
      </c>
      <c r="O677" s="77"/>
      <c r="P677" s="78"/>
      <c r="Q677" s="78"/>
      <c r="R677" s="82"/>
      <c r="S677" s="48"/>
      <c r="T677" s="48"/>
      <c r="U677" s="49"/>
      <c r="V677" s="49"/>
      <c r="W677" s="49"/>
      <c r="X677" s="49"/>
      <c r="Y677" s="49"/>
      <c r="Z677" s="49"/>
      <c r="AA677" s="73">
        <v>677</v>
      </c>
      <c r="AB677" s="73"/>
      <c r="AC677" s="74"/>
      <c r="AD677" s="80" t="s">
        <v>1285</v>
      </c>
      <c r="AE677" s="80" t="s">
        <v>1959</v>
      </c>
      <c r="AF677" s="80" t="s">
        <v>2566</v>
      </c>
      <c r="AG677" s="80" t="s">
        <v>3113</v>
      </c>
      <c r="AH677" s="80" t="s">
        <v>3697</v>
      </c>
      <c r="AI677" s="80">
        <v>682</v>
      </c>
      <c r="AJ677" s="80">
        <v>0</v>
      </c>
      <c r="AK677" s="80">
        <v>11</v>
      </c>
      <c r="AL677" s="80">
        <v>0</v>
      </c>
      <c r="AM677" s="80" t="s">
        <v>4098</v>
      </c>
      <c r="AN677" s="96" t="str">
        <f>HYPERLINK("https://www.youtube.com/watch?v=ibgyw7NtqiY")</f>
        <v>https://www.youtube.com/watch?v=ibgyw7NtqiY</v>
      </c>
      <c r="AO677" s="80" t="e">
        <f>REPLACE(INDEX(GroupVertices[Group],MATCH(Vertices[[#This Row],[Vertex]],GroupVertices[Vertex],0)),1,1,"")</f>
        <v>#N/A</v>
      </c>
      <c r="AP677" s="48"/>
      <c r="AQ677" s="49"/>
      <c r="AR677" s="48"/>
      <c r="AS677" s="49"/>
      <c r="AT677" s="48"/>
      <c r="AU677" s="49"/>
      <c r="AV677" s="48"/>
      <c r="AW677" s="49"/>
      <c r="AX677" s="48"/>
      <c r="AY677" s="48"/>
      <c r="AZ677" s="48"/>
      <c r="BA677" s="48"/>
      <c r="BB677" s="48"/>
      <c r="BC677" s="2"/>
      <c r="BD677" s="3"/>
      <c r="BE677" s="3"/>
      <c r="BF677" s="3"/>
      <c r="BG677" s="3"/>
    </row>
    <row r="678" spans="1:59" ht="15">
      <c r="A678" s="66" t="s">
        <v>349</v>
      </c>
      <c r="B678" s="67" t="s">
        <v>4461</v>
      </c>
      <c r="C678" s="67"/>
      <c r="D678" s="68">
        <v>358.4459963926835</v>
      </c>
      <c r="E678" s="70"/>
      <c r="F678" s="97" t="str">
        <f>HYPERLINK("https://i.ytimg.com/vi/z-rEfQ-aZ0A/default.jpg")</f>
        <v>https://i.ytimg.com/vi/z-rEfQ-aZ0A/default.jpg</v>
      </c>
      <c r="G678" s="120" t="s">
        <v>52</v>
      </c>
      <c r="H678" s="71" t="s">
        <v>1053</v>
      </c>
      <c r="I678" s="72"/>
      <c r="J678" s="72" t="s">
        <v>159</v>
      </c>
      <c r="K678" s="71" t="s">
        <v>1053</v>
      </c>
      <c r="L678" s="75">
        <v>213.72340425531914</v>
      </c>
      <c r="M678" s="76">
        <v>4489.5419921875</v>
      </c>
      <c r="N678" s="76">
        <v>5942.03369140625</v>
      </c>
      <c r="O678" s="77"/>
      <c r="P678" s="78"/>
      <c r="Q678" s="78"/>
      <c r="R678" s="82"/>
      <c r="S678" s="48"/>
      <c r="T678" s="48"/>
      <c r="U678" s="49"/>
      <c r="V678" s="49"/>
      <c r="W678" s="49"/>
      <c r="X678" s="49"/>
      <c r="Y678" s="49"/>
      <c r="Z678" s="49"/>
      <c r="AA678" s="73">
        <v>678</v>
      </c>
      <c r="AB678" s="73"/>
      <c r="AC678" s="74"/>
      <c r="AD678" s="80" t="s">
        <v>1053</v>
      </c>
      <c r="AE678" s="80"/>
      <c r="AF678" s="80"/>
      <c r="AG678" s="80" t="s">
        <v>2976</v>
      </c>
      <c r="AH678" s="80" t="s">
        <v>3468</v>
      </c>
      <c r="AI678" s="80">
        <v>678</v>
      </c>
      <c r="AJ678" s="80">
        <v>0</v>
      </c>
      <c r="AK678" s="80">
        <v>1</v>
      </c>
      <c r="AL678" s="80">
        <v>0</v>
      </c>
      <c r="AM678" s="80" t="s">
        <v>4098</v>
      </c>
      <c r="AN678" s="96" t="str">
        <f>HYPERLINK("https://www.youtube.com/watch?v=z-rEfQ-aZ0A")</f>
        <v>https://www.youtube.com/watch?v=z-rEfQ-aZ0A</v>
      </c>
      <c r="AO678" s="80" t="e">
        <f>REPLACE(INDEX(GroupVertices[Group],MATCH(Vertices[[#This Row],[Vertex]],GroupVertices[Vertex],0)),1,1,"")</f>
        <v>#N/A</v>
      </c>
      <c r="AP678" s="48"/>
      <c r="AQ678" s="49"/>
      <c r="AR678" s="48"/>
      <c r="AS678" s="49"/>
      <c r="AT678" s="48"/>
      <c r="AU678" s="49"/>
      <c r="AV678" s="48"/>
      <c r="AW678" s="49"/>
      <c r="AX678" s="48"/>
      <c r="AY678" s="48"/>
      <c r="AZ678" s="48"/>
      <c r="BA678" s="48"/>
      <c r="BB678" s="48"/>
      <c r="BC678" s="2"/>
      <c r="BD678" s="3"/>
      <c r="BE678" s="3"/>
      <c r="BF678" s="3"/>
      <c r="BG678" s="3"/>
    </row>
    <row r="679" spans="1:59" ht="15">
      <c r="A679" s="66" t="s">
        <v>770</v>
      </c>
      <c r="B679" s="67" t="s">
        <v>4461</v>
      </c>
      <c r="C679" s="67"/>
      <c r="D679" s="68">
        <v>354.83855108012744</v>
      </c>
      <c r="E679" s="70"/>
      <c r="F679" s="97" t="str">
        <f>HYPERLINK("https://i.ytimg.com/vi/md7sjS-pcKY/default.jpg")</f>
        <v>https://i.ytimg.com/vi/md7sjS-pcKY/default.jpg</v>
      </c>
      <c r="G679" s="120" t="s">
        <v>52</v>
      </c>
      <c r="H679" s="71" t="s">
        <v>1510</v>
      </c>
      <c r="I679" s="72"/>
      <c r="J679" s="72" t="s">
        <v>159</v>
      </c>
      <c r="K679" s="71" t="s">
        <v>1510</v>
      </c>
      <c r="L679" s="75">
        <v>213.72340425531914</v>
      </c>
      <c r="M679" s="76">
        <v>4526.62841796875</v>
      </c>
      <c r="N679" s="76">
        <v>9464.607421875</v>
      </c>
      <c r="O679" s="77"/>
      <c r="P679" s="78"/>
      <c r="Q679" s="78"/>
      <c r="R679" s="82"/>
      <c r="S679" s="48"/>
      <c r="T679" s="48"/>
      <c r="U679" s="49"/>
      <c r="V679" s="49"/>
      <c r="W679" s="49"/>
      <c r="X679" s="49"/>
      <c r="Y679" s="49"/>
      <c r="Z679" s="49"/>
      <c r="AA679" s="73">
        <v>679</v>
      </c>
      <c r="AB679" s="73"/>
      <c r="AC679" s="74"/>
      <c r="AD679" s="80" t="s">
        <v>1510</v>
      </c>
      <c r="AE679" s="80"/>
      <c r="AF679" s="80"/>
      <c r="AG679" s="80" t="s">
        <v>3057</v>
      </c>
      <c r="AH679" s="80" t="s">
        <v>3924</v>
      </c>
      <c r="AI679" s="80">
        <v>651</v>
      </c>
      <c r="AJ679" s="80">
        <v>0</v>
      </c>
      <c r="AK679" s="80">
        <v>4</v>
      </c>
      <c r="AL679" s="80">
        <v>0</v>
      </c>
      <c r="AM679" s="80" t="s">
        <v>4098</v>
      </c>
      <c r="AN679" s="96" t="str">
        <f>HYPERLINK("https://www.youtube.com/watch?v=md7sjS-pcKY")</f>
        <v>https://www.youtube.com/watch?v=md7sjS-pcKY</v>
      </c>
      <c r="AO679" s="80" t="e">
        <f>REPLACE(INDEX(GroupVertices[Group],MATCH(Vertices[[#This Row],[Vertex]],GroupVertices[Vertex],0)),1,1,"")</f>
        <v>#N/A</v>
      </c>
      <c r="AP679" s="48"/>
      <c r="AQ679" s="49"/>
      <c r="AR679" s="48"/>
      <c r="AS679" s="49"/>
      <c r="AT679" s="48"/>
      <c r="AU679" s="49"/>
      <c r="AV679" s="48"/>
      <c r="AW679" s="49"/>
      <c r="AX679" s="48"/>
      <c r="AY679" s="48"/>
      <c r="AZ679" s="48"/>
      <c r="BA679" s="48"/>
      <c r="BB679" s="48"/>
      <c r="BC679" s="2"/>
      <c r="BD679" s="3"/>
      <c r="BE679" s="3"/>
      <c r="BF679" s="3"/>
      <c r="BG679" s="3"/>
    </row>
    <row r="680" spans="1:59" ht="15">
      <c r="A680" s="66" t="s">
        <v>358</v>
      </c>
      <c r="B680" s="67" t="s">
        <v>4461</v>
      </c>
      <c r="C680" s="67"/>
      <c r="D680" s="68">
        <v>353.87885501697576</v>
      </c>
      <c r="E680" s="70"/>
      <c r="F680" s="97" t="str">
        <f>HYPERLINK("https://i.ytimg.com/vi/XcqFJyMmy_g/default.jpg")</f>
        <v>https://i.ytimg.com/vi/XcqFJyMmy_g/default.jpg</v>
      </c>
      <c r="G680" s="120" t="s">
        <v>52</v>
      </c>
      <c r="H680" s="71" t="s">
        <v>1062</v>
      </c>
      <c r="I680" s="72"/>
      <c r="J680" s="72" t="s">
        <v>159</v>
      </c>
      <c r="K680" s="71" t="s">
        <v>1062</v>
      </c>
      <c r="L680" s="75">
        <v>213.72340425531914</v>
      </c>
      <c r="M680" s="76">
        <v>4244.07470703125</v>
      </c>
      <c r="N680" s="76">
        <v>5895.04638671875</v>
      </c>
      <c r="O680" s="77"/>
      <c r="P680" s="78"/>
      <c r="Q680" s="78"/>
      <c r="R680" s="82"/>
      <c r="S680" s="48"/>
      <c r="T680" s="48"/>
      <c r="U680" s="49"/>
      <c r="V680" s="49"/>
      <c r="W680" s="49"/>
      <c r="X680" s="49"/>
      <c r="Y680" s="49"/>
      <c r="Z680" s="49"/>
      <c r="AA680" s="73">
        <v>680</v>
      </c>
      <c r="AB680" s="73"/>
      <c r="AC680" s="74"/>
      <c r="AD680" s="80" t="s">
        <v>1062</v>
      </c>
      <c r="AE680" s="80" t="s">
        <v>1773</v>
      </c>
      <c r="AF680" s="80" t="s">
        <v>2399</v>
      </c>
      <c r="AG680" s="80" t="s">
        <v>2975</v>
      </c>
      <c r="AH680" s="80" t="s">
        <v>3475</v>
      </c>
      <c r="AI680" s="80">
        <v>644</v>
      </c>
      <c r="AJ680" s="80">
        <v>0</v>
      </c>
      <c r="AK680" s="80">
        <v>3</v>
      </c>
      <c r="AL680" s="80">
        <v>0</v>
      </c>
      <c r="AM680" s="80" t="s">
        <v>4098</v>
      </c>
      <c r="AN680" s="96" t="str">
        <f>HYPERLINK("https://www.youtube.com/watch?v=XcqFJyMmy_g")</f>
        <v>https://www.youtube.com/watch?v=XcqFJyMmy_g</v>
      </c>
      <c r="AO680" s="80" t="e">
        <f>REPLACE(INDEX(GroupVertices[Group],MATCH(Vertices[[#This Row],[Vertex]],GroupVertices[Vertex],0)),1,1,"")</f>
        <v>#N/A</v>
      </c>
      <c r="AP680" s="48"/>
      <c r="AQ680" s="49"/>
      <c r="AR680" s="48"/>
      <c r="AS680" s="49"/>
      <c r="AT680" s="48"/>
      <c r="AU680" s="49"/>
      <c r="AV680" s="48"/>
      <c r="AW680" s="49"/>
      <c r="AX680" s="48"/>
      <c r="AY680" s="48"/>
      <c r="AZ680" s="48"/>
      <c r="BA680" s="48"/>
      <c r="BB680" s="48"/>
      <c r="BC680" s="2"/>
      <c r="BD680" s="3"/>
      <c r="BE680" s="3"/>
      <c r="BF680" s="3"/>
      <c r="BG680" s="3"/>
    </row>
    <row r="681" spans="1:59" ht="15">
      <c r="A681" s="66" t="s">
        <v>763</v>
      </c>
      <c r="B681" s="67" t="s">
        <v>4461</v>
      </c>
      <c r="C681" s="67"/>
      <c r="D681" s="68">
        <v>353.60273964275063</v>
      </c>
      <c r="E681" s="70"/>
      <c r="F681" s="97" t="str">
        <f>HYPERLINK("https://i.ytimg.com/vi/HWZTxDgcdHo/default.jpg")</f>
        <v>https://i.ytimg.com/vi/HWZTxDgcdHo/default.jpg</v>
      </c>
      <c r="G681" s="120" t="s">
        <v>52</v>
      </c>
      <c r="H681" s="71" t="s">
        <v>1503</v>
      </c>
      <c r="I681" s="72"/>
      <c r="J681" s="72" t="s">
        <v>159</v>
      </c>
      <c r="K681" s="71" t="s">
        <v>1503</v>
      </c>
      <c r="L681" s="75">
        <v>213.72340425531914</v>
      </c>
      <c r="M681" s="76">
        <v>3807.775390625</v>
      </c>
      <c r="N681" s="76">
        <v>9379.3251953125</v>
      </c>
      <c r="O681" s="77"/>
      <c r="P681" s="78"/>
      <c r="Q681" s="78"/>
      <c r="R681" s="82"/>
      <c r="S681" s="48"/>
      <c r="T681" s="48"/>
      <c r="U681" s="49"/>
      <c r="V681" s="49"/>
      <c r="W681" s="49"/>
      <c r="X681" s="49"/>
      <c r="Y681" s="49"/>
      <c r="Z681" s="49"/>
      <c r="AA681" s="73">
        <v>681</v>
      </c>
      <c r="AB681" s="73"/>
      <c r="AC681" s="74"/>
      <c r="AD681" s="80" t="s">
        <v>1503</v>
      </c>
      <c r="AE681" s="80" t="s">
        <v>2155</v>
      </c>
      <c r="AF681" s="80" t="s">
        <v>2741</v>
      </c>
      <c r="AG681" s="80" t="s">
        <v>3265</v>
      </c>
      <c r="AH681" s="80" t="s">
        <v>3917</v>
      </c>
      <c r="AI681" s="80">
        <v>642</v>
      </c>
      <c r="AJ681" s="80">
        <v>0</v>
      </c>
      <c r="AK681" s="80">
        <v>3</v>
      </c>
      <c r="AL681" s="80">
        <v>0</v>
      </c>
      <c r="AM681" s="80" t="s">
        <v>4098</v>
      </c>
      <c r="AN681" s="96" t="str">
        <f>HYPERLINK("https://www.youtube.com/watch?v=HWZTxDgcdHo")</f>
        <v>https://www.youtube.com/watch?v=HWZTxDgcdHo</v>
      </c>
      <c r="AO681" s="80" t="e">
        <f>REPLACE(INDEX(GroupVertices[Group],MATCH(Vertices[[#This Row],[Vertex]],GroupVertices[Vertex],0)),1,1,"")</f>
        <v>#N/A</v>
      </c>
      <c r="AP681" s="48"/>
      <c r="AQ681" s="49"/>
      <c r="AR681" s="48"/>
      <c r="AS681" s="49"/>
      <c r="AT681" s="48"/>
      <c r="AU681" s="49"/>
      <c r="AV681" s="48"/>
      <c r="AW681" s="49"/>
      <c r="AX681" s="48"/>
      <c r="AY681" s="48"/>
      <c r="AZ681" s="48"/>
      <c r="BA681" s="48"/>
      <c r="BB681" s="48"/>
      <c r="BC681" s="2"/>
      <c r="BD681" s="3"/>
      <c r="BE681" s="3"/>
      <c r="BF681" s="3"/>
      <c r="BG681" s="3"/>
    </row>
    <row r="682" spans="1:59" ht="15">
      <c r="A682" s="66" t="s">
        <v>394</v>
      </c>
      <c r="B682" s="67" t="s">
        <v>4461</v>
      </c>
      <c r="C682" s="67"/>
      <c r="D682" s="68">
        <v>352.7692028026818</v>
      </c>
      <c r="E682" s="70"/>
      <c r="F682" s="97" t="str">
        <f>HYPERLINK("https://i.ytimg.com/vi/W7C04vrOBvU/default.jpg")</f>
        <v>https://i.ytimg.com/vi/W7C04vrOBvU/default.jpg</v>
      </c>
      <c r="G682" s="120" t="s">
        <v>52</v>
      </c>
      <c r="H682" s="71" t="s">
        <v>1101</v>
      </c>
      <c r="I682" s="72"/>
      <c r="J682" s="72" t="s">
        <v>159</v>
      </c>
      <c r="K682" s="71" t="s">
        <v>1101</v>
      </c>
      <c r="L682" s="75">
        <v>213.72340425531914</v>
      </c>
      <c r="M682" s="76">
        <v>5061.4365234375</v>
      </c>
      <c r="N682" s="76">
        <v>366.0226135253906</v>
      </c>
      <c r="O682" s="77"/>
      <c r="P682" s="78"/>
      <c r="Q682" s="78"/>
      <c r="R682" s="82"/>
      <c r="S682" s="48"/>
      <c r="T682" s="48"/>
      <c r="U682" s="49"/>
      <c r="V682" s="49"/>
      <c r="W682" s="49"/>
      <c r="X682" s="49"/>
      <c r="Y682" s="49"/>
      <c r="Z682" s="49"/>
      <c r="AA682" s="73">
        <v>682</v>
      </c>
      <c r="AB682" s="73"/>
      <c r="AC682" s="74"/>
      <c r="AD682" s="80" t="s">
        <v>1101</v>
      </c>
      <c r="AE682" s="80" t="s">
        <v>1799</v>
      </c>
      <c r="AF682" s="80"/>
      <c r="AG682" s="80" t="s">
        <v>2958</v>
      </c>
      <c r="AH682" s="80" t="s">
        <v>3515</v>
      </c>
      <c r="AI682" s="80">
        <v>636</v>
      </c>
      <c r="AJ682" s="80">
        <v>0</v>
      </c>
      <c r="AK682" s="80">
        <v>6</v>
      </c>
      <c r="AL682" s="80">
        <v>0</v>
      </c>
      <c r="AM682" s="80" t="s">
        <v>4098</v>
      </c>
      <c r="AN682" s="96" t="str">
        <f>HYPERLINK("https://www.youtube.com/watch?v=W7C04vrOBvU")</f>
        <v>https://www.youtube.com/watch?v=W7C04vrOBvU</v>
      </c>
      <c r="AO682" s="80" t="e">
        <f>REPLACE(INDEX(GroupVertices[Group],MATCH(Vertices[[#This Row],[Vertex]],GroupVertices[Vertex],0)),1,1,"")</f>
        <v>#N/A</v>
      </c>
      <c r="AP682" s="48"/>
      <c r="AQ682" s="49"/>
      <c r="AR682" s="48"/>
      <c r="AS682" s="49"/>
      <c r="AT682" s="48"/>
      <c r="AU682" s="49"/>
      <c r="AV682" s="48"/>
      <c r="AW682" s="49"/>
      <c r="AX682" s="48"/>
      <c r="AY682" s="48"/>
      <c r="AZ682" s="48"/>
      <c r="BA682" s="48"/>
      <c r="BB682" s="48"/>
      <c r="BC682" s="2"/>
      <c r="BD682" s="3"/>
      <c r="BE682" s="3"/>
      <c r="BF682" s="3"/>
      <c r="BG682" s="3"/>
    </row>
    <row r="683" spans="1:59" ht="15">
      <c r="A683" s="66" t="s">
        <v>406</v>
      </c>
      <c r="B683" s="67" t="s">
        <v>4461</v>
      </c>
      <c r="C683" s="67"/>
      <c r="D683" s="68">
        <v>351.9277650217289</v>
      </c>
      <c r="E683" s="70"/>
      <c r="F683" s="97" t="str">
        <f>HYPERLINK("https://i.ytimg.com/vi/xCXSIZXxaAw/default.jpg")</f>
        <v>https://i.ytimg.com/vi/xCXSIZXxaAw/default.jpg</v>
      </c>
      <c r="G683" s="120" t="s">
        <v>52</v>
      </c>
      <c r="H683" s="71" t="s">
        <v>1113</v>
      </c>
      <c r="I683" s="72"/>
      <c r="J683" s="72" t="s">
        <v>159</v>
      </c>
      <c r="K683" s="71" t="s">
        <v>1113</v>
      </c>
      <c r="L683" s="75">
        <v>213.72340425531914</v>
      </c>
      <c r="M683" s="76">
        <v>5843.33447265625</v>
      </c>
      <c r="N683" s="76">
        <v>1428.9573974609375</v>
      </c>
      <c r="O683" s="77"/>
      <c r="P683" s="78"/>
      <c r="Q683" s="78"/>
      <c r="R683" s="82"/>
      <c r="S683" s="48"/>
      <c r="T683" s="48"/>
      <c r="U683" s="49"/>
      <c r="V683" s="49"/>
      <c r="W683" s="49"/>
      <c r="X683" s="49"/>
      <c r="Y683" s="49"/>
      <c r="Z683" s="49"/>
      <c r="AA683" s="73">
        <v>683</v>
      </c>
      <c r="AB683" s="73"/>
      <c r="AC683" s="74"/>
      <c r="AD683" s="80" t="s">
        <v>1113</v>
      </c>
      <c r="AE683" s="80" t="s">
        <v>1811</v>
      </c>
      <c r="AF683" s="80" t="s">
        <v>2433</v>
      </c>
      <c r="AG683" s="80" t="s">
        <v>2958</v>
      </c>
      <c r="AH683" s="80" t="s">
        <v>3526</v>
      </c>
      <c r="AI683" s="80">
        <v>630</v>
      </c>
      <c r="AJ683" s="80">
        <v>0</v>
      </c>
      <c r="AK683" s="80">
        <v>3</v>
      </c>
      <c r="AL683" s="80">
        <v>0</v>
      </c>
      <c r="AM683" s="80" t="s">
        <v>4098</v>
      </c>
      <c r="AN683" s="96" t="str">
        <f>HYPERLINK("https://www.youtube.com/watch?v=xCXSIZXxaAw")</f>
        <v>https://www.youtube.com/watch?v=xCXSIZXxaAw</v>
      </c>
      <c r="AO683" s="80" t="e">
        <f>REPLACE(INDEX(GroupVertices[Group],MATCH(Vertices[[#This Row],[Vertex]],GroupVertices[Vertex],0)),1,1,"")</f>
        <v>#N/A</v>
      </c>
      <c r="AP683" s="48"/>
      <c r="AQ683" s="49"/>
      <c r="AR683" s="48"/>
      <c r="AS683" s="49"/>
      <c r="AT683" s="48"/>
      <c r="AU683" s="49"/>
      <c r="AV683" s="48"/>
      <c r="AW683" s="49"/>
      <c r="AX683" s="48"/>
      <c r="AY683" s="48"/>
      <c r="AZ683" s="48"/>
      <c r="BA683" s="48"/>
      <c r="BB683" s="48"/>
      <c r="BC683" s="2"/>
      <c r="BD683" s="3"/>
      <c r="BE683" s="3"/>
      <c r="BF683" s="3"/>
      <c r="BG683" s="3"/>
    </row>
    <row r="684" spans="1:59" ht="15">
      <c r="A684" s="66" t="s">
        <v>710</v>
      </c>
      <c r="B684" s="67" t="s">
        <v>4461</v>
      </c>
      <c r="C684" s="67"/>
      <c r="D684" s="68">
        <v>351.9277650217289</v>
      </c>
      <c r="E684" s="70"/>
      <c r="F684" s="97" t="str">
        <f>HYPERLINK("https://i.ytimg.com/vi/ynroZyiObgE/default.jpg")</f>
        <v>https://i.ytimg.com/vi/ynroZyiObgE/default.jpg</v>
      </c>
      <c r="G684" s="120" t="s">
        <v>52</v>
      </c>
      <c r="H684" s="71" t="s">
        <v>1451</v>
      </c>
      <c r="I684" s="72"/>
      <c r="J684" s="72" t="s">
        <v>159</v>
      </c>
      <c r="K684" s="71" t="s">
        <v>1451</v>
      </c>
      <c r="L684" s="75">
        <v>213.72340425531914</v>
      </c>
      <c r="M684" s="76">
        <v>6980.4677734375</v>
      </c>
      <c r="N684" s="76">
        <v>8424.4091796875</v>
      </c>
      <c r="O684" s="77"/>
      <c r="P684" s="78"/>
      <c r="Q684" s="78"/>
      <c r="R684" s="82"/>
      <c r="S684" s="48"/>
      <c r="T684" s="48"/>
      <c r="U684" s="49"/>
      <c r="V684" s="49"/>
      <c r="W684" s="49"/>
      <c r="X684" s="49"/>
      <c r="Y684" s="49"/>
      <c r="Z684" s="49"/>
      <c r="AA684" s="73">
        <v>684</v>
      </c>
      <c r="AB684" s="73"/>
      <c r="AC684" s="74"/>
      <c r="AD684" s="80" t="s">
        <v>1451</v>
      </c>
      <c r="AE684" s="80" t="s">
        <v>2109</v>
      </c>
      <c r="AF684" s="80" t="s">
        <v>2699</v>
      </c>
      <c r="AG684" s="80" t="s">
        <v>3224</v>
      </c>
      <c r="AH684" s="80" t="s">
        <v>3864</v>
      </c>
      <c r="AI684" s="80">
        <v>630</v>
      </c>
      <c r="AJ684" s="80">
        <v>0</v>
      </c>
      <c r="AK684" s="80">
        <v>0</v>
      </c>
      <c r="AL684" s="80">
        <v>0</v>
      </c>
      <c r="AM684" s="80" t="s">
        <v>4098</v>
      </c>
      <c r="AN684" s="96" t="str">
        <f>HYPERLINK("https://www.youtube.com/watch?v=ynroZyiObgE")</f>
        <v>https://www.youtube.com/watch?v=ynroZyiObgE</v>
      </c>
      <c r="AO684" s="80" t="e">
        <f>REPLACE(INDEX(GroupVertices[Group],MATCH(Vertices[[#This Row],[Vertex]],GroupVertices[Vertex],0)),1,1,"")</f>
        <v>#N/A</v>
      </c>
      <c r="AP684" s="48"/>
      <c r="AQ684" s="49"/>
      <c r="AR684" s="48"/>
      <c r="AS684" s="49"/>
      <c r="AT684" s="48"/>
      <c r="AU684" s="49"/>
      <c r="AV684" s="48"/>
      <c r="AW684" s="49"/>
      <c r="AX684" s="48"/>
      <c r="AY684" s="48"/>
      <c r="AZ684" s="48"/>
      <c r="BA684" s="48"/>
      <c r="BB684" s="48"/>
      <c r="BC684" s="2"/>
      <c r="BD684" s="3"/>
      <c r="BE684" s="3"/>
      <c r="BF684" s="3"/>
      <c r="BG684" s="3"/>
    </row>
    <row r="685" spans="1:59" ht="15">
      <c r="A685" s="66" t="s">
        <v>377</v>
      </c>
      <c r="B685" s="67" t="s">
        <v>4461</v>
      </c>
      <c r="C685" s="67"/>
      <c r="D685" s="68">
        <v>350.22057738348207</v>
      </c>
      <c r="E685" s="70"/>
      <c r="F685" s="97" t="str">
        <f>HYPERLINK("https://i.ytimg.com/vi/vI94EtWpApY/default.jpg")</f>
        <v>https://i.ytimg.com/vi/vI94EtWpApY/default.jpg</v>
      </c>
      <c r="G685" s="120" t="s">
        <v>52</v>
      </c>
      <c r="H685" s="71" t="s">
        <v>1085</v>
      </c>
      <c r="I685" s="72"/>
      <c r="J685" s="72" t="s">
        <v>159</v>
      </c>
      <c r="K685" s="71" t="s">
        <v>1085</v>
      </c>
      <c r="L685" s="75">
        <v>213.72340425531914</v>
      </c>
      <c r="M685" s="76">
        <v>4750.38330078125</v>
      </c>
      <c r="N685" s="76">
        <v>779.4238891601562</v>
      </c>
      <c r="O685" s="77"/>
      <c r="P685" s="78"/>
      <c r="Q685" s="78"/>
      <c r="R685" s="82"/>
      <c r="S685" s="48"/>
      <c r="T685" s="48"/>
      <c r="U685" s="49"/>
      <c r="V685" s="49"/>
      <c r="W685" s="49"/>
      <c r="X685" s="49"/>
      <c r="Y685" s="49"/>
      <c r="Z685" s="49"/>
      <c r="AA685" s="73">
        <v>685</v>
      </c>
      <c r="AB685" s="73"/>
      <c r="AC685" s="74"/>
      <c r="AD685" s="80" t="s">
        <v>1085</v>
      </c>
      <c r="AE685" s="80" t="s">
        <v>1792</v>
      </c>
      <c r="AF685" s="80" t="s">
        <v>2418</v>
      </c>
      <c r="AG685" s="80" t="s">
        <v>2992</v>
      </c>
      <c r="AH685" s="80" t="s">
        <v>3498</v>
      </c>
      <c r="AI685" s="80">
        <v>618</v>
      </c>
      <c r="AJ685" s="80">
        <v>0</v>
      </c>
      <c r="AK685" s="80">
        <v>0</v>
      </c>
      <c r="AL685" s="80">
        <v>0</v>
      </c>
      <c r="AM685" s="80" t="s">
        <v>4098</v>
      </c>
      <c r="AN685" s="96" t="str">
        <f>HYPERLINK("https://www.youtube.com/watch?v=vI94EtWpApY")</f>
        <v>https://www.youtube.com/watch?v=vI94EtWpApY</v>
      </c>
      <c r="AO685" s="80" t="e">
        <f>REPLACE(INDEX(GroupVertices[Group],MATCH(Vertices[[#This Row],[Vertex]],GroupVertices[Vertex],0)),1,1,"")</f>
        <v>#N/A</v>
      </c>
      <c r="AP685" s="48"/>
      <c r="AQ685" s="49"/>
      <c r="AR685" s="48"/>
      <c r="AS685" s="49"/>
      <c r="AT685" s="48"/>
      <c r="AU685" s="49"/>
      <c r="AV685" s="48"/>
      <c r="AW685" s="49"/>
      <c r="AX685" s="48"/>
      <c r="AY685" s="48"/>
      <c r="AZ685" s="48"/>
      <c r="BA685" s="48"/>
      <c r="BB685" s="48"/>
      <c r="BC685" s="2"/>
      <c r="BD685" s="3"/>
      <c r="BE685" s="3"/>
      <c r="BF685" s="3"/>
      <c r="BG685" s="3"/>
    </row>
    <row r="686" spans="1:59" ht="15">
      <c r="A686" s="66" t="s">
        <v>292</v>
      </c>
      <c r="B686" s="67" t="s">
        <v>4461</v>
      </c>
      <c r="C686" s="67"/>
      <c r="D686" s="68">
        <v>350.0768186132077</v>
      </c>
      <c r="E686" s="70"/>
      <c r="F686" s="97" t="str">
        <f>HYPERLINK("https://i.ytimg.com/vi/bRu180vYTn4/default.jpg")</f>
        <v>https://i.ytimg.com/vi/bRu180vYTn4/default.jpg</v>
      </c>
      <c r="G686" s="120" t="s">
        <v>52</v>
      </c>
      <c r="H686" s="71" t="s">
        <v>989</v>
      </c>
      <c r="I686" s="72"/>
      <c r="J686" s="72" t="s">
        <v>159</v>
      </c>
      <c r="K686" s="71" t="s">
        <v>989</v>
      </c>
      <c r="L686" s="75">
        <v>213.72340425531914</v>
      </c>
      <c r="M686" s="76">
        <v>5906.6416015625</v>
      </c>
      <c r="N686" s="76">
        <v>6829.07373046875</v>
      </c>
      <c r="O686" s="77"/>
      <c r="P686" s="78"/>
      <c r="Q686" s="78"/>
      <c r="R686" s="82"/>
      <c r="S686" s="48"/>
      <c r="T686" s="48"/>
      <c r="U686" s="49"/>
      <c r="V686" s="49"/>
      <c r="W686" s="49"/>
      <c r="X686" s="49"/>
      <c r="Y686" s="49"/>
      <c r="Z686" s="49"/>
      <c r="AA686" s="73">
        <v>686</v>
      </c>
      <c r="AB686" s="73"/>
      <c r="AC686" s="74"/>
      <c r="AD686" s="80" t="s">
        <v>989</v>
      </c>
      <c r="AE686" s="80" t="s">
        <v>1712</v>
      </c>
      <c r="AF686" s="80" t="s">
        <v>2344</v>
      </c>
      <c r="AG686" s="80" t="s">
        <v>2913</v>
      </c>
      <c r="AH686" s="80" t="s">
        <v>3404</v>
      </c>
      <c r="AI686" s="80">
        <v>617</v>
      </c>
      <c r="AJ686" s="80">
        <v>0</v>
      </c>
      <c r="AK686" s="80">
        <v>4</v>
      </c>
      <c r="AL686" s="80">
        <v>0</v>
      </c>
      <c r="AM686" s="80" t="s">
        <v>4098</v>
      </c>
      <c r="AN686" s="96" t="str">
        <f>HYPERLINK("https://www.youtube.com/watch?v=bRu180vYTn4")</f>
        <v>https://www.youtube.com/watch?v=bRu180vYTn4</v>
      </c>
      <c r="AO686" s="80" t="e">
        <f>REPLACE(INDEX(GroupVertices[Group],MATCH(Vertices[[#This Row],[Vertex]],GroupVertices[Vertex],0)),1,1,"")</f>
        <v>#N/A</v>
      </c>
      <c r="AP686" s="48"/>
      <c r="AQ686" s="49"/>
      <c r="AR686" s="48"/>
      <c r="AS686" s="49"/>
      <c r="AT686" s="48"/>
      <c r="AU686" s="49"/>
      <c r="AV686" s="48"/>
      <c r="AW686" s="49"/>
      <c r="AX686" s="48"/>
      <c r="AY686" s="48"/>
      <c r="AZ686" s="48"/>
      <c r="BA686" s="48"/>
      <c r="BB686" s="48"/>
      <c r="BC686" s="2"/>
      <c r="BD686" s="3"/>
      <c r="BE686" s="3"/>
      <c r="BF686" s="3"/>
      <c r="BG686" s="3"/>
    </row>
    <row r="687" spans="1:59" ht="15">
      <c r="A687" s="66" t="s">
        <v>299</v>
      </c>
      <c r="B687" s="67" t="s">
        <v>4461</v>
      </c>
      <c r="C687" s="67"/>
      <c r="D687" s="68">
        <v>337.7491043896093</v>
      </c>
      <c r="E687" s="70"/>
      <c r="F687" s="97" t="str">
        <f>HYPERLINK("https://i.ytimg.com/vi/LagcXwaojBE/default.jpg")</f>
        <v>https://i.ytimg.com/vi/LagcXwaojBE/default.jpg</v>
      </c>
      <c r="G687" s="120" t="s">
        <v>52</v>
      </c>
      <c r="H687" s="71" t="s">
        <v>998</v>
      </c>
      <c r="I687" s="72"/>
      <c r="J687" s="72" t="s">
        <v>159</v>
      </c>
      <c r="K687" s="71" t="s">
        <v>998</v>
      </c>
      <c r="L687" s="75">
        <v>213.72340425531914</v>
      </c>
      <c r="M687" s="76">
        <v>8245.390625</v>
      </c>
      <c r="N687" s="76">
        <v>9526.3984375</v>
      </c>
      <c r="O687" s="77"/>
      <c r="P687" s="78"/>
      <c r="Q687" s="78"/>
      <c r="R687" s="82"/>
      <c r="S687" s="48"/>
      <c r="T687" s="48"/>
      <c r="U687" s="49"/>
      <c r="V687" s="49"/>
      <c r="W687" s="49"/>
      <c r="X687" s="49"/>
      <c r="Y687" s="49"/>
      <c r="Z687" s="49"/>
      <c r="AA687" s="73">
        <v>687</v>
      </c>
      <c r="AB687" s="73"/>
      <c r="AC687" s="74"/>
      <c r="AD687" s="80" t="s">
        <v>998</v>
      </c>
      <c r="AE687" s="80" t="s">
        <v>1721</v>
      </c>
      <c r="AF687" s="80" t="s">
        <v>2353</v>
      </c>
      <c r="AG687" s="80" t="s">
        <v>2927</v>
      </c>
      <c r="AH687" s="80" t="s">
        <v>3413</v>
      </c>
      <c r="AI687" s="80">
        <v>537</v>
      </c>
      <c r="AJ687" s="80">
        <v>0</v>
      </c>
      <c r="AK687" s="80">
        <v>0</v>
      </c>
      <c r="AL687" s="80">
        <v>0</v>
      </c>
      <c r="AM687" s="80" t="s">
        <v>4098</v>
      </c>
      <c r="AN687" s="96" t="str">
        <f>HYPERLINK("https://www.youtube.com/watch?v=LagcXwaojBE")</f>
        <v>https://www.youtube.com/watch?v=LagcXwaojBE</v>
      </c>
      <c r="AO687" s="80" t="e">
        <f>REPLACE(INDEX(GroupVertices[Group],MATCH(Vertices[[#This Row],[Vertex]],GroupVertices[Vertex],0)),1,1,"")</f>
        <v>#N/A</v>
      </c>
      <c r="AP687" s="48"/>
      <c r="AQ687" s="49"/>
      <c r="AR687" s="48"/>
      <c r="AS687" s="49"/>
      <c r="AT687" s="48"/>
      <c r="AU687" s="49"/>
      <c r="AV687" s="48"/>
      <c r="AW687" s="49"/>
      <c r="AX687" s="48"/>
      <c r="AY687" s="48"/>
      <c r="AZ687" s="48"/>
      <c r="BA687" s="48"/>
      <c r="BB687" s="48"/>
      <c r="BC687" s="2"/>
      <c r="BD687" s="3"/>
      <c r="BE687" s="3"/>
      <c r="BF687" s="3"/>
      <c r="BG687" s="3"/>
    </row>
    <row r="688" spans="1:59" ht="15">
      <c r="A688" s="66" t="s">
        <v>939</v>
      </c>
      <c r="B688" s="67" t="s">
        <v>4461</v>
      </c>
      <c r="C688" s="67"/>
      <c r="D688" s="68">
        <v>334.8934042909328</v>
      </c>
      <c r="E688" s="70"/>
      <c r="F688" s="97" t="str">
        <f>HYPERLINK("https://i.ytimg.com/vi/_8jVuG99UcQ/default.jpg")</f>
        <v>https://i.ytimg.com/vi/_8jVuG99UcQ/default.jpg</v>
      </c>
      <c r="G688" s="120" t="s">
        <v>52</v>
      </c>
      <c r="H688" s="71" t="s">
        <v>1676</v>
      </c>
      <c r="I688" s="72"/>
      <c r="J688" s="72" t="s">
        <v>159</v>
      </c>
      <c r="K688" s="71" t="s">
        <v>1676</v>
      </c>
      <c r="L688" s="75">
        <v>213.72340425531914</v>
      </c>
      <c r="M688" s="76">
        <v>1803.2662353515625</v>
      </c>
      <c r="N688" s="76">
        <v>4259.7529296875</v>
      </c>
      <c r="O688" s="77"/>
      <c r="P688" s="78"/>
      <c r="Q688" s="78"/>
      <c r="R688" s="82"/>
      <c r="S688" s="48"/>
      <c r="T688" s="48"/>
      <c r="U688" s="49"/>
      <c r="V688" s="49"/>
      <c r="W688" s="49"/>
      <c r="X688" s="49"/>
      <c r="Y688" s="49"/>
      <c r="Z688" s="49"/>
      <c r="AA688" s="73">
        <v>688</v>
      </c>
      <c r="AB688" s="73"/>
      <c r="AC688" s="74"/>
      <c r="AD688" s="80" t="s">
        <v>1676</v>
      </c>
      <c r="AE688" s="80" t="s">
        <v>2310</v>
      </c>
      <c r="AF688" s="80" t="s">
        <v>2890</v>
      </c>
      <c r="AG688" s="80" t="s">
        <v>2968</v>
      </c>
      <c r="AH688" s="80" t="s">
        <v>4093</v>
      </c>
      <c r="AI688" s="80">
        <v>520</v>
      </c>
      <c r="AJ688" s="80">
        <v>0</v>
      </c>
      <c r="AK688" s="80">
        <v>9</v>
      </c>
      <c r="AL688" s="80">
        <v>0</v>
      </c>
      <c r="AM688" s="80" t="s">
        <v>4098</v>
      </c>
      <c r="AN688" s="96" t="str">
        <f>HYPERLINK("https://www.youtube.com/watch?v=_8jVuG99UcQ")</f>
        <v>https://www.youtube.com/watch?v=_8jVuG99UcQ</v>
      </c>
      <c r="AO688" s="80" t="e">
        <f>REPLACE(INDEX(GroupVertices[Group],MATCH(Vertices[[#This Row],[Vertex]],GroupVertices[Vertex],0)),1,1,"")</f>
        <v>#N/A</v>
      </c>
      <c r="AP688" s="48"/>
      <c r="AQ688" s="49"/>
      <c r="AR688" s="48"/>
      <c r="AS688" s="49"/>
      <c r="AT688" s="48"/>
      <c r="AU688" s="49"/>
      <c r="AV688" s="48"/>
      <c r="AW688" s="49"/>
      <c r="AX688" s="48"/>
      <c r="AY688" s="48"/>
      <c r="AZ688" s="48"/>
      <c r="BA688" s="48"/>
      <c r="BB688" s="48"/>
      <c r="BC688" s="2"/>
      <c r="BD688" s="3"/>
      <c r="BE688" s="3"/>
      <c r="BF688" s="3"/>
      <c r="BG688" s="3"/>
    </row>
    <row r="689" spans="1:59" ht="15">
      <c r="A689" s="66" t="s">
        <v>356</v>
      </c>
      <c r="B689" s="67" t="s">
        <v>4461</v>
      </c>
      <c r="C689" s="67"/>
      <c r="D689" s="68">
        <v>329.436976105965</v>
      </c>
      <c r="E689" s="70"/>
      <c r="F689" s="97" t="str">
        <f>HYPERLINK("https://i.ytimg.com/vi/vEXe6QNXsaU/default.jpg")</f>
        <v>https://i.ytimg.com/vi/vEXe6QNXsaU/default.jpg</v>
      </c>
      <c r="G689" s="120" t="s">
        <v>52</v>
      </c>
      <c r="H689" s="71" t="s">
        <v>1060</v>
      </c>
      <c r="I689" s="72"/>
      <c r="J689" s="72" t="s">
        <v>159</v>
      </c>
      <c r="K689" s="71" t="s">
        <v>1060</v>
      </c>
      <c r="L689" s="75">
        <v>213.72340425531914</v>
      </c>
      <c r="M689" s="76">
        <v>3765.16259765625</v>
      </c>
      <c r="N689" s="76">
        <v>6020.95166015625</v>
      </c>
      <c r="O689" s="77"/>
      <c r="P689" s="78"/>
      <c r="Q689" s="78"/>
      <c r="R689" s="82"/>
      <c r="S689" s="48"/>
      <c r="T689" s="48"/>
      <c r="U689" s="49"/>
      <c r="V689" s="49"/>
      <c r="W689" s="49"/>
      <c r="X689" s="49"/>
      <c r="Y689" s="49"/>
      <c r="Z689" s="49"/>
      <c r="AA689" s="73">
        <v>689</v>
      </c>
      <c r="AB689" s="73"/>
      <c r="AC689" s="74"/>
      <c r="AD689" s="80" t="s">
        <v>1060</v>
      </c>
      <c r="AE689" s="80" t="s">
        <v>1771</v>
      </c>
      <c r="AF689" s="80" t="s">
        <v>2399</v>
      </c>
      <c r="AG689" s="80" t="s">
        <v>2975</v>
      </c>
      <c r="AH689" s="80" t="s">
        <v>3475</v>
      </c>
      <c r="AI689" s="80">
        <v>489</v>
      </c>
      <c r="AJ689" s="80">
        <v>0</v>
      </c>
      <c r="AK689" s="80">
        <v>2</v>
      </c>
      <c r="AL689" s="80">
        <v>0</v>
      </c>
      <c r="AM689" s="80" t="s">
        <v>4098</v>
      </c>
      <c r="AN689" s="96" t="str">
        <f>HYPERLINK("https://www.youtube.com/watch?v=vEXe6QNXsaU")</f>
        <v>https://www.youtube.com/watch?v=vEXe6QNXsaU</v>
      </c>
      <c r="AO689" s="80" t="e">
        <f>REPLACE(INDEX(GroupVertices[Group],MATCH(Vertices[[#This Row],[Vertex]],GroupVertices[Vertex],0)),1,1,"")</f>
        <v>#N/A</v>
      </c>
      <c r="AP689" s="48"/>
      <c r="AQ689" s="49"/>
      <c r="AR689" s="48"/>
      <c r="AS689" s="49"/>
      <c r="AT689" s="48"/>
      <c r="AU689" s="49"/>
      <c r="AV689" s="48"/>
      <c r="AW689" s="49"/>
      <c r="AX689" s="48"/>
      <c r="AY689" s="48"/>
      <c r="AZ689" s="48"/>
      <c r="BA689" s="48"/>
      <c r="BB689" s="48"/>
      <c r="BC689" s="2"/>
      <c r="BD689" s="3"/>
      <c r="BE689" s="3"/>
      <c r="BF689" s="3"/>
      <c r="BG689" s="3"/>
    </row>
    <row r="690" spans="1:59" ht="15">
      <c r="A690" s="66" t="s">
        <v>718</v>
      </c>
      <c r="B690" s="67" t="s">
        <v>4461</v>
      </c>
      <c r="C690" s="67"/>
      <c r="D690" s="68">
        <v>324.7784560236397</v>
      </c>
      <c r="E690" s="70"/>
      <c r="F690" s="97" t="str">
        <f>HYPERLINK("https://i.ytimg.com/vi/3q0IGg9enns/default.jpg")</f>
        <v>https://i.ytimg.com/vi/3q0IGg9enns/default.jpg</v>
      </c>
      <c r="G690" s="120" t="s">
        <v>52</v>
      </c>
      <c r="H690" s="71" t="s">
        <v>1459</v>
      </c>
      <c r="I690" s="72"/>
      <c r="J690" s="72" t="s">
        <v>159</v>
      </c>
      <c r="K690" s="71" t="s">
        <v>1459</v>
      </c>
      <c r="L690" s="75">
        <v>213.72340425531914</v>
      </c>
      <c r="M690" s="76">
        <v>6816.12646484375</v>
      </c>
      <c r="N690" s="76">
        <v>7517.48388671875</v>
      </c>
      <c r="O690" s="77"/>
      <c r="P690" s="78"/>
      <c r="Q690" s="78"/>
      <c r="R690" s="82"/>
      <c r="S690" s="48"/>
      <c r="T690" s="48"/>
      <c r="U690" s="49"/>
      <c r="V690" s="49"/>
      <c r="W690" s="49"/>
      <c r="X690" s="49"/>
      <c r="Y690" s="49"/>
      <c r="Z690" s="49"/>
      <c r="AA690" s="73">
        <v>690</v>
      </c>
      <c r="AB690" s="73"/>
      <c r="AC690" s="74"/>
      <c r="AD690" s="80" t="s">
        <v>1459</v>
      </c>
      <c r="AE690" s="80" t="s">
        <v>2117</v>
      </c>
      <c r="AF690" s="80" t="s">
        <v>2706</v>
      </c>
      <c r="AG690" s="80" t="s">
        <v>3224</v>
      </c>
      <c r="AH690" s="80" t="s">
        <v>3872</v>
      </c>
      <c r="AI690" s="80">
        <v>464</v>
      </c>
      <c r="AJ690" s="80">
        <v>0</v>
      </c>
      <c r="AK690" s="80">
        <v>1</v>
      </c>
      <c r="AL690" s="80">
        <v>0</v>
      </c>
      <c r="AM690" s="80" t="s">
        <v>4098</v>
      </c>
      <c r="AN690" s="96" t="str">
        <f>HYPERLINK("https://www.youtube.com/watch?v=3q0IGg9enns")</f>
        <v>https://www.youtube.com/watch?v=3q0IGg9enns</v>
      </c>
      <c r="AO690" s="80" t="e">
        <f>REPLACE(INDEX(GroupVertices[Group],MATCH(Vertices[[#This Row],[Vertex]],GroupVertices[Vertex],0)),1,1,"")</f>
        <v>#N/A</v>
      </c>
      <c r="AP690" s="48"/>
      <c r="AQ690" s="49"/>
      <c r="AR690" s="48"/>
      <c r="AS690" s="49"/>
      <c r="AT690" s="48"/>
      <c r="AU690" s="49"/>
      <c r="AV690" s="48"/>
      <c r="AW690" s="49"/>
      <c r="AX690" s="48"/>
      <c r="AY690" s="48"/>
      <c r="AZ690" s="48"/>
      <c r="BA690" s="48"/>
      <c r="BB690" s="48"/>
      <c r="BC690" s="2"/>
      <c r="BD690" s="3"/>
      <c r="BE690" s="3"/>
      <c r="BF690" s="3"/>
      <c r="BG690" s="3"/>
    </row>
    <row r="691" spans="1:59" ht="15">
      <c r="A691" s="66" t="s">
        <v>416</v>
      </c>
      <c r="B691" s="67" t="s">
        <v>4461</v>
      </c>
      <c r="C691" s="67"/>
      <c r="D691" s="68">
        <v>323.6230685044679</v>
      </c>
      <c r="E691" s="70"/>
      <c r="F691" s="97" t="str">
        <f>HYPERLINK("https://i.ytimg.com/vi/ZDmusqXQ3sc/default.jpg")</f>
        <v>https://i.ytimg.com/vi/ZDmusqXQ3sc/default.jpg</v>
      </c>
      <c r="G691" s="120" t="s">
        <v>52</v>
      </c>
      <c r="H691" s="71" t="s">
        <v>1124</v>
      </c>
      <c r="I691" s="72"/>
      <c r="J691" s="72" t="s">
        <v>159</v>
      </c>
      <c r="K691" s="71" t="s">
        <v>1124</v>
      </c>
      <c r="L691" s="75">
        <v>213.72340425531914</v>
      </c>
      <c r="M691" s="76">
        <v>9578.1484375</v>
      </c>
      <c r="N691" s="76">
        <v>3884.48583984375</v>
      </c>
      <c r="O691" s="77"/>
      <c r="P691" s="78"/>
      <c r="Q691" s="78"/>
      <c r="R691" s="82"/>
      <c r="S691" s="48"/>
      <c r="T691" s="48"/>
      <c r="U691" s="49"/>
      <c r="V691" s="49"/>
      <c r="W691" s="49"/>
      <c r="X691" s="49"/>
      <c r="Y691" s="49"/>
      <c r="Z691" s="49"/>
      <c r="AA691" s="73">
        <v>691</v>
      </c>
      <c r="AB691" s="73"/>
      <c r="AC691" s="74"/>
      <c r="AD691" s="80" t="s">
        <v>1124</v>
      </c>
      <c r="AE691" s="80" t="s">
        <v>1821</v>
      </c>
      <c r="AF691" s="80"/>
      <c r="AG691" s="80" t="s">
        <v>3007</v>
      </c>
      <c r="AH691" s="80" t="s">
        <v>3537</v>
      </c>
      <c r="AI691" s="80">
        <v>458</v>
      </c>
      <c r="AJ691" s="80">
        <v>1</v>
      </c>
      <c r="AK691" s="80">
        <v>0</v>
      </c>
      <c r="AL691" s="80">
        <v>0</v>
      </c>
      <c r="AM691" s="80" t="s">
        <v>4098</v>
      </c>
      <c r="AN691" s="96" t="str">
        <f>HYPERLINK("https://www.youtube.com/watch?v=ZDmusqXQ3sc")</f>
        <v>https://www.youtube.com/watch?v=ZDmusqXQ3sc</v>
      </c>
      <c r="AO691" s="80" t="e">
        <f>REPLACE(INDEX(GroupVertices[Group],MATCH(Vertices[[#This Row],[Vertex]],GroupVertices[Vertex],0)),1,1,"")</f>
        <v>#N/A</v>
      </c>
      <c r="AP691" s="48"/>
      <c r="AQ691" s="49"/>
      <c r="AR691" s="48"/>
      <c r="AS691" s="49"/>
      <c r="AT691" s="48"/>
      <c r="AU691" s="49"/>
      <c r="AV691" s="48"/>
      <c r="AW691" s="49"/>
      <c r="AX691" s="48"/>
      <c r="AY691" s="48"/>
      <c r="AZ691" s="48"/>
      <c r="BA691" s="48"/>
      <c r="BB691" s="48"/>
      <c r="BC691" s="2"/>
      <c r="BD691" s="3"/>
      <c r="BE691" s="3"/>
      <c r="BF691" s="3"/>
      <c r="BG691" s="3"/>
    </row>
    <row r="692" spans="1:59" ht="15">
      <c r="A692" s="66" t="s">
        <v>785</v>
      </c>
      <c r="B692" s="67" t="s">
        <v>4461</v>
      </c>
      <c r="C692" s="67"/>
      <c r="D692" s="68">
        <v>322.4524446672131</v>
      </c>
      <c r="E692" s="70"/>
      <c r="F692" s="97" t="str">
        <f>HYPERLINK("https://i.ytimg.com/vi/79OIG0eFoBM/default.jpg")</f>
        <v>https://i.ytimg.com/vi/79OIG0eFoBM/default.jpg</v>
      </c>
      <c r="G692" s="120" t="s">
        <v>52</v>
      </c>
      <c r="H692" s="71" t="s">
        <v>1525</v>
      </c>
      <c r="I692" s="72"/>
      <c r="J692" s="72" t="s">
        <v>159</v>
      </c>
      <c r="K692" s="71" t="s">
        <v>1525</v>
      </c>
      <c r="L692" s="75">
        <v>213.72340425531914</v>
      </c>
      <c r="M692" s="76">
        <v>322.8852844238281</v>
      </c>
      <c r="N692" s="76">
        <v>8642.33984375</v>
      </c>
      <c r="O692" s="77"/>
      <c r="P692" s="78"/>
      <c r="Q692" s="78"/>
      <c r="R692" s="82"/>
      <c r="S692" s="48"/>
      <c r="T692" s="48"/>
      <c r="U692" s="49"/>
      <c r="V692" s="49"/>
      <c r="W692" s="49"/>
      <c r="X692" s="49"/>
      <c r="Y692" s="49"/>
      <c r="Z692" s="49"/>
      <c r="AA692" s="73">
        <v>692</v>
      </c>
      <c r="AB692" s="73"/>
      <c r="AC692" s="74"/>
      <c r="AD692" s="80" t="s">
        <v>1525</v>
      </c>
      <c r="AE692" s="80" t="s">
        <v>1525</v>
      </c>
      <c r="AF692" s="80" t="s">
        <v>2761</v>
      </c>
      <c r="AG692" s="80" t="s">
        <v>3280</v>
      </c>
      <c r="AH692" s="80" t="s">
        <v>3939</v>
      </c>
      <c r="AI692" s="80">
        <v>452</v>
      </c>
      <c r="AJ692" s="80">
        <v>0</v>
      </c>
      <c r="AK692" s="80">
        <v>0</v>
      </c>
      <c r="AL692" s="80">
        <v>0</v>
      </c>
      <c r="AM692" s="80" t="s">
        <v>4098</v>
      </c>
      <c r="AN692" s="96" t="str">
        <f>HYPERLINK("https://www.youtube.com/watch?v=79OIG0eFoBM")</f>
        <v>https://www.youtube.com/watch?v=79OIG0eFoBM</v>
      </c>
      <c r="AO692" s="80" t="e">
        <f>REPLACE(INDEX(GroupVertices[Group],MATCH(Vertices[[#This Row],[Vertex]],GroupVertices[Vertex],0)),1,1,"")</f>
        <v>#N/A</v>
      </c>
      <c r="AP692" s="48"/>
      <c r="AQ692" s="49"/>
      <c r="AR692" s="48"/>
      <c r="AS692" s="49"/>
      <c r="AT692" s="48"/>
      <c r="AU692" s="49"/>
      <c r="AV692" s="48"/>
      <c r="AW692" s="49"/>
      <c r="AX692" s="48"/>
      <c r="AY692" s="48"/>
      <c r="AZ692" s="48"/>
      <c r="BA692" s="48"/>
      <c r="BB692" s="48"/>
      <c r="BC692" s="2"/>
      <c r="BD692" s="3"/>
      <c r="BE692" s="3"/>
      <c r="BF692" s="3"/>
      <c r="BG692" s="3"/>
    </row>
    <row r="693" spans="1:59" ht="15">
      <c r="A693" s="66" t="s">
        <v>286</v>
      </c>
      <c r="B693" s="67" t="s">
        <v>4461</v>
      </c>
      <c r="C693" s="67"/>
      <c r="D693" s="68">
        <v>319.65941810595564</v>
      </c>
      <c r="E693" s="70"/>
      <c r="F693" s="97" t="str">
        <f>HYPERLINK("https://i.ytimg.com/vi/ULKnOpD1vUg/default.jpg")</f>
        <v>https://i.ytimg.com/vi/ULKnOpD1vUg/default.jpg</v>
      </c>
      <c r="G693" s="120" t="s">
        <v>52</v>
      </c>
      <c r="H693" s="71" t="s">
        <v>983</v>
      </c>
      <c r="I693" s="72"/>
      <c r="J693" s="72" t="s">
        <v>159</v>
      </c>
      <c r="K693" s="71" t="s">
        <v>983</v>
      </c>
      <c r="L693" s="75">
        <v>213.72340425531914</v>
      </c>
      <c r="M693" s="76">
        <v>6162.2705078125</v>
      </c>
      <c r="N693" s="76">
        <v>7168.2890625</v>
      </c>
      <c r="O693" s="77"/>
      <c r="P693" s="78"/>
      <c r="Q693" s="78"/>
      <c r="R693" s="82"/>
      <c r="S693" s="48"/>
      <c r="T693" s="48"/>
      <c r="U693" s="49"/>
      <c r="V693" s="49"/>
      <c r="W693" s="49"/>
      <c r="X693" s="49"/>
      <c r="Y693" s="49"/>
      <c r="Z693" s="49"/>
      <c r="AA693" s="73">
        <v>693</v>
      </c>
      <c r="AB693" s="73"/>
      <c r="AC693" s="74"/>
      <c r="AD693" s="80" t="s">
        <v>983</v>
      </c>
      <c r="AE693" s="80" t="s">
        <v>1706</v>
      </c>
      <c r="AF693" s="80" t="s">
        <v>2338</v>
      </c>
      <c r="AG693" s="80" t="s">
        <v>2913</v>
      </c>
      <c r="AH693" s="80" t="s">
        <v>3398</v>
      </c>
      <c r="AI693" s="80">
        <v>438</v>
      </c>
      <c r="AJ693" s="80">
        <v>0</v>
      </c>
      <c r="AK693" s="80">
        <v>0</v>
      </c>
      <c r="AL693" s="80">
        <v>0</v>
      </c>
      <c r="AM693" s="80" t="s">
        <v>4098</v>
      </c>
      <c r="AN693" s="96" t="str">
        <f>HYPERLINK("https://www.youtube.com/watch?v=ULKnOpD1vUg")</f>
        <v>https://www.youtube.com/watch?v=ULKnOpD1vUg</v>
      </c>
      <c r="AO693" s="80" t="e">
        <f>REPLACE(INDEX(GroupVertices[Group],MATCH(Vertices[[#This Row],[Vertex]],GroupVertices[Vertex],0)),1,1,"")</f>
        <v>#N/A</v>
      </c>
      <c r="AP693" s="48"/>
      <c r="AQ693" s="49"/>
      <c r="AR693" s="48"/>
      <c r="AS693" s="49"/>
      <c r="AT693" s="48"/>
      <c r="AU693" s="49"/>
      <c r="AV693" s="48"/>
      <c r="AW693" s="49"/>
      <c r="AX693" s="48"/>
      <c r="AY693" s="48"/>
      <c r="AZ693" s="48"/>
      <c r="BA693" s="48"/>
      <c r="BB693" s="48"/>
      <c r="BC693" s="2"/>
      <c r="BD693" s="3"/>
      <c r="BE693" s="3"/>
      <c r="BF693" s="3"/>
      <c r="BG693" s="3"/>
    </row>
    <row r="694" spans="1:59" ht="15">
      <c r="A694" s="66" t="s">
        <v>855</v>
      </c>
      <c r="B694" s="67" t="s">
        <v>4461</v>
      </c>
      <c r="C694" s="67"/>
      <c r="D694" s="68">
        <v>316.77565107721125</v>
      </c>
      <c r="E694" s="70"/>
      <c r="F694" s="97" t="str">
        <f>HYPERLINK("https://i.ytimg.com/vi/5ZW7GoIFTP4/default.jpg")</f>
        <v>https://i.ytimg.com/vi/5ZW7GoIFTP4/default.jpg</v>
      </c>
      <c r="G694" s="120" t="s">
        <v>52</v>
      </c>
      <c r="H694" s="71" t="s">
        <v>1594</v>
      </c>
      <c r="I694" s="72"/>
      <c r="J694" s="72" t="s">
        <v>159</v>
      </c>
      <c r="K694" s="71" t="s">
        <v>1594</v>
      </c>
      <c r="L694" s="75">
        <v>213.72340425531914</v>
      </c>
      <c r="M694" s="76">
        <v>4824.08935546875</v>
      </c>
      <c r="N694" s="76">
        <v>3151.839599609375</v>
      </c>
      <c r="O694" s="77"/>
      <c r="P694" s="78"/>
      <c r="Q694" s="78"/>
      <c r="R694" s="82"/>
      <c r="S694" s="48"/>
      <c r="T694" s="48"/>
      <c r="U694" s="49"/>
      <c r="V694" s="49"/>
      <c r="W694" s="49"/>
      <c r="X694" s="49"/>
      <c r="Y694" s="49"/>
      <c r="Z694" s="49"/>
      <c r="AA694" s="73">
        <v>694</v>
      </c>
      <c r="AB694" s="73"/>
      <c r="AC694" s="74"/>
      <c r="AD694" s="80" t="s">
        <v>1594</v>
      </c>
      <c r="AE694" s="80"/>
      <c r="AF694" s="80"/>
      <c r="AG694" s="80" t="s">
        <v>3319</v>
      </c>
      <c r="AH694" s="80" t="s">
        <v>4009</v>
      </c>
      <c r="AI694" s="80">
        <v>424</v>
      </c>
      <c r="AJ694" s="80">
        <v>0</v>
      </c>
      <c r="AK694" s="80">
        <v>0</v>
      </c>
      <c r="AL694" s="80">
        <v>0</v>
      </c>
      <c r="AM694" s="80" t="s">
        <v>4098</v>
      </c>
      <c r="AN694" s="96" t="str">
        <f>HYPERLINK("https://www.youtube.com/watch?v=5ZW7GoIFTP4")</f>
        <v>https://www.youtube.com/watch?v=5ZW7GoIFTP4</v>
      </c>
      <c r="AO694" s="80" t="e">
        <f>REPLACE(INDEX(GroupVertices[Group],MATCH(Vertices[[#This Row],[Vertex]],GroupVertices[Vertex],0)),1,1,"")</f>
        <v>#N/A</v>
      </c>
      <c r="AP694" s="48"/>
      <c r="AQ694" s="49"/>
      <c r="AR694" s="48"/>
      <c r="AS694" s="49"/>
      <c r="AT694" s="48"/>
      <c r="AU694" s="49"/>
      <c r="AV694" s="48"/>
      <c r="AW694" s="49"/>
      <c r="AX694" s="48"/>
      <c r="AY694" s="48"/>
      <c r="AZ694" s="48"/>
      <c r="BA694" s="48"/>
      <c r="BB694" s="48"/>
      <c r="BC694" s="2"/>
      <c r="BD694" s="3"/>
      <c r="BE694" s="3"/>
      <c r="BF694" s="3"/>
      <c r="BG694" s="3"/>
    </row>
    <row r="695" spans="1:59" ht="15">
      <c r="A695" s="66" t="s">
        <v>328</v>
      </c>
      <c r="B695" s="67" t="s">
        <v>4461</v>
      </c>
      <c r="C695" s="67"/>
      <c r="D695" s="68">
        <v>314.87107458643106</v>
      </c>
      <c r="E695" s="70"/>
      <c r="F695" s="97" t="str">
        <f>HYPERLINK("https://i.ytimg.com/vi/oip7pG6Z0Bo/default.jpg")</f>
        <v>https://i.ytimg.com/vi/oip7pG6Z0Bo/default.jpg</v>
      </c>
      <c r="G695" s="120" t="s">
        <v>52</v>
      </c>
      <c r="H695" s="71" t="s">
        <v>1029</v>
      </c>
      <c r="I695" s="72"/>
      <c r="J695" s="72" t="s">
        <v>159</v>
      </c>
      <c r="K695" s="71" t="s">
        <v>1029</v>
      </c>
      <c r="L695" s="75">
        <v>213.72340425531914</v>
      </c>
      <c r="M695" s="76">
        <v>5736.43994140625</v>
      </c>
      <c r="N695" s="76">
        <v>2501.697265625</v>
      </c>
      <c r="O695" s="77"/>
      <c r="P695" s="78"/>
      <c r="Q695" s="78"/>
      <c r="R695" s="82"/>
      <c r="S695" s="48"/>
      <c r="T695" s="48"/>
      <c r="U695" s="49"/>
      <c r="V695" s="49"/>
      <c r="W695" s="49"/>
      <c r="X695" s="49"/>
      <c r="Y695" s="49"/>
      <c r="Z695" s="49"/>
      <c r="AA695" s="73">
        <v>695</v>
      </c>
      <c r="AB695" s="73"/>
      <c r="AC695" s="74"/>
      <c r="AD695" s="80" t="s">
        <v>1029</v>
      </c>
      <c r="AE695" s="80" t="s">
        <v>1745</v>
      </c>
      <c r="AF695" s="80" t="s">
        <v>1245</v>
      </c>
      <c r="AG695" s="80" t="s">
        <v>2958</v>
      </c>
      <c r="AH695" s="80" t="s">
        <v>3444</v>
      </c>
      <c r="AI695" s="80">
        <v>415</v>
      </c>
      <c r="AJ695" s="80">
        <v>0</v>
      </c>
      <c r="AK695" s="80">
        <v>1</v>
      </c>
      <c r="AL695" s="80">
        <v>0</v>
      </c>
      <c r="AM695" s="80" t="s">
        <v>4098</v>
      </c>
      <c r="AN695" s="96" t="str">
        <f>HYPERLINK("https://www.youtube.com/watch?v=oip7pG6Z0Bo")</f>
        <v>https://www.youtube.com/watch?v=oip7pG6Z0Bo</v>
      </c>
      <c r="AO695" s="80" t="e">
        <f>REPLACE(INDEX(GroupVertices[Group],MATCH(Vertices[[#This Row],[Vertex]],GroupVertices[Vertex],0)),1,1,"")</f>
        <v>#N/A</v>
      </c>
      <c r="AP695" s="48"/>
      <c r="AQ695" s="49"/>
      <c r="AR695" s="48"/>
      <c r="AS695" s="49"/>
      <c r="AT695" s="48"/>
      <c r="AU695" s="49"/>
      <c r="AV695" s="48"/>
      <c r="AW695" s="49"/>
      <c r="AX695" s="48"/>
      <c r="AY695" s="48"/>
      <c r="AZ695" s="48"/>
      <c r="BA695" s="48"/>
      <c r="BB695" s="48"/>
      <c r="BC695" s="2"/>
      <c r="BD695" s="3"/>
      <c r="BE695" s="3"/>
      <c r="BF695" s="3"/>
      <c r="BG695" s="3"/>
    </row>
    <row r="696" spans="1:59" ht="15">
      <c r="A696" s="66" t="s">
        <v>912</v>
      </c>
      <c r="B696" s="67" t="s">
        <v>4461</v>
      </c>
      <c r="C696" s="67"/>
      <c r="D696" s="68">
        <v>311.82471120143936</v>
      </c>
      <c r="E696" s="70"/>
      <c r="F696" s="97" t="str">
        <f>HYPERLINK("https://i.ytimg.com/vi/Ec0agEZ557k/default.jpg")</f>
        <v>https://i.ytimg.com/vi/Ec0agEZ557k/default.jpg</v>
      </c>
      <c r="G696" s="120" t="s">
        <v>52</v>
      </c>
      <c r="H696" s="71" t="s">
        <v>1650</v>
      </c>
      <c r="I696" s="72"/>
      <c r="J696" s="72" t="s">
        <v>159</v>
      </c>
      <c r="K696" s="71" t="s">
        <v>1650</v>
      </c>
      <c r="L696" s="75">
        <v>213.72340425531914</v>
      </c>
      <c r="M696" s="76">
        <v>1569.7208251953125</v>
      </c>
      <c r="N696" s="76">
        <v>4941.7021484375</v>
      </c>
      <c r="O696" s="77"/>
      <c r="P696" s="78"/>
      <c r="Q696" s="78"/>
      <c r="R696" s="82"/>
      <c r="S696" s="48"/>
      <c r="T696" s="48"/>
      <c r="U696" s="49"/>
      <c r="V696" s="49"/>
      <c r="W696" s="49"/>
      <c r="X696" s="49"/>
      <c r="Y696" s="49"/>
      <c r="Z696" s="49"/>
      <c r="AA696" s="73">
        <v>696</v>
      </c>
      <c r="AB696" s="73"/>
      <c r="AC696" s="74"/>
      <c r="AD696" s="80" t="s">
        <v>1650</v>
      </c>
      <c r="AE696" s="80"/>
      <c r="AF696" s="80" t="s">
        <v>1650</v>
      </c>
      <c r="AG696" s="80" t="s">
        <v>3354</v>
      </c>
      <c r="AH696" s="80" t="s">
        <v>4066</v>
      </c>
      <c r="AI696" s="80">
        <v>401</v>
      </c>
      <c r="AJ696" s="80">
        <v>0</v>
      </c>
      <c r="AK696" s="80">
        <v>1</v>
      </c>
      <c r="AL696" s="80">
        <v>0</v>
      </c>
      <c r="AM696" s="80" t="s">
        <v>4098</v>
      </c>
      <c r="AN696" s="96" t="str">
        <f>HYPERLINK("https://www.youtube.com/watch?v=Ec0agEZ557k")</f>
        <v>https://www.youtube.com/watch?v=Ec0agEZ557k</v>
      </c>
      <c r="AO696" s="80" t="e">
        <f>REPLACE(INDEX(GroupVertices[Group],MATCH(Vertices[[#This Row],[Vertex]],GroupVertices[Vertex],0)),1,1,"")</f>
        <v>#N/A</v>
      </c>
      <c r="AP696" s="48"/>
      <c r="AQ696" s="49"/>
      <c r="AR696" s="48"/>
      <c r="AS696" s="49"/>
      <c r="AT696" s="48"/>
      <c r="AU696" s="49"/>
      <c r="AV696" s="48"/>
      <c r="AW696" s="49"/>
      <c r="AX696" s="48"/>
      <c r="AY696" s="48"/>
      <c r="AZ696" s="48"/>
      <c r="BA696" s="48"/>
      <c r="BB696" s="48"/>
      <c r="BC696" s="2"/>
      <c r="BD696" s="3"/>
      <c r="BE696" s="3"/>
      <c r="BF696" s="3"/>
      <c r="BG696" s="3"/>
    </row>
    <row r="697" spans="1:59" ht="15">
      <c r="A697" s="66" t="s">
        <v>549</v>
      </c>
      <c r="B697" s="67" t="s">
        <v>4461</v>
      </c>
      <c r="C697" s="67"/>
      <c r="D697" s="68">
        <v>300.2551616583229</v>
      </c>
      <c r="E697" s="70"/>
      <c r="F697" s="97" t="str">
        <f>HYPERLINK("https://i.ytimg.com/vi/1xujK01jqWU/default.jpg")</f>
        <v>https://i.ytimg.com/vi/1xujK01jqWU/default.jpg</v>
      </c>
      <c r="G697" s="120" t="s">
        <v>52</v>
      </c>
      <c r="H697" s="71" t="s">
        <v>1281</v>
      </c>
      <c r="I697" s="72"/>
      <c r="J697" s="72" t="s">
        <v>159</v>
      </c>
      <c r="K697" s="71" t="s">
        <v>1281</v>
      </c>
      <c r="L697" s="75">
        <v>213.72340425531914</v>
      </c>
      <c r="M697" s="76">
        <v>3028.950927734375</v>
      </c>
      <c r="N697" s="76">
        <v>7615.16748046875</v>
      </c>
      <c r="O697" s="77"/>
      <c r="P697" s="78"/>
      <c r="Q697" s="78"/>
      <c r="R697" s="82"/>
      <c r="S697" s="48"/>
      <c r="T697" s="48"/>
      <c r="U697" s="49"/>
      <c r="V697" s="49"/>
      <c r="W697" s="49"/>
      <c r="X697" s="49"/>
      <c r="Y697" s="49"/>
      <c r="Z697" s="49"/>
      <c r="AA697" s="73">
        <v>697</v>
      </c>
      <c r="AB697" s="73"/>
      <c r="AC697" s="74"/>
      <c r="AD697" s="80" t="s">
        <v>1281</v>
      </c>
      <c r="AE697" s="80" t="s">
        <v>1955</v>
      </c>
      <c r="AF697" s="80"/>
      <c r="AG697" s="80" t="s">
        <v>2985</v>
      </c>
      <c r="AH697" s="80" t="s">
        <v>3693</v>
      </c>
      <c r="AI697" s="80">
        <v>352</v>
      </c>
      <c r="AJ697" s="80">
        <v>0</v>
      </c>
      <c r="AK697" s="80">
        <v>7</v>
      </c>
      <c r="AL697" s="80">
        <v>0</v>
      </c>
      <c r="AM697" s="80" t="s">
        <v>4098</v>
      </c>
      <c r="AN697" s="96" t="str">
        <f>HYPERLINK("https://www.youtube.com/watch?v=1xujK01jqWU")</f>
        <v>https://www.youtube.com/watch?v=1xujK01jqWU</v>
      </c>
      <c r="AO697" s="80" t="e">
        <f>REPLACE(INDEX(GroupVertices[Group],MATCH(Vertices[[#This Row],[Vertex]],GroupVertices[Vertex],0)),1,1,"")</f>
        <v>#N/A</v>
      </c>
      <c r="AP697" s="48"/>
      <c r="AQ697" s="49"/>
      <c r="AR697" s="48"/>
      <c r="AS697" s="49"/>
      <c r="AT697" s="48"/>
      <c r="AU697" s="49"/>
      <c r="AV697" s="48"/>
      <c r="AW697" s="49"/>
      <c r="AX697" s="48"/>
      <c r="AY697" s="48"/>
      <c r="AZ697" s="48"/>
      <c r="BA697" s="48"/>
      <c r="BB697" s="48"/>
      <c r="BC697" s="2"/>
      <c r="BD697" s="3"/>
      <c r="BE697" s="3"/>
      <c r="BF697" s="3"/>
      <c r="BG697" s="3"/>
    </row>
    <row r="698" spans="1:59" ht="15">
      <c r="A698" s="66" t="s">
        <v>372</v>
      </c>
      <c r="B698" s="67" t="s">
        <v>4461</v>
      </c>
      <c r="C698" s="67"/>
      <c r="D698" s="68">
        <v>300.0026123521551</v>
      </c>
      <c r="E698" s="70"/>
      <c r="F698" s="97" t="str">
        <f>HYPERLINK("https://i.ytimg.com/vi/J4YEA4lugyM/default.jpg")</f>
        <v>https://i.ytimg.com/vi/J4YEA4lugyM/default.jpg</v>
      </c>
      <c r="G698" s="120" t="s">
        <v>52</v>
      </c>
      <c r="H698" s="71" t="s">
        <v>1079</v>
      </c>
      <c r="I698" s="72"/>
      <c r="J698" s="72" t="s">
        <v>159</v>
      </c>
      <c r="K698" s="71" t="s">
        <v>1079</v>
      </c>
      <c r="L698" s="75">
        <v>213.72340425531914</v>
      </c>
      <c r="M698" s="76">
        <v>6783.4755859375</v>
      </c>
      <c r="N698" s="76">
        <v>4148.59814453125</v>
      </c>
      <c r="O698" s="77"/>
      <c r="P698" s="78"/>
      <c r="Q698" s="78"/>
      <c r="R698" s="82"/>
      <c r="S698" s="48"/>
      <c r="T698" s="48"/>
      <c r="U698" s="49"/>
      <c r="V698" s="49"/>
      <c r="W698" s="49"/>
      <c r="X698" s="49"/>
      <c r="Y698" s="49"/>
      <c r="Z698" s="49"/>
      <c r="AA698" s="73">
        <v>698</v>
      </c>
      <c r="AB698" s="73"/>
      <c r="AC698" s="74"/>
      <c r="AD698" s="80" t="s">
        <v>1079</v>
      </c>
      <c r="AE698" s="80"/>
      <c r="AF698" s="80" t="s">
        <v>2413</v>
      </c>
      <c r="AG698" s="80" t="s">
        <v>2987</v>
      </c>
      <c r="AH698" s="80" t="s">
        <v>3492</v>
      </c>
      <c r="AI698" s="80">
        <v>351</v>
      </c>
      <c r="AJ698" s="80">
        <v>0</v>
      </c>
      <c r="AK698" s="80">
        <v>2</v>
      </c>
      <c r="AL698" s="80">
        <v>0</v>
      </c>
      <c r="AM698" s="80" t="s">
        <v>4098</v>
      </c>
      <c r="AN698" s="96" t="str">
        <f>HYPERLINK("https://www.youtube.com/watch?v=J4YEA4lugyM")</f>
        <v>https://www.youtube.com/watch?v=J4YEA4lugyM</v>
      </c>
      <c r="AO698" s="80" t="e">
        <f>REPLACE(INDEX(GroupVertices[Group],MATCH(Vertices[[#This Row],[Vertex]],GroupVertices[Vertex],0)),1,1,"")</f>
        <v>#N/A</v>
      </c>
      <c r="AP698" s="48"/>
      <c r="AQ698" s="49"/>
      <c r="AR698" s="48"/>
      <c r="AS698" s="49"/>
      <c r="AT698" s="48"/>
      <c r="AU698" s="49"/>
      <c r="AV698" s="48"/>
      <c r="AW698" s="49"/>
      <c r="AX698" s="48"/>
      <c r="AY698" s="48"/>
      <c r="AZ698" s="48"/>
      <c r="BA698" s="48"/>
      <c r="BB698" s="48"/>
      <c r="BC698" s="2"/>
      <c r="BD698" s="3"/>
      <c r="BE698" s="3"/>
      <c r="BF698" s="3"/>
      <c r="BG698" s="3"/>
    </row>
    <row r="699" spans="1:59" ht="15">
      <c r="A699" s="66" t="s">
        <v>755</v>
      </c>
      <c r="B699" s="67" t="s">
        <v>4461</v>
      </c>
      <c r="C699" s="67"/>
      <c r="D699" s="68">
        <v>300.0026123521551</v>
      </c>
      <c r="E699" s="70"/>
      <c r="F699" s="97" t="str">
        <f>HYPERLINK("https://i.ytimg.com/vi/ITN_ZReg65U/default.jpg")</f>
        <v>https://i.ytimg.com/vi/ITN_ZReg65U/default.jpg</v>
      </c>
      <c r="G699" s="120" t="s">
        <v>52</v>
      </c>
      <c r="H699" s="71" t="s">
        <v>1495</v>
      </c>
      <c r="I699" s="72"/>
      <c r="J699" s="72" t="s">
        <v>159</v>
      </c>
      <c r="K699" s="71" t="s">
        <v>1495</v>
      </c>
      <c r="L699" s="75">
        <v>213.72340425531914</v>
      </c>
      <c r="M699" s="76">
        <v>4346.78857421875</v>
      </c>
      <c r="N699" s="76">
        <v>9536.130859375</v>
      </c>
      <c r="O699" s="77"/>
      <c r="P699" s="78"/>
      <c r="Q699" s="78"/>
      <c r="R699" s="82"/>
      <c r="S699" s="48"/>
      <c r="T699" s="48"/>
      <c r="U699" s="49"/>
      <c r="V699" s="49"/>
      <c r="W699" s="49"/>
      <c r="X699" s="49"/>
      <c r="Y699" s="49"/>
      <c r="Z699" s="49"/>
      <c r="AA699" s="73">
        <v>699</v>
      </c>
      <c r="AB699" s="73"/>
      <c r="AC699" s="74"/>
      <c r="AD699" s="80" t="s">
        <v>1495</v>
      </c>
      <c r="AE699" s="80"/>
      <c r="AF699" s="80"/>
      <c r="AG699" s="80" t="s">
        <v>3057</v>
      </c>
      <c r="AH699" s="80" t="s">
        <v>3909</v>
      </c>
      <c r="AI699" s="80">
        <v>351</v>
      </c>
      <c r="AJ699" s="80">
        <v>0</v>
      </c>
      <c r="AK699" s="80">
        <v>4</v>
      </c>
      <c r="AL699" s="80">
        <v>0</v>
      </c>
      <c r="AM699" s="80" t="s">
        <v>4098</v>
      </c>
      <c r="AN699" s="96" t="str">
        <f>HYPERLINK("https://www.youtube.com/watch?v=ITN_ZReg65U")</f>
        <v>https://www.youtube.com/watch?v=ITN_ZReg65U</v>
      </c>
      <c r="AO699" s="80" t="e">
        <f>REPLACE(INDEX(GroupVertices[Group],MATCH(Vertices[[#This Row],[Vertex]],GroupVertices[Vertex],0)),1,1,"")</f>
        <v>#N/A</v>
      </c>
      <c r="AP699" s="48"/>
      <c r="AQ699" s="49"/>
      <c r="AR699" s="48"/>
      <c r="AS699" s="49"/>
      <c r="AT699" s="48"/>
      <c r="AU699" s="49"/>
      <c r="AV699" s="48"/>
      <c r="AW699" s="49"/>
      <c r="AX699" s="48"/>
      <c r="AY699" s="48"/>
      <c r="AZ699" s="48"/>
      <c r="BA699" s="48"/>
      <c r="BB699" s="48"/>
      <c r="BC699" s="2"/>
      <c r="BD699" s="3"/>
      <c r="BE699" s="3"/>
      <c r="BF699" s="3"/>
      <c r="BG699" s="3"/>
    </row>
    <row r="700" spans="1:59" ht="15">
      <c r="A700" s="66" t="s">
        <v>548</v>
      </c>
      <c r="B700" s="67" t="s">
        <v>4461</v>
      </c>
      <c r="C700" s="67"/>
      <c r="D700" s="68">
        <v>298.2143586476145</v>
      </c>
      <c r="E700" s="70"/>
      <c r="F700" s="97" t="str">
        <f>HYPERLINK("https://i.ytimg.com/vi/-orYC6iULWk/default.jpg")</f>
        <v>https://i.ytimg.com/vi/-orYC6iULWk/default.jpg</v>
      </c>
      <c r="G700" s="120" t="s">
        <v>52</v>
      </c>
      <c r="H700" s="71" t="s">
        <v>1280</v>
      </c>
      <c r="I700" s="72"/>
      <c r="J700" s="72" t="s">
        <v>159</v>
      </c>
      <c r="K700" s="71" t="s">
        <v>1280</v>
      </c>
      <c r="L700" s="75">
        <v>213.72340425531914</v>
      </c>
      <c r="M700" s="76">
        <v>3102.5126953125</v>
      </c>
      <c r="N700" s="76">
        <v>7263.0869140625</v>
      </c>
      <c r="O700" s="77"/>
      <c r="P700" s="78"/>
      <c r="Q700" s="78"/>
      <c r="R700" s="82"/>
      <c r="S700" s="48"/>
      <c r="T700" s="48"/>
      <c r="U700" s="49"/>
      <c r="V700" s="49"/>
      <c r="W700" s="49"/>
      <c r="X700" s="49"/>
      <c r="Y700" s="49"/>
      <c r="Z700" s="49"/>
      <c r="AA700" s="73">
        <v>700</v>
      </c>
      <c r="AB700" s="73"/>
      <c r="AC700" s="74"/>
      <c r="AD700" s="80" t="s">
        <v>1280</v>
      </c>
      <c r="AE700" s="80" t="s">
        <v>1954</v>
      </c>
      <c r="AF700" s="80" t="s">
        <v>2562</v>
      </c>
      <c r="AG700" s="80" t="s">
        <v>3111</v>
      </c>
      <c r="AH700" s="80" t="s">
        <v>3692</v>
      </c>
      <c r="AI700" s="80">
        <v>344</v>
      </c>
      <c r="AJ700" s="80">
        <v>0</v>
      </c>
      <c r="AK700" s="80">
        <v>6</v>
      </c>
      <c r="AL700" s="80">
        <v>0</v>
      </c>
      <c r="AM700" s="80" t="s">
        <v>4098</v>
      </c>
      <c r="AN700" s="96" t="str">
        <f>HYPERLINK("https://www.youtube.com/watch?v=-orYC6iULWk")</f>
        <v>https://www.youtube.com/watch?v=-orYC6iULWk</v>
      </c>
      <c r="AO700" s="80" t="e">
        <f>REPLACE(INDEX(GroupVertices[Group],MATCH(Vertices[[#This Row],[Vertex]],GroupVertices[Vertex],0)),1,1,"")</f>
        <v>#N/A</v>
      </c>
      <c r="AP700" s="48"/>
      <c r="AQ700" s="49"/>
      <c r="AR700" s="48"/>
      <c r="AS700" s="49"/>
      <c r="AT700" s="48"/>
      <c r="AU700" s="49"/>
      <c r="AV700" s="48"/>
      <c r="AW700" s="49"/>
      <c r="AX700" s="48"/>
      <c r="AY700" s="48"/>
      <c r="AZ700" s="48"/>
      <c r="BA700" s="48"/>
      <c r="BB700" s="48"/>
      <c r="BC700" s="2"/>
      <c r="BD700" s="3"/>
      <c r="BE700" s="3"/>
      <c r="BF700" s="3"/>
      <c r="BG700" s="3"/>
    </row>
    <row r="701" spans="1:59" ht="15">
      <c r="A701" s="66" t="s">
        <v>288</v>
      </c>
      <c r="B701" s="67" t="s">
        <v>4461</v>
      </c>
      <c r="C701" s="67"/>
      <c r="D701" s="68">
        <v>292.62273112758913</v>
      </c>
      <c r="E701" s="70"/>
      <c r="F701" s="97" t="str">
        <f>HYPERLINK("https://i.ytimg.com/vi/nAZTSFDjcxg/default.jpg")</f>
        <v>https://i.ytimg.com/vi/nAZTSFDjcxg/default.jpg</v>
      </c>
      <c r="G701" s="120" t="s">
        <v>52</v>
      </c>
      <c r="H701" s="71" t="s">
        <v>985</v>
      </c>
      <c r="I701" s="72"/>
      <c r="J701" s="72" t="s">
        <v>159</v>
      </c>
      <c r="K701" s="71" t="s">
        <v>985</v>
      </c>
      <c r="L701" s="75">
        <v>213.72340425531914</v>
      </c>
      <c r="M701" s="76">
        <v>5920.2744140625</v>
      </c>
      <c r="N701" s="76">
        <v>7026.72021484375</v>
      </c>
      <c r="O701" s="77"/>
      <c r="P701" s="78"/>
      <c r="Q701" s="78"/>
      <c r="R701" s="82"/>
      <c r="S701" s="48"/>
      <c r="T701" s="48"/>
      <c r="U701" s="49"/>
      <c r="V701" s="49"/>
      <c r="W701" s="49"/>
      <c r="X701" s="49"/>
      <c r="Y701" s="49"/>
      <c r="Z701" s="49"/>
      <c r="AA701" s="73">
        <v>701</v>
      </c>
      <c r="AB701" s="73"/>
      <c r="AC701" s="74"/>
      <c r="AD701" s="80" t="s">
        <v>985</v>
      </c>
      <c r="AE701" s="80" t="s">
        <v>1708</v>
      </c>
      <c r="AF701" s="80" t="s">
        <v>2340</v>
      </c>
      <c r="AG701" s="80" t="s">
        <v>2913</v>
      </c>
      <c r="AH701" s="80" t="s">
        <v>3400</v>
      </c>
      <c r="AI701" s="80">
        <v>323</v>
      </c>
      <c r="AJ701" s="80">
        <v>0</v>
      </c>
      <c r="AK701" s="80">
        <v>2</v>
      </c>
      <c r="AL701" s="80">
        <v>0</v>
      </c>
      <c r="AM701" s="80" t="s">
        <v>4098</v>
      </c>
      <c r="AN701" s="96" t="str">
        <f>HYPERLINK("https://www.youtube.com/watch?v=nAZTSFDjcxg")</f>
        <v>https://www.youtube.com/watch?v=nAZTSFDjcxg</v>
      </c>
      <c r="AO701" s="80" t="e">
        <f>REPLACE(INDEX(GroupVertices[Group],MATCH(Vertices[[#This Row],[Vertex]],GroupVertices[Vertex],0)),1,1,"")</f>
        <v>#N/A</v>
      </c>
      <c r="AP701" s="48"/>
      <c r="AQ701" s="49"/>
      <c r="AR701" s="48"/>
      <c r="AS701" s="49"/>
      <c r="AT701" s="48"/>
      <c r="AU701" s="49"/>
      <c r="AV701" s="48"/>
      <c r="AW701" s="49"/>
      <c r="AX701" s="48"/>
      <c r="AY701" s="48"/>
      <c r="AZ701" s="48"/>
      <c r="BA701" s="48"/>
      <c r="BB701" s="48"/>
      <c r="BC701" s="2"/>
      <c r="BD701" s="3"/>
      <c r="BE701" s="3"/>
      <c r="BF701" s="3"/>
      <c r="BG701" s="3"/>
    </row>
    <row r="702" spans="1:59" ht="15">
      <c r="A702" s="66" t="s">
        <v>401</v>
      </c>
      <c r="B702" s="67" t="s">
        <v>4461</v>
      </c>
      <c r="C702" s="67"/>
      <c r="D702" s="68">
        <v>289.54689199174857</v>
      </c>
      <c r="E702" s="70"/>
      <c r="F702" s="97" t="str">
        <f>HYPERLINK("https://i.ytimg.com/vi/MuUN9Kjqi8k/default.jpg")</f>
        <v>https://i.ytimg.com/vi/MuUN9Kjqi8k/default.jpg</v>
      </c>
      <c r="G702" s="120" t="s">
        <v>52</v>
      </c>
      <c r="H702" s="71" t="s">
        <v>1108</v>
      </c>
      <c r="I702" s="72"/>
      <c r="J702" s="72" t="s">
        <v>159</v>
      </c>
      <c r="K702" s="71" t="s">
        <v>1108</v>
      </c>
      <c r="L702" s="75">
        <v>213.72340425531914</v>
      </c>
      <c r="M702" s="76">
        <v>5813.67138671875</v>
      </c>
      <c r="N702" s="76">
        <v>1171.413818359375</v>
      </c>
      <c r="O702" s="77"/>
      <c r="P702" s="78"/>
      <c r="Q702" s="78"/>
      <c r="R702" s="82"/>
      <c r="S702" s="48"/>
      <c r="T702" s="48"/>
      <c r="U702" s="49"/>
      <c r="V702" s="49"/>
      <c r="W702" s="49"/>
      <c r="X702" s="49"/>
      <c r="Y702" s="49"/>
      <c r="Z702" s="49"/>
      <c r="AA702" s="73">
        <v>702</v>
      </c>
      <c r="AB702" s="73"/>
      <c r="AC702" s="74"/>
      <c r="AD702" s="80" t="s">
        <v>1108</v>
      </c>
      <c r="AE702" s="80" t="s">
        <v>1807</v>
      </c>
      <c r="AF702" s="80" t="s">
        <v>2431</v>
      </c>
      <c r="AG702" s="80" t="s">
        <v>2958</v>
      </c>
      <c r="AH702" s="80" t="s">
        <v>3521</v>
      </c>
      <c r="AI702" s="80">
        <v>312</v>
      </c>
      <c r="AJ702" s="80">
        <v>0</v>
      </c>
      <c r="AK702" s="80">
        <v>3</v>
      </c>
      <c r="AL702" s="80">
        <v>0</v>
      </c>
      <c r="AM702" s="80" t="s">
        <v>4098</v>
      </c>
      <c r="AN702" s="96" t="str">
        <f>HYPERLINK("https://www.youtube.com/watch?v=MuUN9Kjqi8k")</f>
        <v>https://www.youtube.com/watch?v=MuUN9Kjqi8k</v>
      </c>
      <c r="AO702" s="80" t="e">
        <f>REPLACE(INDEX(GroupVertices[Group],MATCH(Vertices[[#This Row],[Vertex]],GroupVertices[Vertex],0)),1,1,"")</f>
        <v>#N/A</v>
      </c>
      <c r="AP702" s="48"/>
      <c r="AQ702" s="49"/>
      <c r="AR702" s="48"/>
      <c r="AS702" s="49"/>
      <c r="AT702" s="48"/>
      <c r="AU702" s="49"/>
      <c r="AV702" s="48"/>
      <c r="AW702" s="49"/>
      <c r="AX702" s="48"/>
      <c r="AY702" s="48"/>
      <c r="AZ702" s="48"/>
      <c r="BA702" s="48"/>
      <c r="BB702" s="48"/>
      <c r="BC702" s="2"/>
      <c r="BD702" s="3"/>
      <c r="BE702" s="3"/>
      <c r="BF702" s="3"/>
      <c r="BG702" s="3"/>
    </row>
    <row r="703" spans="1:59" ht="15">
      <c r="A703" s="66" t="s">
        <v>398</v>
      </c>
      <c r="B703" s="67" t="s">
        <v>4461</v>
      </c>
      <c r="C703" s="67"/>
      <c r="D703" s="68">
        <v>287.2410215364279</v>
      </c>
      <c r="E703" s="70"/>
      <c r="F703" s="97" t="str">
        <f>HYPERLINK("https://i.ytimg.com/vi/KfC2sAps6p8/default.jpg")</f>
        <v>https://i.ytimg.com/vi/KfC2sAps6p8/default.jpg</v>
      </c>
      <c r="G703" s="120" t="s">
        <v>52</v>
      </c>
      <c r="H703" s="71" t="s">
        <v>1105</v>
      </c>
      <c r="I703" s="72"/>
      <c r="J703" s="72" t="s">
        <v>159</v>
      </c>
      <c r="K703" s="71" t="s">
        <v>1105</v>
      </c>
      <c r="L703" s="75">
        <v>213.72340425531914</v>
      </c>
      <c r="M703" s="76">
        <v>4801.55126953125</v>
      </c>
      <c r="N703" s="76">
        <v>154.6724853515625</v>
      </c>
      <c r="O703" s="77"/>
      <c r="P703" s="78"/>
      <c r="Q703" s="78"/>
      <c r="R703" s="82"/>
      <c r="S703" s="48"/>
      <c r="T703" s="48"/>
      <c r="U703" s="49"/>
      <c r="V703" s="49"/>
      <c r="W703" s="49"/>
      <c r="X703" s="49"/>
      <c r="Y703" s="49"/>
      <c r="Z703" s="49"/>
      <c r="AA703" s="73">
        <v>703</v>
      </c>
      <c r="AB703" s="73"/>
      <c r="AC703" s="74"/>
      <c r="AD703" s="80" t="s">
        <v>1105</v>
      </c>
      <c r="AE703" s="80" t="s">
        <v>1805</v>
      </c>
      <c r="AF703" s="80" t="s">
        <v>2429</v>
      </c>
      <c r="AG703" s="80" t="s">
        <v>2958</v>
      </c>
      <c r="AH703" s="80" t="s">
        <v>3518</v>
      </c>
      <c r="AI703" s="80">
        <v>304</v>
      </c>
      <c r="AJ703" s="80">
        <v>0</v>
      </c>
      <c r="AK703" s="80">
        <v>0</v>
      </c>
      <c r="AL703" s="80">
        <v>0</v>
      </c>
      <c r="AM703" s="80" t="s">
        <v>4098</v>
      </c>
      <c r="AN703" s="96" t="str">
        <f>HYPERLINK("https://www.youtube.com/watch?v=KfC2sAps6p8")</f>
        <v>https://www.youtube.com/watch?v=KfC2sAps6p8</v>
      </c>
      <c r="AO703" s="80" t="e">
        <f>REPLACE(INDEX(GroupVertices[Group],MATCH(Vertices[[#This Row],[Vertex]],GroupVertices[Vertex],0)),1,1,"")</f>
        <v>#N/A</v>
      </c>
      <c r="AP703" s="48"/>
      <c r="AQ703" s="49"/>
      <c r="AR703" s="48"/>
      <c r="AS703" s="49"/>
      <c r="AT703" s="48"/>
      <c r="AU703" s="49"/>
      <c r="AV703" s="48"/>
      <c r="AW703" s="49"/>
      <c r="AX703" s="48"/>
      <c r="AY703" s="48"/>
      <c r="AZ703" s="48"/>
      <c r="BA703" s="48"/>
      <c r="BB703" s="48"/>
      <c r="BC703" s="2"/>
      <c r="BD703" s="3"/>
      <c r="BE703" s="3"/>
      <c r="BF703" s="3"/>
      <c r="BG703" s="3"/>
    </row>
    <row r="704" spans="1:59" ht="15">
      <c r="A704" s="66" t="s">
        <v>326</v>
      </c>
      <c r="B704" s="67" t="s">
        <v>4461</v>
      </c>
      <c r="C704" s="67"/>
      <c r="D704" s="68">
        <v>284.8736540081637</v>
      </c>
      <c r="E704" s="70"/>
      <c r="F704" s="97" t="str">
        <f>HYPERLINK("https://i.ytimg.com/vi/Ftssu_5x7Zk/default.jpg")</f>
        <v>https://i.ytimg.com/vi/Ftssu_5x7Zk/default.jpg</v>
      </c>
      <c r="G704" s="120" t="s">
        <v>52</v>
      </c>
      <c r="H704" s="71" t="s">
        <v>1027</v>
      </c>
      <c r="I704" s="72"/>
      <c r="J704" s="72" t="s">
        <v>159</v>
      </c>
      <c r="K704" s="71" t="s">
        <v>1027</v>
      </c>
      <c r="L704" s="75">
        <v>213.72340425531914</v>
      </c>
      <c r="M704" s="76">
        <v>5754.5048828125</v>
      </c>
      <c r="N704" s="76">
        <v>2695.52197265625</v>
      </c>
      <c r="O704" s="77"/>
      <c r="P704" s="78"/>
      <c r="Q704" s="78"/>
      <c r="R704" s="82"/>
      <c r="S704" s="48"/>
      <c r="T704" s="48"/>
      <c r="U704" s="49"/>
      <c r="V704" s="49"/>
      <c r="W704" s="49"/>
      <c r="X704" s="49"/>
      <c r="Y704" s="49"/>
      <c r="Z704" s="49"/>
      <c r="AA704" s="73">
        <v>704</v>
      </c>
      <c r="AB704" s="73"/>
      <c r="AC704" s="74"/>
      <c r="AD704" s="80" t="s">
        <v>1027</v>
      </c>
      <c r="AE704" s="80" t="s">
        <v>1743</v>
      </c>
      <c r="AF704" s="80" t="s">
        <v>2372</v>
      </c>
      <c r="AG704" s="80" t="s">
        <v>2956</v>
      </c>
      <c r="AH704" s="80" t="s">
        <v>3442</v>
      </c>
      <c r="AI704" s="80">
        <v>296</v>
      </c>
      <c r="AJ704" s="80">
        <v>0</v>
      </c>
      <c r="AK704" s="80">
        <v>3</v>
      </c>
      <c r="AL704" s="80">
        <v>0</v>
      </c>
      <c r="AM704" s="80" t="s">
        <v>4098</v>
      </c>
      <c r="AN704" s="96" t="str">
        <f>HYPERLINK("https://www.youtube.com/watch?v=Ftssu_5x7Zk")</f>
        <v>https://www.youtube.com/watch?v=Ftssu_5x7Zk</v>
      </c>
      <c r="AO704" s="80" t="e">
        <f>REPLACE(INDEX(GroupVertices[Group],MATCH(Vertices[[#This Row],[Vertex]],GroupVertices[Vertex],0)),1,1,"")</f>
        <v>#N/A</v>
      </c>
      <c r="AP704" s="48"/>
      <c r="AQ704" s="49"/>
      <c r="AR704" s="48"/>
      <c r="AS704" s="49"/>
      <c r="AT704" s="48"/>
      <c r="AU704" s="49"/>
      <c r="AV704" s="48"/>
      <c r="AW704" s="49"/>
      <c r="AX704" s="48"/>
      <c r="AY704" s="48"/>
      <c r="AZ704" s="48"/>
      <c r="BA704" s="48"/>
      <c r="BB704" s="48"/>
      <c r="BC704" s="2"/>
      <c r="BD704" s="3"/>
      <c r="BE704" s="3"/>
      <c r="BF704" s="3"/>
      <c r="BG704" s="3"/>
    </row>
    <row r="705" spans="1:59" ht="15">
      <c r="A705" s="66" t="s">
        <v>433</v>
      </c>
      <c r="B705" s="67" t="s">
        <v>4461</v>
      </c>
      <c r="C705" s="67"/>
      <c r="D705" s="68">
        <v>284.8736540081637</v>
      </c>
      <c r="E705" s="70"/>
      <c r="F705" s="97" t="str">
        <f>HYPERLINK("https://i.ytimg.com/vi/SUkcT9CYCMQ/default.jpg")</f>
        <v>https://i.ytimg.com/vi/SUkcT9CYCMQ/default.jpg</v>
      </c>
      <c r="G705" s="120" t="s">
        <v>52</v>
      </c>
      <c r="H705" s="71" t="s">
        <v>1141</v>
      </c>
      <c r="I705" s="72"/>
      <c r="J705" s="72" t="s">
        <v>159</v>
      </c>
      <c r="K705" s="71" t="s">
        <v>1141</v>
      </c>
      <c r="L705" s="75">
        <v>213.72340425531914</v>
      </c>
      <c r="M705" s="76">
        <v>8310.7998046875</v>
      </c>
      <c r="N705" s="76">
        <v>5687.06982421875</v>
      </c>
      <c r="O705" s="77"/>
      <c r="P705" s="78"/>
      <c r="Q705" s="78"/>
      <c r="R705" s="82"/>
      <c r="S705" s="48"/>
      <c r="T705" s="48"/>
      <c r="U705" s="49"/>
      <c r="V705" s="49"/>
      <c r="W705" s="49"/>
      <c r="X705" s="49"/>
      <c r="Y705" s="49"/>
      <c r="Z705" s="49"/>
      <c r="AA705" s="73">
        <v>705</v>
      </c>
      <c r="AB705" s="73"/>
      <c r="AC705" s="74"/>
      <c r="AD705" s="80" t="s">
        <v>1141</v>
      </c>
      <c r="AE705" s="80" t="s">
        <v>1833</v>
      </c>
      <c r="AF705" s="80" t="s">
        <v>2456</v>
      </c>
      <c r="AG705" s="80" t="s">
        <v>2907</v>
      </c>
      <c r="AH705" s="80" t="s">
        <v>3554</v>
      </c>
      <c r="AI705" s="80">
        <v>296</v>
      </c>
      <c r="AJ705" s="80">
        <v>0</v>
      </c>
      <c r="AK705" s="80">
        <v>1</v>
      </c>
      <c r="AL705" s="80">
        <v>0</v>
      </c>
      <c r="AM705" s="80" t="s">
        <v>4098</v>
      </c>
      <c r="AN705" s="96" t="str">
        <f>HYPERLINK("https://www.youtube.com/watch?v=SUkcT9CYCMQ")</f>
        <v>https://www.youtube.com/watch?v=SUkcT9CYCMQ</v>
      </c>
      <c r="AO705" s="80" t="e">
        <f>REPLACE(INDEX(GroupVertices[Group],MATCH(Vertices[[#This Row],[Vertex]],GroupVertices[Vertex],0)),1,1,"")</f>
        <v>#N/A</v>
      </c>
      <c r="AP705" s="48"/>
      <c r="AQ705" s="49"/>
      <c r="AR705" s="48"/>
      <c r="AS705" s="49"/>
      <c r="AT705" s="48"/>
      <c r="AU705" s="49"/>
      <c r="AV705" s="48"/>
      <c r="AW705" s="49"/>
      <c r="AX705" s="48"/>
      <c r="AY705" s="48"/>
      <c r="AZ705" s="48"/>
      <c r="BA705" s="48"/>
      <c r="BB705" s="48"/>
      <c r="BC705" s="2"/>
      <c r="BD705" s="3"/>
      <c r="BE705" s="3"/>
      <c r="BF705" s="3"/>
      <c r="BG705" s="3"/>
    </row>
    <row r="706" spans="1:59" ht="15">
      <c r="A706" s="66" t="s">
        <v>357</v>
      </c>
      <c r="B706" s="67" t="s">
        <v>4461</v>
      </c>
      <c r="C706" s="67"/>
      <c r="D706" s="68">
        <v>281.19984610499364</v>
      </c>
      <c r="E706" s="70"/>
      <c r="F706" s="97" t="str">
        <f>HYPERLINK("https://i.ytimg.com/vi/o-D-Duv8Mcs/default.jpg")</f>
        <v>https://i.ytimg.com/vi/o-D-Duv8Mcs/default.jpg</v>
      </c>
      <c r="G706" s="120" t="s">
        <v>52</v>
      </c>
      <c r="H706" s="71" t="s">
        <v>1061</v>
      </c>
      <c r="I706" s="72"/>
      <c r="J706" s="72" t="s">
        <v>159</v>
      </c>
      <c r="K706" s="71" t="s">
        <v>1061</v>
      </c>
      <c r="L706" s="75">
        <v>213.72340425531914</v>
      </c>
      <c r="M706" s="76">
        <v>3624.86181640625</v>
      </c>
      <c r="N706" s="76">
        <v>5870.689453125</v>
      </c>
      <c r="O706" s="77"/>
      <c r="P706" s="78"/>
      <c r="Q706" s="78"/>
      <c r="R706" s="82"/>
      <c r="S706" s="48"/>
      <c r="T706" s="48"/>
      <c r="U706" s="49"/>
      <c r="V706" s="49"/>
      <c r="W706" s="49"/>
      <c r="X706" s="49"/>
      <c r="Y706" s="49"/>
      <c r="Z706" s="49"/>
      <c r="AA706" s="73">
        <v>706</v>
      </c>
      <c r="AB706" s="73"/>
      <c r="AC706" s="74"/>
      <c r="AD706" s="80" t="s">
        <v>1061</v>
      </c>
      <c r="AE706" s="80" t="s">
        <v>1772</v>
      </c>
      <c r="AF706" s="80" t="s">
        <v>2400</v>
      </c>
      <c r="AG706" s="80" t="s">
        <v>2980</v>
      </c>
      <c r="AH706" s="80" t="s">
        <v>3476</v>
      </c>
      <c r="AI706" s="80">
        <v>284</v>
      </c>
      <c r="AJ706" s="80">
        <v>10</v>
      </c>
      <c r="AK706" s="80">
        <v>14</v>
      </c>
      <c r="AL706" s="80">
        <v>0</v>
      </c>
      <c r="AM706" s="80" t="s">
        <v>4098</v>
      </c>
      <c r="AN706" s="96" t="str">
        <f>HYPERLINK("https://www.youtube.com/watch?v=o-D-Duv8Mcs")</f>
        <v>https://www.youtube.com/watch?v=o-D-Duv8Mcs</v>
      </c>
      <c r="AO706" s="80" t="e">
        <f>REPLACE(INDEX(GroupVertices[Group],MATCH(Vertices[[#This Row],[Vertex]],GroupVertices[Vertex],0)),1,1,"")</f>
        <v>#N/A</v>
      </c>
      <c r="AP706" s="48"/>
      <c r="AQ706" s="49"/>
      <c r="AR706" s="48"/>
      <c r="AS706" s="49"/>
      <c r="AT706" s="48"/>
      <c r="AU706" s="49"/>
      <c r="AV706" s="48"/>
      <c r="AW706" s="49"/>
      <c r="AX706" s="48"/>
      <c r="AY706" s="48"/>
      <c r="AZ706" s="48"/>
      <c r="BA706" s="48"/>
      <c r="BB706" s="48"/>
      <c r="BC706" s="2"/>
      <c r="BD706" s="3"/>
      <c r="BE706" s="3"/>
      <c r="BF706" s="3"/>
      <c r="BG706" s="3"/>
    </row>
    <row r="707" spans="1:59" ht="15">
      <c r="A707" s="66" t="s">
        <v>368</v>
      </c>
      <c r="B707" s="67" t="s">
        <v>4461</v>
      </c>
      <c r="C707" s="67"/>
      <c r="D707" s="68">
        <v>281.19984610499364</v>
      </c>
      <c r="E707" s="70"/>
      <c r="F707" s="97" t="str">
        <f>HYPERLINK("https://i.ytimg.com/vi/yl4Pls8RSS4/default.jpg")</f>
        <v>https://i.ytimg.com/vi/yl4Pls8RSS4/default.jpg</v>
      </c>
      <c r="G707" s="120" t="s">
        <v>52</v>
      </c>
      <c r="H707" s="71" t="s">
        <v>1074</v>
      </c>
      <c r="I707" s="72"/>
      <c r="J707" s="72" t="s">
        <v>159</v>
      </c>
      <c r="K707" s="71" t="s">
        <v>1074</v>
      </c>
      <c r="L707" s="75">
        <v>213.72340425531914</v>
      </c>
      <c r="M707" s="76">
        <v>2538.559814453125</v>
      </c>
      <c r="N707" s="76">
        <v>6153.4814453125</v>
      </c>
      <c r="O707" s="77"/>
      <c r="P707" s="78"/>
      <c r="Q707" s="78"/>
      <c r="R707" s="82"/>
      <c r="S707" s="48"/>
      <c r="T707" s="48"/>
      <c r="U707" s="49"/>
      <c r="V707" s="49"/>
      <c r="W707" s="49"/>
      <c r="X707" s="49"/>
      <c r="Y707" s="49"/>
      <c r="Z707" s="49"/>
      <c r="AA707" s="73">
        <v>707</v>
      </c>
      <c r="AB707" s="73"/>
      <c r="AC707" s="74"/>
      <c r="AD707" s="80" t="s">
        <v>1074</v>
      </c>
      <c r="AE707" s="80" t="s">
        <v>1785</v>
      </c>
      <c r="AF707" s="80"/>
      <c r="AG707" s="80" t="s">
        <v>2907</v>
      </c>
      <c r="AH707" s="80" t="s">
        <v>3487</v>
      </c>
      <c r="AI707" s="80">
        <v>284</v>
      </c>
      <c r="AJ707" s="80">
        <v>3</v>
      </c>
      <c r="AK707" s="80">
        <v>12</v>
      </c>
      <c r="AL707" s="80">
        <v>0</v>
      </c>
      <c r="AM707" s="80" t="s">
        <v>4098</v>
      </c>
      <c r="AN707" s="96" t="str">
        <f>HYPERLINK("https://www.youtube.com/watch?v=yl4Pls8RSS4")</f>
        <v>https://www.youtube.com/watch?v=yl4Pls8RSS4</v>
      </c>
      <c r="AO707" s="80" t="e">
        <f>REPLACE(INDEX(GroupVertices[Group],MATCH(Vertices[[#This Row],[Vertex]],GroupVertices[Vertex],0)),1,1,"")</f>
        <v>#N/A</v>
      </c>
      <c r="AP707" s="48"/>
      <c r="AQ707" s="49"/>
      <c r="AR707" s="48"/>
      <c r="AS707" s="49"/>
      <c r="AT707" s="48"/>
      <c r="AU707" s="49"/>
      <c r="AV707" s="48"/>
      <c r="AW707" s="49"/>
      <c r="AX707" s="48"/>
      <c r="AY707" s="48"/>
      <c r="AZ707" s="48"/>
      <c r="BA707" s="48"/>
      <c r="BB707" s="48"/>
      <c r="BC707" s="2"/>
      <c r="BD707" s="3"/>
      <c r="BE707" s="3"/>
      <c r="BF707" s="3"/>
      <c r="BG707" s="3"/>
    </row>
    <row r="708" spans="1:59" ht="15">
      <c r="A708" s="66" t="s">
        <v>524</v>
      </c>
      <c r="B708" s="67" t="s">
        <v>4461</v>
      </c>
      <c r="C708" s="67"/>
      <c r="D708" s="68">
        <v>264.3876156619491</v>
      </c>
      <c r="E708" s="70"/>
      <c r="F708" s="97" t="str">
        <f>HYPERLINK("https://i.ytimg.com/vi/2Ew5iFYqgU0/default.jpg")</f>
        <v>https://i.ytimg.com/vi/2Ew5iFYqgU0/default.jpg</v>
      </c>
      <c r="G708" s="120" t="s">
        <v>52</v>
      </c>
      <c r="H708" s="71" t="s">
        <v>1255</v>
      </c>
      <c r="I708" s="72"/>
      <c r="J708" s="72" t="s">
        <v>159</v>
      </c>
      <c r="K708" s="71" t="s">
        <v>1255</v>
      </c>
      <c r="L708" s="75">
        <v>213.72340425531914</v>
      </c>
      <c r="M708" s="76">
        <v>9642.2265625</v>
      </c>
      <c r="N708" s="76">
        <v>8945.12890625</v>
      </c>
      <c r="O708" s="77"/>
      <c r="P708" s="78"/>
      <c r="Q708" s="78"/>
      <c r="R708" s="82"/>
      <c r="S708" s="48"/>
      <c r="T708" s="48"/>
      <c r="U708" s="49"/>
      <c r="V708" s="49"/>
      <c r="W708" s="49"/>
      <c r="X708" s="49"/>
      <c r="Y708" s="49"/>
      <c r="Z708" s="49"/>
      <c r="AA708" s="73">
        <v>708</v>
      </c>
      <c r="AB708" s="73"/>
      <c r="AC708" s="74"/>
      <c r="AD708" s="80" t="s">
        <v>1255</v>
      </c>
      <c r="AE708" s="80"/>
      <c r="AF708" s="80" t="s">
        <v>2542</v>
      </c>
      <c r="AG708" s="80" t="s">
        <v>3092</v>
      </c>
      <c r="AH708" s="80" t="s">
        <v>3667</v>
      </c>
      <c r="AI708" s="80">
        <v>235</v>
      </c>
      <c r="AJ708" s="80">
        <v>0</v>
      </c>
      <c r="AK708" s="80">
        <v>0</v>
      </c>
      <c r="AL708" s="80">
        <v>0</v>
      </c>
      <c r="AM708" s="80" t="s">
        <v>4098</v>
      </c>
      <c r="AN708" s="96" t="str">
        <f>HYPERLINK("https://www.youtube.com/watch?v=2Ew5iFYqgU0")</f>
        <v>https://www.youtube.com/watch?v=2Ew5iFYqgU0</v>
      </c>
      <c r="AO708" s="80" t="e">
        <f>REPLACE(INDEX(GroupVertices[Group],MATCH(Vertices[[#This Row],[Vertex]],GroupVertices[Vertex],0)),1,1,"")</f>
        <v>#N/A</v>
      </c>
      <c r="AP708" s="48"/>
      <c r="AQ708" s="49"/>
      <c r="AR708" s="48"/>
      <c r="AS708" s="49"/>
      <c r="AT708" s="48"/>
      <c r="AU708" s="49"/>
      <c r="AV708" s="48"/>
      <c r="AW708" s="49"/>
      <c r="AX708" s="48"/>
      <c r="AY708" s="48"/>
      <c r="AZ708" s="48"/>
      <c r="BA708" s="48"/>
      <c r="BB708" s="48"/>
      <c r="BC708" s="2"/>
      <c r="BD708" s="3"/>
      <c r="BE708" s="3"/>
      <c r="BF708" s="3"/>
      <c r="BG708" s="3"/>
    </row>
    <row r="709" spans="1:59" ht="15">
      <c r="A709" s="66" t="s">
        <v>564</v>
      </c>
      <c r="B709" s="67" t="s">
        <v>4461</v>
      </c>
      <c r="C709" s="67"/>
      <c r="D709" s="68">
        <v>257.31361626412246</v>
      </c>
      <c r="E709" s="70"/>
      <c r="F709" s="97" t="str">
        <f>HYPERLINK("https://i.ytimg.com/vi/UrOS2ej9iyU/default.jpg")</f>
        <v>https://i.ytimg.com/vi/UrOS2ej9iyU/default.jpg</v>
      </c>
      <c r="G709" s="120" t="s">
        <v>52</v>
      </c>
      <c r="H709" s="71" t="s">
        <v>1299</v>
      </c>
      <c r="I709" s="72"/>
      <c r="J709" s="72" t="s">
        <v>159</v>
      </c>
      <c r="K709" s="71" t="s">
        <v>1299</v>
      </c>
      <c r="L709" s="75">
        <v>213.72340425531914</v>
      </c>
      <c r="M709" s="76">
        <v>159.1960906982422</v>
      </c>
      <c r="N709" s="76">
        <v>6790.63671875</v>
      </c>
      <c r="O709" s="77"/>
      <c r="P709" s="78"/>
      <c r="Q709" s="78"/>
      <c r="R709" s="82"/>
      <c r="S709" s="48"/>
      <c r="T709" s="48"/>
      <c r="U709" s="49"/>
      <c r="V709" s="49"/>
      <c r="W709" s="49"/>
      <c r="X709" s="49"/>
      <c r="Y709" s="49"/>
      <c r="Z709" s="49"/>
      <c r="AA709" s="73">
        <v>709</v>
      </c>
      <c r="AB709" s="73"/>
      <c r="AC709" s="74"/>
      <c r="AD709" s="80" t="s">
        <v>1299</v>
      </c>
      <c r="AE709" s="80" t="s">
        <v>1971</v>
      </c>
      <c r="AF709" s="80"/>
      <c r="AG709" s="80" t="s">
        <v>2904</v>
      </c>
      <c r="AH709" s="80" t="s">
        <v>3711</v>
      </c>
      <c r="AI709" s="80">
        <v>217</v>
      </c>
      <c r="AJ709" s="80">
        <v>4</v>
      </c>
      <c r="AK709" s="80">
        <v>3</v>
      </c>
      <c r="AL709" s="80">
        <v>0</v>
      </c>
      <c r="AM709" s="80" t="s">
        <v>4098</v>
      </c>
      <c r="AN709" s="96" t="str">
        <f>HYPERLINK("https://www.youtube.com/watch?v=UrOS2ej9iyU")</f>
        <v>https://www.youtube.com/watch?v=UrOS2ej9iyU</v>
      </c>
      <c r="AO709" s="80" t="e">
        <f>REPLACE(INDEX(GroupVertices[Group],MATCH(Vertices[[#This Row],[Vertex]],GroupVertices[Vertex],0)),1,1,"")</f>
        <v>#N/A</v>
      </c>
      <c r="AP709" s="48"/>
      <c r="AQ709" s="49"/>
      <c r="AR709" s="48"/>
      <c r="AS709" s="49"/>
      <c r="AT709" s="48"/>
      <c r="AU709" s="49"/>
      <c r="AV709" s="48"/>
      <c r="AW709" s="49"/>
      <c r="AX709" s="48"/>
      <c r="AY709" s="48"/>
      <c r="AZ709" s="48"/>
      <c r="BA709" s="48"/>
      <c r="BB709" s="48"/>
      <c r="BC709" s="2"/>
      <c r="BD709" s="3"/>
      <c r="BE709" s="3"/>
      <c r="BF709" s="3"/>
      <c r="BG709" s="3"/>
    </row>
    <row r="710" spans="1:59" ht="15">
      <c r="A710" s="66" t="s">
        <v>405</v>
      </c>
      <c r="B710" s="67" t="s">
        <v>4461</v>
      </c>
      <c r="C710" s="67"/>
      <c r="D710" s="68">
        <v>247.82418983533432</v>
      </c>
      <c r="E710" s="70"/>
      <c r="F710" s="97" t="str">
        <f>HYPERLINK("https://i.ytimg.com/vi/qpZoZ1YbDqU/default.jpg")</f>
        <v>https://i.ytimg.com/vi/qpZoZ1YbDqU/default.jpg</v>
      </c>
      <c r="G710" s="120" t="s">
        <v>52</v>
      </c>
      <c r="H710" s="71" t="s">
        <v>1112</v>
      </c>
      <c r="I710" s="72"/>
      <c r="J710" s="72" t="s">
        <v>159</v>
      </c>
      <c r="K710" s="71" t="s">
        <v>1112</v>
      </c>
      <c r="L710" s="75">
        <v>213.72340425531914</v>
      </c>
      <c r="M710" s="76">
        <v>5922.8759765625</v>
      </c>
      <c r="N710" s="76">
        <v>817.0811157226562</v>
      </c>
      <c r="O710" s="77"/>
      <c r="P710" s="78"/>
      <c r="Q710" s="78"/>
      <c r="R710" s="82"/>
      <c r="S710" s="48"/>
      <c r="T710" s="48"/>
      <c r="U710" s="49"/>
      <c r="V710" s="49"/>
      <c r="W710" s="49"/>
      <c r="X710" s="49"/>
      <c r="Y710" s="49"/>
      <c r="Z710" s="49"/>
      <c r="AA710" s="73">
        <v>710</v>
      </c>
      <c r="AB710" s="73"/>
      <c r="AC710" s="74"/>
      <c r="AD710" s="80" t="s">
        <v>1112</v>
      </c>
      <c r="AE710" s="80" t="s">
        <v>1810</v>
      </c>
      <c r="AF710" s="80"/>
      <c r="AG710" s="80" t="s">
        <v>2958</v>
      </c>
      <c r="AH710" s="80" t="s">
        <v>3525</v>
      </c>
      <c r="AI710" s="80">
        <v>195</v>
      </c>
      <c r="AJ710" s="80">
        <v>0</v>
      </c>
      <c r="AK710" s="80">
        <v>9</v>
      </c>
      <c r="AL710" s="80">
        <v>0</v>
      </c>
      <c r="AM710" s="80" t="s">
        <v>4098</v>
      </c>
      <c r="AN710" s="96" t="str">
        <f>HYPERLINK("https://www.youtube.com/watch?v=qpZoZ1YbDqU")</f>
        <v>https://www.youtube.com/watch?v=qpZoZ1YbDqU</v>
      </c>
      <c r="AO710" s="80" t="e">
        <f>REPLACE(INDEX(GroupVertices[Group],MATCH(Vertices[[#This Row],[Vertex]],GroupVertices[Vertex],0)),1,1,"")</f>
        <v>#N/A</v>
      </c>
      <c r="AP710" s="48"/>
      <c r="AQ710" s="49"/>
      <c r="AR710" s="48"/>
      <c r="AS710" s="49"/>
      <c r="AT710" s="48"/>
      <c r="AU710" s="49"/>
      <c r="AV710" s="48"/>
      <c r="AW710" s="49"/>
      <c r="AX710" s="48"/>
      <c r="AY710" s="48"/>
      <c r="AZ710" s="48"/>
      <c r="BA710" s="48"/>
      <c r="BB710" s="48"/>
      <c r="BC710" s="2"/>
      <c r="BD710" s="3"/>
      <c r="BE710" s="3"/>
      <c r="BF710" s="3"/>
      <c r="BG710" s="3"/>
    </row>
    <row r="711" spans="1:59" ht="15">
      <c r="A711" s="66" t="s">
        <v>461</v>
      </c>
      <c r="B711" s="67" t="s">
        <v>4461</v>
      </c>
      <c r="C711" s="67"/>
      <c r="D711" s="68">
        <v>244.57893472782882</v>
      </c>
      <c r="E711" s="70"/>
      <c r="F711" s="97" t="str">
        <f>HYPERLINK("https://i.ytimg.com/vi/LO7_WciyJuY/default.jpg")</f>
        <v>https://i.ytimg.com/vi/LO7_WciyJuY/default.jpg</v>
      </c>
      <c r="G711" s="120" t="s">
        <v>52</v>
      </c>
      <c r="H711" s="71" t="s">
        <v>1172</v>
      </c>
      <c r="I711" s="72"/>
      <c r="J711" s="72" t="s">
        <v>159</v>
      </c>
      <c r="K711" s="71" t="s">
        <v>1172</v>
      </c>
      <c r="L711" s="75">
        <v>213.72340425531914</v>
      </c>
      <c r="M711" s="76">
        <v>3539.907958984375</v>
      </c>
      <c r="N711" s="76">
        <v>2304.7578125</v>
      </c>
      <c r="O711" s="77"/>
      <c r="P711" s="78"/>
      <c r="Q711" s="78"/>
      <c r="R711" s="82"/>
      <c r="S711" s="48"/>
      <c r="T711" s="48"/>
      <c r="U711" s="49"/>
      <c r="V711" s="49"/>
      <c r="W711" s="49"/>
      <c r="X711" s="49"/>
      <c r="Y711" s="49"/>
      <c r="Z711" s="49"/>
      <c r="AA711" s="73">
        <v>711</v>
      </c>
      <c r="AB711" s="73"/>
      <c r="AC711" s="74"/>
      <c r="AD711" s="80" t="s">
        <v>1172</v>
      </c>
      <c r="AE711" s="80" t="s">
        <v>1861</v>
      </c>
      <c r="AF711" s="80"/>
      <c r="AG711" s="80" t="s">
        <v>3039</v>
      </c>
      <c r="AH711" s="80" t="s">
        <v>3585</v>
      </c>
      <c r="AI711" s="80">
        <v>188</v>
      </c>
      <c r="AJ711" s="80">
        <v>0</v>
      </c>
      <c r="AK711" s="80">
        <v>0</v>
      </c>
      <c r="AL711" s="80">
        <v>0</v>
      </c>
      <c r="AM711" s="80" t="s">
        <v>4098</v>
      </c>
      <c r="AN711" s="96" t="str">
        <f>HYPERLINK("https://www.youtube.com/watch?v=LO7_WciyJuY")</f>
        <v>https://www.youtube.com/watch?v=LO7_WciyJuY</v>
      </c>
      <c r="AO711" s="80" t="e">
        <f>REPLACE(INDEX(GroupVertices[Group],MATCH(Vertices[[#This Row],[Vertex]],GroupVertices[Vertex],0)),1,1,"")</f>
        <v>#N/A</v>
      </c>
      <c r="AP711" s="48"/>
      <c r="AQ711" s="49"/>
      <c r="AR711" s="48"/>
      <c r="AS711" s="49"/>
      <c r="AT711" s="48"/>
      <c r="AU711" s="49"/>
      <c r="AV711" s="48"/>
      <c r="AW711" s="49"/>
      <c r="AX711" s="48"/>
      <c r="AY711" s="48"/>
      <c r="AZ711" s="48"/>
      <c r="BA711" s="48"/>
      <c r="BB711" s="48"/>
      <c r="BC711" s="2"/>
      <c r="BD711" s="3"/>
      <c r="BE711" s="3"/>
      <c r="BF711" s="3"/>
      <c r="BG711" s="3"/>
    </row>
    <row r="712" spans="1:59" ht="15">
      <c r="A712" s="66" t="s">
        <v>399</v>
      </c>
      <c r="B712" s="67" t="s">
        <v>4461</v>
      </c>
      <c r="C712" s="67"/>
      <c r="D712" s="68">
        <v>235.644706162794</v>
      </c>
      <c r="E712" s="70"/>
      <c r="F712" s="97" t="str">
        <f>HYPERLINK("https://i.ytimg.com/vi/MsntmXceGjk/default.jpg")</f>
        <v>https://i.ytimg.com/vi/MsntmXceGjk/default.jpg</v>
      </c>
      <c r="G712" s="120" t="s">
        <v>52</v>
      </c>
      <c r="H712" s="71" t="s">
        <v>1106</v>
      </c>
      <c r="I712" s="72"/>
      <c r="J712" s="72" t="s">
        <v>159</v>
      </c>
      <c r="K712" s="71" t="s">
        <v>1106</v>
      </c>
      <c r="L712" s="75">
        <v>213.72340425531914</v>
      </c>
      <c r="M712" s="76">
        <v>5604.30517578125</v>
      </c>
      <c r="N712" s="76">
        <v>412.0184326171875</v>
      </c>
      <c r="O712" s="77"/>
      <c r="P712" s="78"/>
      <c r="Q712" s="78"/>
      <c r="R712" s="82"/>
      <c r="S712" s="48"/>
      <c r="T712" s="48"/>
      <c r="U712" s="49"/>
      <c r="V712" s="49"/>
      <c r="W712" s="49"/>
      <c r="X712" s="49"/>
      <c r="Y712" s="49"/>
      <c r="Z712" s="49"/>
      <c r="AA712" s="73">
        <v>712</v>
      </c>
      <c r="AB712" s="73"/>
      <c r="AC712" s="74"/>
      <c r="AD712" s="80" t="s">
        <v>1106</v>
      </c>
      <c r="AE712" s="80" t="s">
        <v>1806</v>
      </c>
      <c r="AF712" s="80" t="s">
        <v>2430</v>
      </c>
      <c r="AG712" s="80" t="s">
        <v>2958</v>
      </c>
      <c r="AH712" s="80" t="s">
        <v>3519</v>
      </c>
      <c r="AI712" s="80">
        <v>170</v>
      </c>
      <c r="AJ712" s="80">
        <v>0</v>
      </c>
      <c r="AK712" s="80">
        <v>1</v>
      </c>
      <c r="AL712" s="80">
        <v>0</v>
      </c>
      <c r="AM712" s="80" t="s">
        <v>4098</v>
      </c>
      <c r="AN712" s="96" t="str">
        <f>HYPERLINK("https://www.youtube.com/watch?v=MsntmXceGjk")</f>
        <v>https://www.youtube.com/watch?v=MsntmXceGjk</v>
      </c>
      <c r="AO712" s="80" t="e">
        <f>REPLACE(INDEX(GroupVertices[Group],MATCH(Vertices[[#This Row],[Vertex]],GroupVertices[Vertex],0)),1,1,"")</f>
        <v>#N/A</v>
      </c>
      <c r="AP712" s="48"/>
      <c r="AQ712" s="49"/>
      <c r="AR712" s="48"/>
      <c r="AS712" s="49"/>
      <c r="AT712" s="48"/>
      <c r="AU712" s="49"/>
      <c r="AV712" s="48"/>
      <c r="AW712" s="49"/>
      <c r="AX712" s="48"/>
      <c r="AY712" s="48"/>
      <c r="AZ712" s="48"/>
      <c r="BA712" s="48"/>
      <c r="BB712" s="48"/>
      <c r="BC712" s="2"/>
      <c r="BD712" s="3"/>
      <c r="BE712" s="3"/>
      <c r="BF712" s="3"/>
      <c r="BG712" s="3"/>
    </row>
    <row r="713" spans="1:59" ht="15">
      <c r="A713" s="66" t="s">
        <v>403</v>
      </c>
      <c r="B713" s="67" t="s">
        <v>4461</v>
      </c>
      <c r="C713" s="67"/>
      <c r="D713" s="68">
        <v>234.59414927160356</v>
      </c>
      <c r="E713" s="70"/>
      <c r="F713" s="97" t="str">
        <f>HYPERLINK("https://i.ytimg.com/vi/xD1C4vypfKc/default.jpg")</f>
        <v>https://i.ytimg.com/vi/xD1C4vypfKc/default.jpg</v>
      </c>
      <c r="G713" s="120" t="s">
        <v>52</v>
      </c>
      <c r="H713" s="71" t="s">
        <v>1110</v>
      </c>
      <c r="I713" s="72"/>
      <c r="J713" s="72" t="s">
        <v>159</v>
      </c>
      <c r="K713" s="71" t="s">
        <v>1110</v>
      </c>
      <c r="L713" s="75">
        <v>213.72340425531914</v>
      </c>
      <c r="M713" s="76">
        <v>4114.6640625</v>
      </c>
      <c r="N713" s="76">
        <v>337.0452880859375</v>
      </c>
      <c r="O713" s="77"/>
      <c r="P713" s="78"/>
      <c r="Q713" s="78"/>
      <c r="R713" s="82"/>
      <c r="S713" s="48"/>
      <c r="T713" s="48"/>
      <c r="U713" s="49"/>
      <c r="V713" s="49"/>
      <c r="W713" s="49"/>
      <c r="X713" s="49"/>
      <c r="Y713" s="49"/>
      <c r="Z713" s="49"/>
      <c r="AA713" s="73">
        <v>713</v>
      </c>
      <c r="AB713" s="73"/>
      <c r="AC713" s="74"/>
      <c r="AD713" s="80" t="s">
        <v>1110</v>
      </c>
      <c r="AE713" s="80" t="s">
        <v>1809</v>
      </c>
      <c r="AF713" s="80" t="s">
        <v>2432</v>
      </c>
      <c r="AG713" s="80" t="s">
        <v>2958</v>
      </c>
      <c r="AH713" s="80" t="s">
        <v>3523</v>
      </c>
      <c r="AI713" s="80">
        <v>168</v>
      </c>
      <c r="AJ713" s="80">
        <v>0</v>
      </c>
      <c r="AK713" s="80">
        <v>3</v>
      </c>
      <c r="AL713" s="80">
        <v>0</v>
      </c>
      <c r="AM713" s="80" t="s">
        <v>4098</v>
      </c>
      <c r="AN713" s="96" t="str">
        <f>HYPERLINK("https://www.youtube.com/watch?v=xD1C4vypfKc")</f>
        <v>https://www.youtube.com/watch?v=xD1C4vypfKc</v>
      </c>
      <c r="AO713" s="80" t="e">
        <f>REPLACE(INDEX(GroupVertices[Group],MATCH(Vertices[[#This Row],[Vertex]],GroupVertices[Vertex],0)),1,1,"")</f>
        <v>#N/A</v>
      </c>
      <c r="AP713" s="48"/>
      <c r="AQ713" s="49"/>
      <c r="AR713" s="48"/>
      <c r="AS713" s="49"/>
      <c r="AT713" s="48"/>
      <c r="AU713" s="49"/>
      <c r="AV713" s="48"/>
      <c r="AW713" s="49"/>
      <c r="AX713" s="48"/>
      <c r="AY713" s="48"/>
      <c r="AZ713" s="48"/>
      <c r="BA713" s="48"/>
      <c r="BB713" s="48"/>
      <c r="BC713" s="2"/>
      <c r="BD713" s="3"/>
      <c r="BE713" s="3"/>
      <c r="BF713" s="3"/>
      <c r="BG713" s="3"/>
    </row>
    <row r="714" spans="1:59" ht="15">
      <c r="A714" s="66" t="s">
        <v>304</v>
      </c>
      <c r="B714" s="67" t="s">
        <v>4461</v>
      </c>
      <c r="C714" s="67"/>
      <c r="D714" s="68">
        <v>223.34227091762915</v>
      </c>
      <c r="E714" s="70"/>
      <c r="F714" s="97" t="str">
        <f>HYPERLINK("https://i.ytimg.com/vi/G4bK_kfCD6c/default.jpg")</f>
        <v>https://i.ytimg.com/vi/G4bK_kfCD6c/default.jpg</v>
      </c>
      <c r="G714" s="120" t="s">
        <v>52</v>
      </c>
      <c r="H714" s="71" t="s">
        <v>1003</v>
      </c>
      <c r="I714" s="72"/>
      <c r="J714" s="72" t="s">
        <v>159</v>
      </c>
      <c r="K714" s="71" t="s">
        <v>1003</v>
      </c>
      <c r="L714" s="75">
        <v>213.72340425531914</v>
      </c>
      <c r="M714" s="76">
        <v>7961.92333984375</v>
      </c>
      <c r="N714" s="76">
        <v>9854.505859375</v>
      </c>
      <c r="O714" s="77"/>
      <c r="P714" s="78"/>
      <c r="Q714" s="78"/>
      <c r="R714" s="82"/>
      <c r="S714" s="48"/>
      <c r="T714" s="48"/>
      <c r="U714" s="49"/>
      <c r="V714" s="49"/>
      <c r="W714" s="49"/>
      <c r="X714" s="49"/>
      <c r="Y714" s="49"/>
      <c r="Z714" s="49"/>
      <c r="AA714" s="73">
        <v>714</v>
      </c>
      <c r="AB714" s="73"/>
      <c r="AC714" s="74"/>
      <c r="AD714" s="80" t="s">
        <v>1003</v>
      </c>
      <c r="AE714" s="80"/>
      <c r="AF714" s="80"/>
      <c r="AG714" s="80" t="s">
        <v>2932</v>
      </c>
      <c r="AH714" s="80" t="s">
        <v>3418</v>
      </c>
      <c r="AI714" s="80">
        <v>148</v>
      </c>
      <c r="AJ714" s="80">
        <v>0</v>
      </c>
      <c r="AK714" s="80">
        <v>0</v>
      </c>
      <c r="AL714" s="80">
        <v>0</v>
      </c>
      <c r="AM714" s="80" t="s">
        <v>4098</v>
      </c>
      <c r="AN714" s="96" t="str">
        <f>HYPERLINK("https://www.youtube.com/watch?v=G4bK_kfCD6c")</f>
        <v>https://www.youtube.com/watch?v=G4bK_kfCD6c</v>
      </c>
      <c r="AO714" s="80" t="e">
        <f>REPLACE(INDEX(GroupVertices[Group],MATCH(Vertices[[#This Row],[Vertex]],GroupVertices[Vertex],0)),1,1,"")</f>
        <v>#N/A</v>
      </c>
      <c r="AP714" s="48"/>
      <c r="AQ714" s="49"/>
      <c r="AR714" s="48"/>
      <c r="AS714" s="49"/>
      <c r="AT714" s="48"/>
      <c r="AU714" s="49"/>
      <c r="AV714" s="48"/>
      <c r="AW714" s="49"/>
      <c r="AX714" s="48"/>
      <c r="AY714" s="48"/>
      <c r="AZ714" s="48"/>
      <c r="BA714" s="48"/>
      <c r="BB714" s="48"/>
      <c r="BC714" s="2"/>
      <c r="BD714" s="3"/>
      <c r="BE714" s="3"/>
      <c r="BF714" s="3"/>
      <c r="BG714" s="3"/>
    </row>
    <row r="715" spans="1:59" ht="15">
      <c r="A715" s="66" t="s">
        <v>402</v>
      </c>
      <c r="B715" s="67" t="s">
        <v>4461</v>
      </c>
      <c r="C715" s="67"/>
      <c r="D715" s="68">
        <v>220.2914201060194</v>
      </c>
      <c r="E715" s="70"/>
      <c r="F715" s="97" t="str">
        <f>HYPERLINK("https://i.ytimg.com/vi/CH8GyemwaS4/default.jpg")</f>
        <v>https://i.ytimg.com/vi/CH8GyemwaS4/default.jpg</v>
      </c>
      <c r="G715" s="120" t="s">
        <v>52</v>
      </c>
      <c r="H715" s="71" t="s">
        <v>1109</v>
      </c>
      <c r="I715" s="72"/>
      <c r="J715" s="72" t="s">
        <v>159</v>
      </c>
      <c r="K715" s="71" t="s">
        <v>1109</v>
      </c>
      <c r="L715" s="75">
        <v>213.72340425531914</v>
      </c>
      <c r="M715" s="76">
        <v>5705.90478515625</v>
      </c>
      <c r="N715" s="76">
        <v>910.4934692382812</v>
      </c>
      <c r="O715" s="77"/>
      <c r="P715" s="78"/>
      <c r="Q715" s="78"/>
      <c r="R715" s="82"/>
      <c r="S715" s="48"/>
      <c r="T715" s="48"/>
      <c r="U715" s="49"/>
      <c r="V715" s="49"/>
      <c r="W715" s="49"/>
      <c r="X715" s="49"/>
      <c r="Y715" s="49"/>
      <c r="Z715" s="49"/>
      <c r="AA715" s="73">
        <v>715</v>
      </c>
      <c r="AB715" s="73"/>
      <c r="AC715" s="74"/>
      <c r="AD715" s="80" t="s">
        <v>1109</v>
      </c>
      <c r="AE715" s="80" t="s">
        <v>1808</v>
      </c>
      <c r="AF715" s="80"/>
      <c r="AG715" s="80" t="s">
        <v>2958</v>
      </c>
      <c r="AH715" s="80" t="s">
        <v>3522</v>
      </c>
      <c r="AI715" s="80">
        <v>143</v>
      </c>
      <c r="AJ715" s="80">
        <v>0</v>
      </c>
      <c r="AK715" s="80">
        <v>1</v>
      </c>
      <c r="AL715" s="80">
        <v>0</v>
      </c>
      <c r="AM715" s="80" t="s">
        <v>4098</v>
      </c>
      <c r="AN715" s="96" t="str">
        <f>HYPERLINK("https://www.youtube.com/watch?v=CH8GyemwaS4")</f>
        <v>https://www.youtube.com/watch?v=CH8GyemwaS4</v>
      </c>
      <c r="AO715" s="80" t="e">
        <f>REPLACE(INDEX(GroupVertices[Group],MATCH(Vertices[[#This Row],[Vertex]],GroupVertices[Vertex],0)),1,1,"")</f>
        <v>#N/A</v>
      </c>
      <c r="AP715" s="48"/>
      <c r="AQ715" s="49"/>
      <c r="AR715" s="48"/>
      <c r="AS715" s="49"/>
      <c r="AT715" s="48"/>
      <c r="AU715" s="49"/>
      <c r="AV715" s="48"/>
      <c r="AW715" s="49"/>
      <c r="AX715" s="48"/>
      <c r="AY715" s="48"/>
      <c r="AZ715" s="48"/>
      <c r="BA715" s="48"/>
      <c r="BB715" s="48"/>
      <c r="BC715" s="2"/>
      <c r="BD715" s="3"/>
      <c r="BE715" s="3"/>
      <c r="BF715" s="3"/>
      <c r="BG715" s="3"/>
    </row>
    <row r="716" spans="1:59" ht="15">
      <c r="A716" s="66" t="s">
        <v>728</v>
      </c>
      <c r="B716" s="67" t="s">
        <v>4461</v>
      </c>
      <c r="C716" s="67"/>
      <c r="D716" s="68">
        <v>203.23318014945903</v>
      </c>
      <c r="E716" s="70"/>
      <c r="F716" s="97" t="str">
        <f>HYPERLINK("https://i.ytimg.com/vi/Z5c3B6K5qjg/default.jpg")</f>
        <v>https://i.ytimg.com/vi/Z5c3B6K5qjg/default.jpg</v>
      </c>
      <c r="G716" s="120" t="s">
        <v>52</v>
      </c>
      <c r="H716" s="71" t="s">
        <v>1469</v>
      </c>
      <c r="I716" s="72"/>
      <c r="J716" s="72" t="s">
        <v>159</v>
      </c>
      <c r="K716" s="71" t="s">
        <v>1469</v>
      </c>
      <c r="L716" s="75">
        <v>213.72340425531914</v>
      </c>
      <c r="M716" s="76">
        <v>7008.4423828125</v>
      </c>
      <c r="N716" s="76">
        <v>7436.74658203125</v>
      </c>
      <c r="O716" s="77"/>
      <c r="P716" s="78"/>
      <c r="Q716" s="78"/>
      <c r="R716" s="82"/>
      <c r="S716" s="48"/>
      <c r="T716" s="48"/>
      <c r="U716" s="49"/>
      <c r="V716" s="49"/>
      <c r="W716" s="49"/>
      <c r="X716" s="49"/>
      <c r="Y716" s="49"/>
      <c r="Z716" s="49"/>
      <c r="AA716" s="73">
        <v>716</v>
      </c>
      <c r="AB716" s="73"/>
      <c r="AC716" s="74"/>
      <c r="AD716" s="80" t="s">
        <v>1469</v>
      </c>
      <c r="AE716" s="80" t="s">
        <v>2126</v>
      </c>
      <c r="AF716" s="80" t="s">
        <v>2716</v>
      </c>
      <c r="AG716" s="80" t="s">
        <v>3224</v>
      </c>
      <c r="AH716" s="80" t="s">
        <v>3882</v>
      </c>
      <c r="AI716" s="80">
        <v>118</v>
      </c>
      <c r="AJ716" s="80">
        <v>0</v>
      </c>
      <c r="AK716" s="80">
        <v>3</v>
      </c>
      <c r="AL716" s="80">
        <v>0</v>
      </c>
      <c r="AM716" s="80" t="s">
        <v>4098</v>
      </c>
      <c r="AN716" s="96" t="str">
        <f>HYPERLINK("https://www.youtube.com/watch?v=Z5c3B6K5qjg")</f>
        <v>https://www.youtube.com/watch?v=Z5c3B6K5qjg</v>
      </c>
      <c r="AO716" s="80" t="e">
        <f>REPLACE(INDEX(GroupVertices[Group],MATCH(Vertices[[#This Row],[Vertex]],GroupVertices[Vertex],0)),1,1,"")</f>
        <v>#N/A</v>
      </c>
      <c r="AP716" s="48"/>
      <c r="AQ716" s="49"/>
      <c r="AR716" s="48"/>
      <c r="AS716" s="49"/>
      <c r="AT716" s="48"/>
      <c r="AU716" s="49"/>
      <c r="AV716" s="48"/>
      <c r="AW716" s="49"/>
      <c r="AX716" s="48"/>
      <c r="AY716" s="48"/>
      <c r="AZ716" s="48"/>
      <c r="BA716" s="48"/>
      <c r="BB716" s="48"/>
      <c r="BC716" s="2"/>
      <c r="BD716" s="3"/>
      <c r="BE716" s="3"/>
      <c r="BF716" s="3"/>
      <c r="BG716" s="3"/>
    </row>
    <row r="717" spans="1:59" ht="15">
      <c r="A717" s="66" t="s">
        <v>294</v>
      </c>
      <c r="B717" s="67" t="s">
        <v>4461</v>
      </c>
      <c r="C717" s="67"/>
      <c r="D717" s="68">
        <v>182.0981198999034</v>
      </c>
      <c r="E717" s="70"/>
      <c r="F717" s="97" t="str">
        <f>HYPERLINK("https://i.ytimg.com/vi/vFArtESS8-M/default.jpg")</f>
        <v>https://i.ytimg.com/vi/vFArtESS8-M/default.jpg</v>
      </c>
      <c r="G717" s="120" t="s">
        <v>52</v>
      </c>
      <c r="H717" s="71" t="s">
        <v>992</v>
      </c>
      <c r="I717" s="72"/>
      <c r="J717" s="72" t="s">
        <v>159</v>
      </c>
      <c r="K717" s="71" t="s">
        <v>992</v>
      </c>
      <c r="L717" s="75">
        <v>213.72340425531914</v>
      </c>
      <c r="M717" s="76">
        <v>2862.86865234375</v>
      </c>
      <c r="N717" s="76">
        <v>6691.974609375</v>
      </c>
      <c r="O717" s="77"/>
      <c r="P717" s="78"/>
      <c r="Q717" s="78"/>
      <c r="R717" s="82"/>
      <c r="S717" s="48"/>
      <c r="T717" s="48"/>
      <c r="U717" s="49"/>
      <c r="V717" s="49"/>
      <c r="W717" s="49"/>
      <c r="X717" s="49"/>
      <c r="Y717" s="49"/>
      <c r="Z717" s="49"/>
      <c r="AA717" s="73">
        <v>717</v>
      </c>
      <c r="AB717" s="73"/>
      <c r="AC717" s="74"/>
      <c r="AD717" s="80" t="s">
        <v>992</v>
      </c>
      <c r="AE717" s="80" t="s">
        <v>1715</v>
      </c>
      <c r="AF717" s="80" t="s">
        <v>2347</v>
      </c>
      <c r="AG717" s="80" t="s">
        <v>2922</v>
      </c>
      <c r="AH717" s="80" t="s">
        <v>3407</v>
      </c>
      <c r="AI717" s="80">
        <v>93</v>
      </c>
      <c r="AJ717" s="80">
        <v>0</v>
      </c>
      <c r="AK717" s="80">
        <v>0</v>
      </c>
      <c r="AL717" s="80">
        <v>0</v>
      </c>
      <c r="AM717" s="80" t="s">
        <v>4098</v>
      </c>
      <c r="AN717" s="96" t="str">
        <f>HYPERLINK("https://www.youtube.com/watch?v=vFArtESS8-M")</f>
        <v>https://www.youtube.com/watch?v=vFArtESS8-M</v>
      </c>
      <c r="AO717" s="80" t="e">
        <f>REPLACE(INDEX(GroupVertices[Group],MATCH(Vertices[[#This Row],[Vertex]],GroupVertices[Vertex],0)),1,1,"")</f>
        <v>#N/A</v>
      </c>
      <c r="AP717" s="48"/>
      <c r="AQ717" s="49"/>
      <c r="AR717" s="48"/>
      <c r="AS717" s="49"/>
      <c r="AT717" s="48"/>
      <c r="AU717" s="49"/>
      <c r="AV717" s="48"/>
      <c r="AW717" s="49"/>
      <c r="AX717" s="48"/>
      <c r="AY717" s="48"/>
      <c r="AZ717" s="48"/>
      <c r="BA717" s="48"/>
      <c r="BB717" s="48"/>
      <c r="BC717" s="2"/>
      <c r="BD717" s="3"/>
      <c r="BE717" s="3"/>
      <c r="BF717" s="3"/>
      <c r="BG717" s="3"/>
    </row>
    <row r="718" spans="1:59" ht="15">
      <c r="A718" s="66" t="s">
        <v>280</v>
      </c>
      <c r="B718" s="67" t="s">
        <v>4461</v>
      </c>
      <c r="C718" s="67"/>
      <c r="D718" s="68">
        <v>176.17785847750665</v>
      </c>
      <c r="E718" s="70"/>
      <c r="F718" s="97" t="str">
        <f>HYPERLINK("https://i.ytimg.com/vi/8cNW3OD6I0o/default.jpg")</f>
        <v>https://i.ytimg.com/vi/8cNW3OD6I0o/default.jpg</v>
      </c>
      <c r="G718" s="120" t="s">
        <v>52</v>
      </c>
      <c r="H718" s="71" t="s">
        <v>976</v>
      </c>
      <c r="I718" s="72"/>
      <c r="J718" s="72" t="s">
        <v>159</v>
      </c>
      <c r="K718" s="71" t="s">
        <v>976</v>
      </c>
      <c r="L718" s="75">
        <v>213.72340425531914</v>
      </c>
      <c r="M718" s="76">
        <v>6543.400390625</v>
      </c>
      <c r="N718" s="76">
        <v>6025.8046875</v>
      </c>
      <c r="O718" s="77"/>
      <c r="P718" s="78"/>
      <c r="Q718" s="78"/>
      <c r="R718" s="82"/>
      <c r="S718" s="48"/>
      <c r="T718" s="48"/>
      <c r="U718" s="49"/>
      <c r="V718" s="49"/>
      <c r="W718" s="49"/>
      <c r="X718" s="49"/>
      <c r="Y718" s="49"/>
      <c r="Z718" s="49"/>
      <c r="AA718" s="73">
        <v>718</v>
      </c>
      <c r="AB718" s="73"/>
      <c r="AC718" s="74"/>
      <c r="AD718" s="80" t="s">
        <v>976</v>
      </c>
      <c r="AE718" s="80" t="s">
        <v>1699</v>
      </c>
      <c r="AF718" s="80"/>
      <c r="AG718" s="80" t="s">
        <v>2910</v>
      </c>
      <c r="AH718" s="80" t="s">
        <v>3391</v>
      </c>
      <c r="AI718" s="80">
        <v>87</v>
      </c>
      <c r="AJ718" s="80">
        <v>0</v>
      </c>
      <c r="AK718" s="80">
        <v>2</v>
      </c>
      <c r="AL718" s="80">
        <v>0</v>
      </c>
      <c r="AM718" s="80" t="s">
        <v>4098</v>
      </c>
      <c r="AN718" s="96" t="str">
        <f>HYPERLINK("https://www.youtube.com/watch?v=8cNW3OD6I0o")</f>
        <v>https://www.youtube.com/watch?v=8cNW3OD6I0o</v>
      </c>
      <c r="AO718" s="80" t="e">
        <f>REPLACE(INDEX(GroupVertices[Group],MATCH(Vertices[[#This Row],[Vertex]],GroupVertices[Vertex],0)),1,1,"")</f>
        <v>#N/A</v>
      </c>
      <c r="AP718" s="48"/>
      <c r="AQ718" s="49"/>
      <c r="AR718" s="48"/>
      <c r="AS718" s="49"/>
      <c r="AT718" s="48"/>
      <c r="AU718" s="49"/>
      <c r="AV718" s="48"/>
      <c r="AW718" s="49"/>
      <c r="AX718" s="48"/>
      <c r="AY718" s="48"/>
      <c r="AZ718" s="48"/>
      <c r="BA718" s="48"/>
      <c r="BB718" s="48"/>
      <c r="BC718" s="2"/>
      <c r="BD718" s="3"/>
      <c r="BE718" s="3"/>
      <c r="BF718" s="3"/>
      <c r="BG718" s="3"/>
    </row>
    <row r="719" spans="1:59" ht="15">
      <c r="A719" s="66" t="s">
        <v>390</v>
      </c>
      <c r="B719" s="67" t="s">
        <v>4461</v>
      </c>
      <c r="C719" s="67"/>
      <c r="D719" s="68">
        <v>146.10456817443287</v>
      </c>
      <c r="E719" s="70"/>
      <c r="F719" s="97" t="str">
        <f>HYPERLINK("https://i.ytimg.com/vi/herJknD-f4g/default.jpg")</f>
        <v>https://i.ytimg.com/vi/herJknD-f4g/default.jpg</v>
      </c>
      <c r="G719" s="120" t="s">
        <v>52</v>
      </c>
      <c r="H719" s="71" t="s">
        <v>1097</v>
      </c>
      <c r="I719" s="72"/>
      <c r="J719" s="72" t="s">
        <v>159</v>
      </c>
      <c r="K719" s="71" t="s">
        <v>1097</v>
      </c>
      <c r="L719" s="75">
        <v>213.72340425531914</v>
      </c>
      <c r="M719" s="76">
        <v>5313.20361328125</v>
      </c>
      <c r="N719" s="76">
        <v>725.7783203125</v>
      </c>
      <c r="O719" s="77"/>
      <c r="P719" s="78"/>
      <c r="Q719" s="78"/>
      <c r="R719" s="82"/>
      <c r="S719" s="48"/>
      <c r="T719" s="48"/>
      <c r="U719" s="49"/>
      <c r="V719" s="49"/>
      <c r="W719" s="49"/>
      <c r="X719" s="49"/>
      <c r="Y719" s="49"/>
      <c r="Z719" s="49"/>
      <c r="AA719" s="73">
        <v>719</v>
      </c>
      <c r="AB719" s="73"/>
      <c r="AC719" s="74"/>
      <c r="AD719" s="80" t="s">
        <v>1097</v>
      </c>
      <c r="AE719" s="80"/>
      <c r="AF719" s="80"/>
      <c r="AG719" s="80" t="s">
        <v>2958</v>
      </c>
      <c r="AH719" s="80" t="s">
        <v>3511</v>
      </c>
      <c r="AI719" s="80">
        <v>62</v>
      </c>
      <c r="AJ719" s="80">
        <v>0</v>
      </c>
      <c r="AK719" s="80">
        <v>1</v>
      </c>
      <c r="AL719" s="80">
        <v>0</v>
      </c>
      <c r="AM719" s="80" t="s">
        <v>4098</v>
      </c>
      <c r="AN719" s="96" t="str">
        <f>HYPERLINK("https://www.youtube.com/watch?v=herJknD-f4g")</f>
        <v>https://www.youtube.com/watch?v=herJknD-f4g</v>
      </c>
      <c r="AO719" s="80" t="e">
        <f>REPLACE(INDEX(GroupVertices[Group],MATCH(Vertices[[#This Row],[Vertex]],GroupVertices[Vertex],0)),1,1,"")</f>
        <v>#N/A</v>
      </c>
      <c r="AP719" s="48"/>
      <c r="AQ719" s="49"/>
      <c r="AR719" s="48"/>
      <c r="AS719" s="49"/>
      <c r="AT719" s="48"/>
      <c r="AU719" s="49"/>
      <c r="AV719" s="48"/>
      <c r="AW719" s="49"/>
      <c r="AX719" s="48"/>
      <c r="AY719" s="48"/>
      <c r="AZ719" s="48"/>
      <c r="BA719" s="48"/>
      <c r="BB719" s="48"/>
      <c r="BC719" s="2"/>
      <c r="BD719" s="3"/>
      <c r="BE719" s="3"/>
      <c r="BF719" s="3"/>
      <c r="BG719" s="3"/>
    </row>
    <row r="720" spans="1:59" ht="15">
      <c r="A720" s="66" t="s">
        <v>493</v>
      </c>
      <c r="B720" s="67" t="s">
        <v>4461</v>
      </c>
      <c r="C720" s="67"/>
      <c r="D720" s="68">
        <v>144.66110513068955</v>
      </c>
      <c r="E720" s="70"/>
      <c r="F720" s="97" t="str">
        <f>HYPERLINK("https://i.ytimg.com/vi/UOiqATn7xMY/default.jpg")</f>
        <v>https://i.ytimg.com/vi/UOiqATn7xMY/default.jpg</v>
      </c>
      <c r="G720" s="120" t="s">
        <v>52</v>
      </c>
      <c r="H720" s="71" t="s">
        <v>1209</v>
      </c>
      <c r="I720" s="72"/>
      <c r="J720" s="72" t="s">
        <v>159</v>
      </c>
      <c r="K720" s="71" t="s">
        <v>1209</v>
      </c>
      <c r="L720" s="75">
        <v>213.72340425531914</v>
      </c>
      <c r="M720" s="76">
        <v>6528.1298828125</v>
      </c>
      <c r="N720" s="76">
        <v>254.42677307128906</v>
      </c>
      <c r="O720" s="77"/>
      <c r="P720" s="78"/>
      <c r="Q720" s="78"/>
      <c r="R720" s="82"/>
      <c r="S720" s="48"/>
      <c r="T720" s="48"/>
      <c r="U720" s="49"/>
      <c r="V720" s="49"/>
      <c r="W720" s="49"/>
      <c r="X720" s="49"/>
      <c r="Y720" s="49"/>
      <c r="Z720" s="49"/>
      <c r="AA720" s="73">
        <v>720</v>
      </c>
      <c r="AB720" s="73"/>
      <c r="AC720" s="74"/>
      <c r="AD720" s="80" t="s">
        <v>1209</v>
      </c>
      <c r="AE720" s="80" t="s">
        <v>1893</v>
      </c>
      <c r="AF720" s="80" t="s">
        <v>2507</v>
      </c>
      <c r="AG720" s="80" t="s">
        <v>3063</v>
      </c>
      <c r="AH720" s="80" t="s">
        <v>3621</v>
      </c>
      <c r="AI720" s="80">
        <v>61</v>
      </c>
      <c r="AJ720" s="80">
        <v>0</v>
      </c>
      <c r="AK720" s="80">
        <v>0</v>
      </c>
      <c r="AL720" s="80">
        <v>0</v>
      </c>
      <c r="AM720" s="80" t="s">
        <v>4098</v>
      </c>
      <c r="AN720" s="96" t="str">
        <f>HYPERLINK("https://www.youtube.com/watch?v=UOiqATn7xMY")</f>
        <v>https://www.youtube.com/watch?v=UOiqATn7xMY</v>
      </c>
      <c r="AO720" s="80" t="e">
        <f>REPLACE(INDEX(GroupVertices[Group],MATCH(Vertices[[#This Row],[Vertex]],GroupVertices[Vertex],0)),1,1,"")</f>
        <v>#N/A</v>
      </c>
      <c r="AP720" s="48"/>
      <c r="AQ720" s="49"/>
      <c r="AR720" s="48"/>
      <c r="AS720" s="49"/>
      <c r="AT720" s="48"/>
      <c r="AU720" s="49"/>
      <c r="AV720" s="48"/>
      <c r="AW720" s="49"/>
      <c r="AX720" s="48"/>
      <c r="AY720" s="48"/>
      <c r="AZ720" s="48"/>
      <c r="BA720" s="48"/>
      <c r="BB720" s="48"/>
      <c r="BC720" s="2"/>
      <c r="BD720" s="3"/>
      <c r="BE720" s="3"/>
      <c r="BF720" s="3"/>
      <c r="BG720" s="3"/>
    </row>
    <row r="721" spans="1:59" ht="15">
      <c r="A721" s="66" t="s">
        <v>838</v>
      </c>
      <c r="B721" s="67" t="s">
        <v>4461</v>
      </c>
      <c r="C721" s="67"/>
      <c r="D721" s="68">
        <v>138.6404239902949</v>
      </c>
      <c r="E721" s="70"/>
      <c r="F721" s="97" t="str">
        <f>HYPERLINK("https://i.ytimg.com/vi/HjljeYwcA_M/default.jpg")</f>
        <v>https://i.ytimg.com/vi/HjljeYwcA_M/default.jpg</v>
      </c>
      <c r="G721" s="120" t="s">
        <v>52</v>
      </c>
      <c r="H721" s="71" t="s">
        <v>1577</v>
      </c>
      <c r="I721" s="72"/>
      <c r="J721" s="72" t="s">
        <v>159</v>
      </c>
      <c r="K721" s="71" t="s">
        <v>1577</v>
      </c>
      <c r="L721" s="75">
        <v>213.72340425531914</v>
      </c>
      <c r="M721" s="76">
        <v>279.1942443847656</v>
      </c>
      <c r="N721" s="76">
        <v>2831.713623046875</v>
      </c>
      <c r="O721" s="77"/>
      <c r="P721" s="78"/>
      <c r="Q721" s="78"/>
      <c r="R721" s="82"/>
      <c r="S721" s="48"/>
      <c r="T721" s="48"/>
      <c r="U721" s="49"/>
      <c r="V721" s="49"/>
      <c r="W721" s="49"/>
      <c r="X721" s="49"/>
      <c r="Y721" s="49"/>
      <c r="Z721" s="49"/>
      <c r="AA721" s="73">
        <v>721</v>
      </c>
      <c r="AB721" s="73"/>
      <c r="AC721" s="74"/>
      <c r="AD721" s="80" t="s">
        <v>1577</v>
      </c>
      <c r="AE721" s="80" t="s">
        <v>2222</v>
      </c>
      <c r="AF721" s="80" t="s">
        <v>2807</v>
      </c>
      <c r="AG721" s="80" t="s">
        <v>2907</v>
      </c>
      <c r="AH721" s="80" t="s">
        <v>3992</v>
      </c>
      <c r="AI721" s="80">
        <v>57</v>
      </c>
      <c r="AJ721" s="80">
        <v>0</v>
      </c>
      <c r="AK721" s="80">
        <v>1</v>
      </c>
      <c r="AL721" s="80">
        <v>0</v>
      </c>
      <c r="AM721" s="80" t="s">
        <v>4098</v>
      </c>
      <c r="AN721" s="96" t="str">
        <f>HYPERLINK("https://www.youtube.com/watch?v=HjljeYwcA_M")</f>
        <v>https://www.youtube.com/watch?v=HjljeYwcA_M</v>
      </c>
      <c r="AO721" s="80" t="e">
        <f>REPLACE(INDEX(GroupVertices[Group],MATCH(Vertices[[#This Row],[Vertex]],GroupVertices[Vertex],0)),1,1,"")</f>
        <v>#N/A</v>
      </c>
      <c r="AP721" s="48"/>
      <c r="AQ721" s="49"/>
      <c r="AR721" s="48"/>
      <c r="AS721" s="49"/>
      <c r="AT721" s="48"/>
      <c r="AU721" s="49"/>
      <c r="AV721" s="48"/>
      <c r="AW721" s="49"/>
      <c r="AX721" s="48"/>
      <c r="AY721" s="48"/>
      <c r="AZ721" s="48"/>
      <c r="BA721" s="48"/>
      <c r="BB721" s="48"/>
      <c r="BC721" s="2"/>
      <c r="BD721" s="3"/>
      <c r="BE721" s="3"/>
      <c r="BF721" s="3"/>
      <c r="BG721" s="3"/>
    </row>
    <row r="722" spans="1:59" ht="15">
      <c r="A722" s="66" t="s">
        <v>397</v>
      </c>
      <c r="B722" s="67" t="s">
        <v>4461</v>
      </c>
      <c r="C722" s="67"/>
      <c r="D722" s="68">
        <v>133.84082154232055</v>
      </c>
      <c r="E722" s="70"/>
      <c r="F722" s="97" t="str">
        <f>HYPERLINK("https://i.ytimg.com/vi/Of3dcgWsw6E/default.jpg")</f>
        <v>https://i.ytimg.com/vi/Of3dcgWsw6E/default.jpg</v>
      </c>
      <c r="G722" s="120" t="s">
        <v>52</v>
      </c>
      <c r="H722" s="71" t="s">
        <v>1104</v>
      </c>
      <c r="I722" s="72"/>
      <c r="J722" s="72" t="s">
        <v>159</v>
      </c>
      <c r="K722" s="71" t="s">
        <v>1104</v>
      </c>
      <c r="L722" s="75">
        <v>213.72340425531914</v>
      </c>
      <c r="M722" s="76">
        <v>5805.31103515625</v>
      </c>
      <c r="N722" s="76">
        <v>615.744384765625</v>
      </c>
      <c r="O722" s="77"/>
      <c r="P722" s="78"/>
      <c r="Q722" s="78"/>
      <c r="R722" s="82"/>
      <c r="S722" s="48"/>
      <c r="T722" s="48"/>
      <c r="U722" s="49"/>
      <c r="V722" s="49"/>
      <c r="W722" s="49"/>
      <c r="X722" s="49"/>
      <c r="Y722" s="49"/>
      <c r="Z722" s="49"/>
      <c r="AA722" s="73">
        <v>722</v>
      </c>
      <c r="AB722" s="73"/>
      <c r="AC722" s="74"/>
      <c r="AD722" s="80" t="s">
        <v>1104</v>
      </c>
      <c r="AE722" s="80"/>
      <c r="AF722" s="80"/>
      <c r="AG722" s="80" t="s">
        <v>2958</v>
      </c>
      <c r="AH722" s="80" t="s">
        <v>3517</v>
      </c>
      <c r="AI722" s="80">
        <v>54</v>
      </c>
      <c r="AJ722" s="80">
        <v>0</v>
      </c>
      <c r="AK722" s="80">
        <v>1</v>
      </c>
      <c r="AL722" s="80">
        <v>0</v>
      </c>
      <c r="AM722" s="80" t="s">
        <v>4098</v>
      </c>
      <c r="AN722" s="96" t="str">
        <f>HYPERLINK("https://www.youtube.com/watch?v=Of3dcgWsw6E")</f>
        <v>https://www.youtube.com/watch?v=Of3dcgWsw6E</v>
      </c>
      <c r="AO722" s="80" t="e">
        <f>REPLACE(INDEX(GroupVertices[Group],MATCH(Vertices[[#This Row],[Vertex]],GroupVertices[Vertex],0)),1,1,"")</f>
        <v>#N/A</v>
      </c>
      <c r="AP722" s="48"/>
      <c r="AQ722" s="49"/>
      <c r="AR722" s="48"/>
      <c r="AS722" s="49"/>
      <c r="AT722" s="48"/>
      <c r="AU722" s="49"/>
      <c r="AV722" s="48"/>
      <c r="AW722" s="49"/>
      <c r="AX722" s="48"/>
      <c r="AY722" s="48"/>
      <c r="AZ722" s="48"/>
      <c r="BA722" s="48"/>
      <c r="BB722" s="48"/>
      <c r="BC722" s="2"/>
      <c r="BD722" s="3"/>
      <c r="BE722" s="3"/>
      <c r="BF722" s="3"/>
      <c r="BG722" s="3"/>
    </row>
    <row r="723" spans="1:59" ht="15">
      <c r="A723" s="66" t="s">
        <v>367</v>
      </c>
      <c r="B723" s="67" t="s">
        <v>4461</v>
      </c>
      <c r="C723" s="67"/>
      <c r="D723" s="68">
        <v>127.00891132468391</v>
      </c>
      <c r="E723" s="70"/>
      <c r="F723" s="97" t="str">
        <f>HYPERLINK("https://i.ytimg.com/vi/sR1Kng57uiY/default.jpg")</f>
        <v>https://i.ytimg.com/vi/sR1Kng57uiY/default.jpg</v>
      </c>
      <c r="G723" s="120" t="s">
        <v>52</v>
      </c>
      <c r="H723" s="71" t="s">
        <v>1073</v>
      </c>
      <c r="I723" s="72"/>
      <c r="J723" s="72" t="s">
        <v>159</v>
      </c>
      <c r="K723" s="71" t="s">
        <v>1073</v>
      </c>
      <c r="L723" s="75">
        <v>213.72340425531914</v>
      </c>
      <c r="M723" s="76">
        <v>2469.333984375</v>
      </c>
      <c r="N723" s="76">
        <v>5994.31884765625</v>
      </c>
      <c r="O723" s="77"/>
      <c r="P723" s="78"/>
      <c r="Q723" s="78"/>
      <c r="R723" s="82"/>
      <c r="S723" s="48"/>
      <c r="T723" s="48"/>
      <c r="U723" s="49"/>
      <c r="V723" s="49"/>
      <c r="W723" s="49"/>
      <c r="X723" s="49"/>
      <c r="Y723" s="49"/>
      <c r="Z723" s="49"/>
      <c r="AA723" s="73">
        <v>723</v>
      </c>
      <c r="AB723" s="73"/>
      <c r="AC723" s="74"/>
      <c r="AD723" s="80" t="s">
        <v>1073</v>
      </c>
      <c r="AE723" s="80" t="s">
        <v>1784</v>
      </c>
      <c r="AF723" s="80" t="s">
        <v>2410</v>
      </c>
      <c r="AG723" s="80" t="s">
        <v>2907</v>
      </c>
      <c r="AH723" s="80" t="s">
        <v>3486</v>
      </c>
      <c r="AI723" s="80">
        <v>50</v>
      </c>
      <c r="AJ723" s="80">
        <v>0</v>
      </c>
      <c r="AK723" s="80">
        <v>1</v>
      </c>
      <c r="AL723" s="80">
        <v>0</v>
      </c>
      <c r="AM723" s="80" t="s">
        <v>4098</v>
      </c>
      <c r="AN723" s="96" t="str">
        <f>HYPERLINK("https://www.youtube.com/watch?v=sR1Kng57uiY")</f>
        <v>https://www.youtube.com/watch?v=sR1Kng57uiY</v>
      </c>
      <c r="AO723" s="80" t="e">
        <f>REPLACE(INDEX(GroupVertices[Group],MATCH(Vertices[[#This Row],[Vertex]],GroupVertices[Vertex],0)),1,1,"")</f>
        <v>#N/A</v>
      </c>
      <c r="AP723" s="48"/>
      <c r="AQ723" s="49"/>
      <c r="AR723" s="48"/>
      <c r="AS723" s="49"/>
      <c r="AT723" s="48"/>
      <c r="AU723" s="49"/>
      <c r="AV723" s="48"/>
      <c r="AW723" s="49"/>
      <c r="AX723" s="48"/>
      <c r="AY723" s="48"/>
      <c r="AZ723" s="48"/>
      <c r="BA723" s="48"/>
      <c r="BB723" s="48"/>
      <c r="BC723" s="2"/>
      <c r="BD723" s="3"/>
      <c r="BE723" s="3"/>
      <c r="BF723" s="3"/>
      <c r="BG723" s="3"/>
    </row>
    <row r="724" spans="1:59" ht="15">
      <c r="A724" s="66" t="s">
        <v>275</v>
      </c>
      <c r="B724" s="67" t="s">
        <v>4461</v>
      </c>
      <c r="C724" s="67"/>
      <c r="D724" s="68">
        <v>121.51616854675976</v>
      </c>
      <c r="E724" s="70"/>
      <c r="F724" s="97" t="str">
        <f>HYPERLINK("https://i.ytimg.com/vi/3lwQ7aaI00Y/default.jpg")</f>
        <v>https://i.ytimg.com/vi/3lwQ7aaI00Y/default.jpg</v>
      </c>
      <c r="G724" s="120" t="s">
        <v>52</v>
      </c>
      <c r="H724" s="71" t="s">
        <v>971</v>
      </c>
      <c r="I724" s="72"/>
      <c r="J724" s="72" t="s">
        <v>159</v>
      </c>
      <c r="K724" s="71" t="s">
        <v>971</v>
      </c>
      <c r="L724" s="75">
        <v>213.72340425531914</v>
      </c>
      <c r="M724" s="76">
        <v>6273.2578125</v>
      </c>
      <c r="N724" s="76">
        <v>4990.259765625</v>
      </c>
      <c r="O724" s="77"/>
      <c r="P724" s="78"/>
      <c r="Q724" s="78"/>
      <c r="R724" s="82"/>
      <c r="S724" s="48"/>
      <c r="T724" s="48"/>
      <c r="U724" s="49"/>
      <c r="V724" s="49"/>
      <c r="W724" s="49"/>
      <c r="X724" s="49"/>
      <c r="Y724" s="49"/>
      <c r="Z724" s="49"/>
      <c r="AA724" s="73">
        <v>724</v>
      </c>
      <c r="AB724" s="73"/>
      <c r="AC724" s="74"/>
      <c r="AD724" s="80" t="s">
        <v>971</v>
      </c>
      <c r="AE724" s="80" t="s">
        <v>1694</v>
      </c>
      <c r="AF724" s="80" t="s">
        <v>2327</v>
      </c>
      <c r="AG724" s="80" t="s">
        <v>2905</v>
      </c>
      <c r="AH724" s="80" t="s">
        <v>3386</v>
      </c>
      <c r="AI724" s="80">
        <v>47</v>
      </c>
      <c r="AJ724" s="80">
        <v>0</v>
      </c>
      <c r="AK724" s="80">
        <v>0</v>
      </c>
      <c r="AL724" s="80">
        <v>0</v>
      </c>
      <c r="AM724" s="80" t="s">
        <v>4098</v>
      </c>
      <c r="AN724" s="96" t="str">
        <f>HYPERLINK("https://www.youtube.com/watch?v=3lwQ7aaI00Y")</f>
        <v>https://www.youtube.com/watch?v=3lwQ7aaI00Y</v>
      </c>
      <c r="AO724" s="80" t="e">
        <f>REPLACE(INDEX(GroupVertices[Group],MATCH(Vertices[[#This Row],[Vertex]],GroupVertices[Vertex],0)),1,1,"")</f>
        <v>#N/A</v>
      </c>
      <c r="AP724" s="48"/>
      <c r="AQ724" s="49"/>
      <c r="AR724" s="48"/>
      <c r="AS724" s="49"/>
      <c r="AT724" s="48"/>
      <c r="AU724" s="49"/>
      <c r="AV724" s="48"/>
      <c r="AW724" s="49"/>
      <c r="AX724" s="48"/>
      <c r="AY724" s="48"/>
      <c r="AZ724" s="48"/>
      <c r="BA724" s="48"/>
      <c r="BB724" s="48"/>
      <c r="BC724" s="2"/>
      <c r="BD724" s="3"/>
      <c r="BE724" s="3"/>
      <c r="BF724" s="3"/>
      <c r="BG724" s="3"/>
    </row>
    <row r="725" spans="1:59" ht="15">
      <c r="A725" s="66" t="s">
        <v>393</v>
      </c>
      <c r="B725" s="67" t="s">
        <v>4461</v>
      </c>
      <c r="C725" s="67"/>
      <c r="D725" s="68">
        <v>121.51616854675976</v>
      </c>
      <c r="E725" s="70"/>
      <c r="F725" s="97" t="str">
        <f>HYPERLINK("https://i.ytimg.com/vi/RIH-oluskJM/default.jpg")</f>
        <v>https://i.ytimg.com/vi/RIH-oluskJM/default.jpg</v>
      </c>
      <c r="G725" s="120" t="s">
        <v>52</v>
      </c>
      <c r="H725" s="71" t="s">
        <v>1100</v>
      </c>
      <c r="I725" s="72"/>
      <c r="J725" s="72" t="s">
        <v>159</v>
      </c>
      <c r="K725" s="71" t="s">
        <v>1100</v>
      </c>
      <c r="L725" s="75">
        <v>213.72340425531914</v>
      </c>
      <c r="M725" s="76">
        <v>5995.048828125</v>
      </c>
      <c r="N725" s="76">
        <v>1278.55078125</v>
      </c>
      <c r="O725" s="77"/>
      <c r="P725" s="78"/>
      <c r="Q725" s="78"/>
      <c r="R725" s="82"/>
      <c r="S725" s="48"/>
      <c r="T725" s="48"/>
      <c r="U725" s="49"/>
      <c r="V725" s="49"/>
      <c r="W725" s="49"/>
      <c r="X725" s="49"/>
      <c r="Y725" s="49"/>
      <c r="Z725" s="49"/>
      <c r="AA725" s="73">
        <v>725</v>
      </c>
      <c r="AB725" s="73"/>
      <c r="AC725" s="74"/>
      <c r="AD725" s="80" t="s">
        <v>1100</v>
      </c>
      <c r="AE725" s="80" t="s">
        <v>1802</v>
      </c>
      <c r="AF725" s="80"/>
      <c r="AG725" s="80" t="s">
        <v>2958</v>
      </c>
      <c r="AH725" s="80" t="s">
        <v>3514</v>
      </c>
      <c r="AI725" s="80">
        <v>47</v>
      </c>
      <c r="AJ725" s="80">
        <v>0</v>
      </c>
      <c r="AK725" s="80">
        <v>1</v>
      </c>
      <c r="AL725" s="80">
        <v>0</v>
      </c>
      <c r="AM725" s="80" t="s">
        <v>4098</v>
      </c>
      <c r="AN725" s="96" t="str">
        <f>HYPERLINK("https://www.youtube.com/watch?v=RIH-oluskJM")</f>
        <v>https://www.youtube.com/watch?v=RIH-oluskJM</v>
      </c>
      <c r="AO725" s="80" t="e">
        <f>REPLACE(INDEX(GroupVertices[Group],MATCH(Vertices[[#This Row],[Vertex]],GroupVertices[Vertex],0)),1,1,"")</f>
        <v>#N/A</v>
      </c>
      <c r="AP725" s="48"/>
      <c r="AQ725" s="49"/>
      <c r="AR725" s="48"/>
      <c r="AS725" s="49"/>
      <c r="AT725" s="48"/>
      <c r="AU725" s="49"/>
      <c r="AV725" s="48"/>
      <c r="AW725" s="49"/>
      <c r="AX725" s="48"/>
      <c r="AY725" s="48"/>
      <c r="AZ725" s="48"/>
      <c r="BA725" s="48"/>
      <c r="BB725" s="48"/>
      <c r="BC725" s="2"/>
      <c r="BD725" s="3"/>
      <c r="BE725" s="3"/>
      <c r="BF725" s="3"/>
      <c r="BG725" s="3"/>
    </row>
    <row r="726" spans="1:59" ht="15">
      <c r="A726" s="66" t="s">
        <v>321</v>
      </c>
      <c r="B726" s="67" t="s">
        <v>4461</v>
      </c>
      <c r="C726" s="67"/>
      <c r="D726" s="68">
        <v>117.65595075097022</v>
      </c>
      <c r="E726" s="70"/>
      <c r="F726" s="97" t="str">
        <f>HYPERLINK("https://i.ytimg.com/vi/89xmLtfm7G4/default.jpg")</f>
        <v>https://i.ytimg.com/vi/89xmLtfm7G4/default.jpg</v>
      </c>
      <c r="G726" s="120" t="s">
        <v>52</v>
      </c>
      <c r="H726" s="71" t="s">
        <v>1021</v>
      </c>
      <c r="I726" s="72"/>
      <c r="J726" s="72" t="s">
        <v>159</v>
      </c>
      <c r="K726" s="71" t="s">
        <v>1021</v>
      </c>
      <c r="L726" s="75">
        <v>213.72340425531914</v>
      </c>
      <c r="M726" s="76">
        <v>6102.42578125</v>
      </c>
      <c r="N726" s="76">
        <v>5040.03173828125</v>
      </c>
      <c r="O726" s="77"/>
      <c r="P726" s="78"/>
      <c r="Q726" s="78"/>
      <c r="R726" s="82"/>
      <c r="S726" s="48"/>
      <c r="T726" s="48"/>
      <c r="U726" s="49"/>
      <c r="V726" s="49"/>
      <c r="W726" s="49"/>
      <c r="X726" s="49"/>
      <c r="Y726" s="49"/>
      <c r="Z726" s="49"/>
      <c r="AA726" s="73">
        <v>726</v>
      </c>
      <c r="AB726" s="73"/>
      <c r="AC726" s="74"/>
      <c r="AD726" s="80" t="s">
        <v>1021</v>
      </c>
      <c r="AE726" s="80" t="s">
        <v>1738</v>
      </c>
      <c r="AF726" s="80"/>
      <c r="AG726" s="80" t="s">
        <v>2950</v>
      </c>
      <c r="AH726" s="80" t="s">
        <v>3436</v>
      </c>
      <c r="AI726" s="80">
        <v>45</v>
      </c>
      <c r="AJ726" s="80">
        <v>0</v>
      </c>
      <c r="AK726" s="80">
        <v>1</v>
      </c>
      <c r="AL726" s="80">
        <v>0</v>
      </c>
      <c r="AM726" s="80" t="s">
        <v>4098</v>
      </c>
      <c r="AN726" s="96" t="str">
        <f>HYPERLINK("https://www.youtube.com/watch?v=89xmLtfm7G4")</f>
        <v>https://www.youtube.com/watch?v=89xmLtfm7G4</v>
      </c>
      <c r="AO726" s="80" t="e">
        <f>REPLACE(INDEX(GroupVertices[Group],MATCH(Vertices[[#This Row],[Vertex]],GroupVertices[Vertex],0)),1,1,"")</f>
        <v>#N/A</v>
      </c>
      <c r="AP726" s="48"/>
      <c r="AQ726" s="49"/>
      <c r="AR726" s="48"/>
      <c r="AS726" s="49"/>
      <c r="AT726" s="48"/>
      <c r="AU726" s="49"/>
      <c r="AV726" s="48"/>
      <c r="AW726" s="49"/>
      <c r="AX726" s="48"/>
      <c r="AY726" s="48"/>
      <c r="AZ726" s="48"/>
      <c r="BA726" s="48"/>
      <c r="BB726" s="48"/>
      <c r="BC726" s="2"/>
      <c r="BD726" s="3"/>
      <c r="BE726" s="3"/>
      <c r="BF726" s="3"/>
      <c r="BG726" s="3"/>
    </row>
    <row r="727" spans="1:59" ht="15">
      <c r="A727" s="66" t="s">
        <v>366</v>
      </c>
      <c r="B727" s="67" t="s">
        <v>4461</v>
      </c>
      <c r="C727" s="67"/>
      <c r="D727" s="68">
        <v>107.20023039056366</v>
      </c>
      <c r="E727" s="70"/>
      <c r="F727" s="97" t="str">
        <f>HYPERLINK("https://i.ytimg.com/vi/pmtUeygSX0c/default.jpg")</f>
        <v>https://i.ytimg.com/vi/pmtUeygSX0c/default.jpg</v>
      </c>
      <c r="G727" s="120" t="s">
        <v>52</v>
      </c>
      <c r="H727" s="71" t="s">
        <v>1072</v>
      </c>
      <c r="I727" s="72"/>
      <c r="J727" s="72" t="s">
        <v>159</v>
      </c>
      <c r="K727" s="71" t="s">
        <v>1072</v>
      </c>
      <c r="L727" s="75">
        <v>213.72340425531914</v>
      </c>
      <c r="M727" s="76">
        <v>2406.164794921875</v>
      </c>
      <c r="N727" s="76">
        <v>5822.45166015625</v>
      </c>
      <c r="O727" s="77"/>
      <c r="P727" s="78"/>
      <c r="Q727" s="78"/>
      <c r="R727" s="82"/>
      <c r="S727" s="48"/>
      <c r="T727" s="48"/>
      <c r="U727" s="49"/>
      <c r="V727" s="49"/>
      <c r="W727" s="49"/>
      <c r="X727" s="49"/>
      <c r="Y727" s="49"/>
      <c r="Z727" s="49"/>
      <c r="AA727" s="73">
        <v>727</v>
      </c>
      <c r="AB727" s="73"/>
      <c r="AC727" s="74"/>
      <c r="AD727" s="80" t="s">
        <v>1072</v>
      </c>
      <c r="AE727" s="80" t="s">
        <v>1783</v>
      </c>
      <c r="AF727" s="80" t="s">
        <v>2409</v>
      </c>
      <c r="AG727" s="80" t="s">
        <v>2907</v>
      </c>
      <c r="AH727" s="80" t="s">
        <v>3485</v>
      </c>
      <c r="AI727" s="80">
        <v>40</v>
      </c>
      <c r="AJ727" s="80">
        <v>1</v>
      </c>
      <c r="AK727" s="80">
        <v>1</v>
      </c>
      <c r="AL727" s="80">
        <v>0</v>
      </c>
      <c r="AM727" s="80" t="s">
        <v>4098</v>
      </c>
      <c r="AN727" s="96" t="str">
        <f>HYPERLINK("https://www.youtube.com/watch?v=pmtUeygSX0c")</f>
        <v>https://www.youtube.com/watch?v=pmtUeygSX0c</v>
      </c>
      <c r="AO727" s="80" t="e">
        <f>REPLACE(INDEX(GroupVertices[Group],MATCH(Vertices[[#This Row],[Vertex]],GroupVertices[Vertex],0)),1,1,"")</f>
        <v>#N/A</v>
      </c>
      <c r="AP727" s="48"/>
      <c r="AQ727" s="49"/>
      <c r="AR727" s="48"/>
      <c r="AS727" s="49"/>
      <c r="AT727" s="48"/>
      <c r="AU727" s="49"/>
      <c r="AV727" s="48"/>
      <c r="AW727" s="49"/>
      <c r="AX727" s="48"/>
      <c r="AY727" s="48"/>
      <c r="AZ727" s="48"/>
      <c r="BA727" s="48"/>
      <c r="BB727" s="48"/>
      <c r="BC727" s="2"/>
      <c r="BD727" s="3"/>
      <c r="BE727" s="3"/>
      <c r="BF727" s="3"/>
      <c r="BG727" s="3"/>
    </row>
    <row r="728" spans="1:59" ht="15">
      <c r="A728" s="66" t="s">
        <v>400</v>
      </c>
      <c r="B728" s="67" t="s">
        <v>4461</v>
      </c>
      <c r="C728" s="67"/>
      <c r="D728" s="68">
        <v>104.952742720145</v>
      </c>
      <c r="E728" s="70"/>
      <c r="F728" s="97" t="str">
        <f>HYPERLINK("https://i.ytimg.com/vi/TSgNi5VrtXE/default.jpg")</f>
        <v>https://i.ytimg.com/vi/TSgNi5VrtXE/default.jpg</v>
      </c>
      <c r="G728" s="120" t="s">
        <v>52</v>
      </c>
      <c r="H728" s="71" t="s">
        <v>1107</v>
      </c>
      <c r="I728" s="72"/>
      <c r="J728" s="72" t="s">
        <v>159</v>
      </c>
      <c r="K728" s="71" t="s">
        <v>1107</v>
      </c>
      <c r="L728" s="75">
        <v>213.72340425531914</v>
      </c>
      <c r="M728" s="76">
        <v>4732.6064453125</v>
      </c>
      <c r="N728" s="76">
        <v>403.9691162109375</v>
      </c>
      <c r="O728" s="77"/>
      <c r="P728" s="78"/>
      <c r="Q728" s="78"/>
      <c r="R728" s="82"/>
      <c r="S728" s="48"/>
      <c r="T728" s="48"/>
      <c r="U728" s="49"/>
      <c r="V728" s="49"/>
      <c r="W728" s="49"/>
      <c r="X728" s="49"/>
      <c r="Y728" s="49"/>
      <c r="Z728" s="49"/>
      <c r="AA728" s="73">
        <v>728</v>
      </c>
      <c r="AB728" s="73"/>
      <c r="AC728" s="74"/>
      <c r="AD728" s="80" t="s">
        <v>1107</v>
      </c>
      <c r="AE728" s="80"/>
      <c r="AF728" s="80"/>
      <c r="AG728" s="80" t="s">
        <v>2958</v>
      </c>
      <c r="AH728" s="80" t="s">
        <v>3520</v>
      </c>
      <c r="AI728" s="80">
        <v>39</v>
      </c>
      <c r="AJ728" s="80">
        <v>0</v>
      </c>
      <c r="AK728" s="80">
        <v>1</v>
      </c>
      <c r="AL728" s="80">
        <v>0</v>
      </c>
      <c r="AM728" s="80" t="s">
        <v>4098</v>
      </c>
      <c r="AN728" s="96" t="str">
        <f>HYPERLINK("https://www.youtube.com/watch?v=TSgNi5VrtXE")</f>
        <v>https://www.youtube.com/watch?v=TSgNi5VrtXE</v>
      </c>
      <c r="AO728" s="80" t="e">
        <f>REPLACE(INDEX(GroupVertices[Group],MATCH(Vertices[[#This Row],[Vertex]],GroupVertices[Vertex],0)),1,1,"")</f>
        <v>#N/A</v>
      </c>
      <c r="AP728" s="48"/>
      <c r="AQ728" s="49"/>
      <c r="AR728" s="48"/>
      <c r="AS728" s="49"/>
      <c r="AT728" s="48"/>
      <c r="AU728" s="49"/>
      <c r="AV728" s="48"/>
      <c r="AW728" s="49"/>
      <c r="AX728" s="48"/>
      <c r="AY728" s="48"/>
      <c r="AZ728" s="48"/>
      <c r="BA728" s="48"/>
      <c r="BB728" s="48"/>
      <c r="BC728" s="2"/>
      <c r="BD728" s="3"/>
      <c r="BE728" s="3"/>
      <c r="BF728" s="3"/>
      <c r="BG728" s="3"/>
    </row>
    <row r="729" spans="1:59" ht="15">
      <c r="A729" s="66" t="s">
        <v>364</v>
      </c>
      <c r="B729" s="67" t="s">
        <v>4461</v>
      </c>
      <c r="C729" s="67"/>
      <c r="D729" s="68">
        <v>102.64687226482434</v>
      </c>
      <c r="E729" s="70"/>
      <c r="F729" s="97" t="str">
        <f>HYPERLINK("https://i.ytimg.com/vi/ARI-zWd53-c/default.jpg")</f>
        <v>https://i.ytimg.com/vi/ARI-zWd53-c/default.jpg</v>
      </c>
      <c r="G729" s="120" t="s">
        <v>52</v>
      </c>
      <c r="H729" s="71" t="s">
        <v>1070</v>
      </c>
      <c r="I729" s="72"/>
      <c r="J729" s="72" t="s">
        <v>159</v>
      </c>
      <c r="K729" s="71" t="s">
        <v>1070</v>
      </c>
      <c r="L729" s="75">
        <v>213.72340425531914</v>
      </c>
      <c r="M729" s="76">
        <v>2597.611083984375</v>
      </c>
      <c r="N729" s="76">
        <v>6342.7314453125</v>
      </c>
      <c r="O729" s="77"/>
      <c r="P729" s="78"/>
      <c r="Q729" s="78"/>
      <c r="R729" s="82"/>
      <c r="S729" s="48"/>
      <c r="T729" s="48"/>
      <c r="U729" s="49"/>
      <c r="V729" s="49"/>
      <c r="W729" s="49"/>
      <c r="X729" s="49"/>
      <c r="Y729" s="49"/>
      <c r="Z729" s="49"/>
      <c r="AA729" s="73">
        <v>729</v>
      </c>
      <c r="AB729" s="73"/>
      <c r="AC729" s="74"/>
      <c r="AD729" s="80" t="s">
        <v>1070</v>
      </c>
      <c r="AE729" s="80" t="s">
        <v>1781</v>
      </c>
      <c r="AF729" s="80"/>
      <c r="AG729" s="80" t="s">
        <v>2907</v>
      </c>
      <c r="AH729" s="80" t="s">
        <v>3483</v>
      </c>
      <c r="AI729" s="80">
        <v>38</v>
      </c>
      <c r="AJ729" s="80">
        <v>0</v>
      </c>
      <c r="AK729" s="80">
        <v>0</v>
      </c>
      <c r="AL729" s="80">
        <v>0</v>
      </c>
      <c r="AM729" s="80" t="s">
        <v>4098</v>
      </c>
      <c r="AN729" s="96" t="str">
        <f>HYPERLINK("https://www.youtube.com/watch?v=ARI-zWd53-c")</f>
        <v>https://www.youtube.com/watch?v=ARI-zWd53-c</v>
      </c>
      <c r="AO729" s="80" t="e">
        <f>REPLACE(INDEX(GroupVertices[Group],MATCH(Vertices[[#This Row],[Vertex]],GroupVertices[Vertex],0)),1,1,"")</f>
        <v>#N/A</v>
      </c>
      <c r="AP729" s="48"/>
      <c r="AQ729" s="49"/>
      <c r="AR729" s="48"/>
      <c r="AS729" s="49"/>
      <c r="AT729" s="48"/>
      <c r="AU729" s="49"/>
      <c r="AV729" s="48"/>
      <c r="AW729" s="49"/>
      <c r="AX729" s="48"/>
      <c r="AY729" s="48"/>
      <c r="AZ729" s="48"/>
      <c r="BA729" s="48"/>
      <c r="BB729" s="48"/>
      <c r="BC729" s="2"/>
      <c r="BD729" s="3"/>
      <c r="BE729" s="3"/>
      <c r="BF729" s="3"/>
      <c r="BG729" s="3"/>
    </row>
    <row r="730" spans="1:59" ht="15">
      <c r="A730" s="66" t="s">
        <v>384</v>
      </c>
      <c r="B730" s="67" t="s">
        <v>4461</v>
      </c>
      <c r="C730" s="67"/>
      <c r="D730" s="68">
        <v>92.77325904760468</v>
      </c>
      <c r="E730" s="70"/>
      <c r="F730" s="97" t="str">
        <f>HYPERLINK("https://i.ytimg.com/vi/JPUn_Lsokn8/default.jpg")</f>
        <v>https://i.ytimg.com/vi/JPUn_Lsokn8/default.jpg</v>
      </c>
      <c r="G730" s="120" t="s">
        <v>52</v>
      </c>
      <c r="H730" s="71" t="s">
        <v>1091</v>
      </c>
      <c r="I730" s="72"/>
      <c r="J730" s="72" t="s">
        <v>159</v>
      </c>
      <c r="K730" s="71" t="s">
        <v>1091</v>
      </c>
      <c r="L730" s="75">
        <v>213.72340425531914</v>
      </c>
      <c r="M730" s="76">
        <v>4038.08642578125</v>
      </c>
      <c r="N730" s="76">
        <v>490.9293212890625</v>
      </c>
      <c r="O730" s="77"/>
      <c r="P730" s="78"/>
      <c r="Q730" s="78"/>
      <c r="R730" s="82"/>
      <c r="S730" s="48"/>
      <c r="T730" s="48"/>
      <c r="U730" s="49"/>
      <c r="V730" s="49"/>
      <c r="W730" s="49"/>
      <c r="X730" s="49"/>
      <c r="Y730" s="49"/>
      <c r="Z730" s="49"/>
      <c r="AA730" s="73">
        <v>730</v>
      </c>
      <c r="AB730" s="73"/>
      <c r="AC730" s="74"/>
      <c r="AD730" s="80" t="s">
        <v>1091</v>
      </c>
      <c r="AE730" s="80" t="s">
        <v>1797</v>
      </c>
      <c r="AF730" s="80"/>
      <c r="AG730" s="80" t="s">
        <v>2958</v>
      </c>
      <c r="AH730" s="80" t="s">
        <v>3505</v>
      </c>
      <c r="AI730" s="80">
        <v>34</v>
      </c>
      <c r="AJ730" s="80">
        <v>0</v>
      </c>
      <c r="AK730" s="80">
        <v>0</v>
      </c>
      <c r="AL730" s="80">
        <v>0</v>
      </c>
      <c r="AM730" s="80" t="s">
        <v>4098</v>
      </c>
      <c r="AN730" s="96" t="str">
        <f>HYPERLINK("https://www.youtube.com/watch?v=JPUn_Lsokn8")</f>
        <v>https://www.youtube.com/watch?v=JPUn_Lsokn8</v>
      </c>
      <c r="AO730" s="80" t="e">
        <f>REPLACE(INDEX(GroupVertices[Group],MATCH(Vertices[[#This Row],[Vertex]],GroupVertices[Vertex],0)),1,1,"")</f>
        <v>#N/A</v>
      </c>
      <c r="AP730" s="48"/>
      <c r="AQ730" s="49"/>
      <c r="AR730" s="48"/>
      <c r="AS730" s="49"/>
      <c r="AT730" s="48"/>
      <c r="AU730" s="49"/>
      <c r="AV730" s="48"/>
      <c r="AW730" s="49"/>
      <c r="AX730" s="48"/>
      <c r="AY730" s="48"/>
      <c r="AZ730" s="48"/>
      <c r="BA730" s="48"/>
      <c r="BB730" s="48"/>
      <c r="BC730" s="2"/>
      <c r="BD730" s="3"/>
      <c r="BE730" s="3"/>
      <c r="BF730" s="3"/>
      <c r="BG730" s="3"/>
    </row>
    <row r="731" spans="1:59" ht="15">
      <c r="A731" s="66" t="s">
        <v>385</v>
      </c>
      <c r="B731" s="67" t="s">
        <v>4461</v>
      </c>
      <c r="C731" s="67"/>
      <c r="D731" s="68">
        <v>54.129629296184824</v>
      </c>
      <c r="E731" s="70"/>
      <c r="F731" s="97" t="str">
        <f>HYPERLINK("https://i.ytimg.com/vi/hyj7fhz_9CY/default.jpg")</f>
        <v>https://i.ytimg.com/vi/hyj7fhz_9CY/default.jpg</v>
      </c>
      <c r="G731" s="120" t="s">
        <v>52</v>
      </c>
      <c r="H731" s="71" t="s">
        <v>1092</v>
      </c>
      <c r="I731" s="72"/>
      <c r="J731" s="72" t="s">
        <v>159</v>
      </c>
      <c r="K731" s="71" t="s">
        <v>1092</v>
      </c>
      <c r="L731" s="75">
        <v>213.72340425531914</v>
      </c>
      <c r="M731" s="76">
        <v>5007.2177734375</v>
      </c>
      <c r="N731" s="76">
        <v>649.5616455078125</v>
      </c>
      <c r="O731" s="77"/>
      <c r="P731" s="78"/>
      <c r="Q731" s="78"/>
      <c r="R731" s="82"/>
      <c r="S731" s="48"/>
      <c r="T731" s="48"/>
      <c r="U731" s="49"/>
      <c r="V731" s="49"/>
      <c r="W731" s="49"/>
      <c r="X731" s="49"/>
      <c r="Y731" s="49"/>
      <c r="Z731" s="49"/>
      <c r="AA731" s="73">
        <v>731</v>
      </c>
      <c r="AB731" s="73"/>
      <c r="AC731" s="74"/>
      <c r="AD731" s="80" t="s">
        <v>1092</v>
      </c>
      <c r="AE731" s="80"/>
      <c r="AF731" s="80"/>
      <c r="AG731" s="80" t="s">
        <v>2958</v>
      </c>
      <c r="AH731" s="80" t="s">
        <v>3506</v>
      </c>
      <c r="AI731" s="80">
        <v>22</v>
      </c>
      <c r="AJ731" s="80">
        <v>0</v>
      </c>
      <c r="AK731" s="80">
        <v>0</v>
      </c>
      <c r="AL731" s="80">
        <v>0</v>
      </c>
      <c r="AM731" s="80" t="s">
        <v>4098</v>
      </c>
      <c r="AN731" s="96" t="str">
        <f>HYPERLINK("https://www.youtube.com/watch?v=hyj7fhz_9CY")</f>
        <v>https://www.youtube.com/watch?v=hyj7fhz_9CY</v>
      </c>
      <c r="AO731" s="80" t="e">
        <f>REPLACE(INDEX(GroupVertices[Group],MATCH(Vertices[[#This Row],[Vertex]],GroupVertices[Vertex],0)),1,1,"")</f>
        <v>#N/A</v>
      </c>
      <c r="AP731" s="48"/>
      <c r="AQ731" s="49"/>
      <c r="AR731" s="48"/>
      <c r="AS731" s="49"/>
      <c r="AT731" s="48"/>
      <c r="AU731" s="49"/>
      <c r="AV731" s="48"/>
      <c r="AW731" s="49"/>
      <c r="AX731" s="48"/>
      <c r="AY731" s="48"/>
      <c r="AZ731" s="48"/>
      <c r="BA731" s="48"/>
      <c r="BB731" s="48"/>
      <c r="BC731" s="2"/>
      <c r="BD731" s="3"/>
      <c r="BE731" s="3"/>
      <c r="BF731" s="3"/>
      <c r="BG731" s="3"/>
    </row>
    <row r="732" spans="1:59" ht="15">
      <c r="A732" s="66" t="s">
        <v>388</v>
      </c>
      <c r="B732" s="67" t="s">
        <v>4461</v>
      </c>
      <c r="C732" s="67"/>
      <c r="D732" s="68">
        <v>50</v>
      </c>
      <c r="E732" s="70"/>
      <c r="F732" s="97" t="str">
        <f>HYPERLINK("https://i.ytimg.com/vi/_QVp_O0zKUM/default.jpg")</f>
        <v>https://i.ytimg.com/vi/_QVp_O0zKUM/default.jpg</v>
      </c>
      <c r="G732" s="120" t="s">
        <v>52</v>
      </c>
      <c r="H732" s="71" t="s">
        <v>1095</v>
      </c>
      <c r="I732" s="72"/>
      <c r="J732" s="72" t="s">
        <v>159</v>
      </c>
      <c r="K732" s="71" t="s">
        <v>1095</v>
      </c>
      <c r="L732" s="75">
        <v>213.72340425531914</v>
      </c>
      <c r="M732" s="76">
        <v>4245.69873046875</v>
      </c>
      <c r="N732" s="76">
        <v>562.4268188476562</v>
      </c>
      <c r="O732" s="77"/>
      <c r="P732" s="78"/>
      <c r="Q732" s="78"/>
      <c r="R732" s="82"/>
      <c r="S732" s="48"/>
      <c r="T732" s="48"/>
      <c r="U732" s="49"/>
      <c r="V732" s="49"/>
      <c r="W732" s="49"/>
      <c r="X732" s="49"/>
      <c r="Y732" s="49"/>
      <c r="Z732" s="49"/>
      <c r="AA732" s="73">
        <v>732</v>
      </c>
      <c r="AB732" s="73"/>
      <c r="AC732" s="74"/>
      <c r="AD732" s="80" t="s">
        <v>1095</v>
      </c>
      <c r="AE732" s="80"/>
      <c r="AF732" s="80"/>
      <c r="AG732" s="80" t="s">
        <v>2958</v>
      </c>
      <c r="AH732" s="80" t="s">
        <v>3509</v>
      </c>
      <c r="AI732" s="80">
        <v>21</v>
      </c>
      <c r="AJ732" s="80">
        <v>0</v>
      </c>
      <c r="AK732" s="80">
        <v>0</v>
      </c>
      <c r="AL732" s="80">
        <v>0</v>
      </c>
      <c r="AM732" s="80" t="s">
        <v>4098</v>
      </c>
      <c r="AN732" s="96" t="str">
        <f>HYPERLINK("https://www.youtube.com/watch?v=_QVp_O0zKUM")</f>
        <v>https://www.youtube.com/watch?v=_QVp_O0zKUM</v>
      </c>
      <c r="AO732" s="80" t="e">
        <f>REPLACE(INDEX(GroupVertices[Group],MATCH(Vertices[[#This Row],[Vertex]],GroupVertices[Vertex],0)),1,1,"")</f>
        <v>#N/A</v>
      </c>
      <c r="AP732" s="48"/>
      <c r="AQ732" s="49"/>
      <c r="AR732" s="48"/>
      <c r="AS732" s="49"/>
      <c r="AT732" s="48"/>
      <c r="AU732" s="49"/>
      <c r="AV732" s="48"/>
      <c r="AW732" s="49"/>
      <c r="AX732" s="48"/>
      <c r="AY732" s="48"/>
      <c r="AZ732" s="48"/>
      <c r="BA732" s="48"/>
      <c r="BB732" s="48"/>
      <c r="BC732" s="2"/>
      <c r="BD732" s="3"/>
      <c r="BE732" s="3"/>
      <c r="BF732" s="3"/>
      <c r="BG732" s="3"/>
    </row>
    <row r="733" spans="1:59" ht="15">
      <c r="A733" s="66" t="s">
        <v>431</v>
      </c>
      <c r="B733" s="67" t="s">
        <v>4461</v>
      </c>
      <c r="C733" s="67"/>
      <c r="D733" s="68">
        <v>50</v>
      </c>
      <c r="E733" s="70"/>
      <c r="F733" s="97" t="str">
        <f>HYPERLINK("https://i.ytimg.com/vi/Ipv7I3LuCLY/default.jpg")</f>
        <v>https://i.ytimg.com/vi/Ipv7I3LuCLY/default.jpg</v>
      </c>
      <c r="G733" s="120" t="s">
        <v>52</v>
      </c>
      <c r="H733" s="71" t="s">
        <v>1139</v>
      </c>
      <c r="I733" s="72"/>
      <c r="J733" s="72" t="s">
        <v>159</v>
      </c>
      <c r="K733" s="71" t="s">
        <v>1139</v>
      </c>
      <c r="L733" s="75">
        <v>213.72340425531914</v>
      </c>
      <c r="M733" s="76">
        <v>9738.646484375</v>
      </c>
      <c r="N733" s="76">
        <v>4124.505859375</v>
      </c>
      <c r="O733" s="77"/>
      <c r="P733" s="78"/>
      <c r="Q733" s="78"/>
      <c r="R733" s="82"/>
      <c r="S733" s="48"/>
      <c r="T733" s="48"/>
      <c r="U733" s="49"/>
      <c r="V733" s="49"/>
      <c r="W733" s="49"/>
      <c r="X733" s="49"/>
      <c r="Y733" s="49"/>
      <c r="Z733" s="49"/>
      <c r="AA733" s="73">
        <v>733</v>
      </c>
      <c r="AB733" s="73"/>
      <c r="AC733" s="74"/>
      <c r="AD733" s="80" t="s">
        <v>1139</v>
      </c>
      <c r="AE733" s="80"/>
      <c r="AF733" s="80"/>
      <c r="AG733" s="80" t="s">
        <v>2999</v>
      </c>
      <c r="AH733" s="80" t="s">
        <v>3552</v>
      </c>
      <c r="AI733" s="80">
        <v>21</v>
      </c>
      <c r="AJ733" s="80">
        <v>0</v>
      </c>
      <c r="AK733" s="80">
        <v>0</v>
      </c>
      <c r="AL733" s="80">
        <v>0</v>
      </c>
      <c r="AM733" s="80" t="s">
        <v>4098</v>
      </c>
      <c r="AN733" s="96" t="str">
        <f>HYPERLINK("https://www.youtube.com/watch?v=Ipv7I3LuCLY")</f>
        <v>https://www.youtube.com/watch?v=Ipv7I3LuCLY</v>
      </c>
      <c r="AO733" s="80" t="e">
        <f>REPLACE(INDEX(GroupVertices[Group],MATCH(Vertices[[#This Row],[Vertex]],GroupVertices[Vertex],0)),1,1,"")</f>
        <v>#N/A</v>
      </c>
      <c r="AP733" s="48"/>
      <c r="AQ733" s="49"/>
      <c r="AR733" s="48"/>
      <c r="AS733" s="49"/>
      <c r="AT733" s="48"/>
      <c r="AU733" s="49"/>
      <c r="AV733" s="48"/>
      <c r="AW733" s="49"/>
      <c r="AX733" s="48"/>
      <c r="AY733" s="48"/>
      <c r="AZ733" s="48"/>
      <c r="BA733" s="48"/>
      <c r="BB733" s="48"/>
      <c r="BC733" s="2"/>
      <c r="BD733" s="3"/>
      <c r="BE733" s="3"/>
      <c r="BF733" s="3"/>
      <c r="BG733" s="3"/>
    </row>
    <row r="734" spans="1:59" ht="15">
      <c r="A734" s="66" t="s">
        <v>910</v>
      </c>
      <c r="B734" s="84" t="s">
        <v>4461</v>
      </c>
      <c r="C734" s="84"/>
      <c r="D734" s="85">
        <v>50</v>
      </c>
      <c r="E734" s="86"/>
      <c r="F734" s="98" t="str">
        <f>HYPERLINK("https://i.ytimg.com/vi/9EB6cZjT4nQ/default.jpg")</f>
        <v>https://i.ytimg.com/vi/9EB6cZjT4nQ/default.jpg</v>
      </c>
      <c r="G734" s="84" t="s">
        <v>52</v>
      </c>
      <c r="H734" s="87" t="s">
        <v>1648</v>
      </c>
      <c r="I734" s="88"/>
      <c r="J734" s="88" t="s">
        <v>159</v>
      </c>
      <c r="K734" s="87" t="s">
        <v>1648</v>
      </c>
      <c r="L734" s="89">
        <v>213.72340425531914</v>
      </c>
      <c r="M734" s="90">
        <v>1047.02099609375</v>
      </c>
      <c r="N734" s="90">
        <v>5076.4130859375</v>
      </c>
      <c r="O734" s="91"/>
      <c r="P734" s="92"/>
      <c r="Q734" s="92"/>
      <c r="R734" s="93"/>
      <c r="S734" s="48"/>
      <c r="T734" s="48"/>
      <c r="U734" s="49"/>
      <c r="V734" s="49"/>
      <c r="W734" s="49"/>
      <c r="X734" s="49"/>
      <c r="Y734" s="49"/>
      <c r="Z734" s="49"/>
      <c r="AA734" s="94">
        <v>734</v>
      </c>
      <c r="AB734" s="94"/>
      <c r="AC734" s="74"/>
      <c r="AD734" s="80" t="s">
        <v>1648</v>
      </c>
      <c r="AE734" s="80" t="s">
        <v>2285</v>
      </c>
      <c r="AF734" s="80" t="s">
        <v>2867</v>
      </c>
      <c r="AG734" s="80" t="s">
        <v>3353</v>
      </c>
      <c r="AH734" s="80" t="s">
        <v>4064</v>
      </c>
      <c r="AI734" s="80">
        <v>0</v>
      </c>
      <c r="AJ734" s="80">
        <v>0</v>
      </c>
      <c r="AK734" s="80">
        <v>21</v>
      </c>
      <c r="AL734" s="80">
        <v>0</v>
      </c>
      <c r="AM734" s="80" t="s">
        <v>4098</v>
      </c>
      <c r="AN734" s="96" t="str">
        <f>HYPERLINK("https://www.youtube.com/watch?v=9EB6cZjT4nQ")</f>
        <v>https://www.youtube.com/watch?v=9EB6cZjT4nQ</v>
      </c>
      <c r="AO734" s="80" t="e">
        <f>REPLACE(INDEX(GroupVertices[Group],MATCH(Vertices[[#This Row],[Vertex]],GroupVertices[Vertex],0)),1,1,"")</f>
        <v>#N/A</v>
      </c>
      <c r="AP734" s="48"/>
      <c r="AQ734" s="49"/>
      <c r="AR734" s="48"/>
      <c r="AS734" s="49"/>
      <c r="AT734" s="48"/>
      <c r="AU734" s="49"/>
      <c r="AV734" s="48"/>
      <c r="AW734" s="49"/>
      <c r="AX734" s="48"/>
      <c r="AY734" s="48"/>
      <c r="AZ734" s="48"/>
      <c r="BA734" s="48"/>
      <c r="BB734" s="48"/>
      <c r="BC734" s="2"/>
      <c r="BD734" s="3"/>
      <c r="BE734" s="3"/>
      <c r="BF734" s="3"/>
      <c r="BG7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34"/>
    <dataValidation allowBlank="1" errorTitle="Invalid Vertex Visibility" error="You have entered an unrecognized vertex visibility.  Try selecting from the drop-down list instead." sqref="BC3"/>
    <dataValidation allowBlank="1" showErrorMessage="1" sqref="BC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34"/>
    <dataValidation allowBlank="1" showInputMessage="1" promptTitle="Vertex Tooltip" prompt="Enter optional text that will pop up when the mouse is hovered over the vertex." errorTitle="Invalid Vertex Image Key" sqref="K3:K7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34"/>
    <dataValidation allowBlank="1" showInputMessage="1" promptTitle="Vertex Label Fill Color" prompt="To select an optional fill color for the Label shape, right-click and select Select Color on the right-click menu." sqref="I3:I734"/>
    <dataValidation allowBlank="1" showInputMessage="1" promptTitle="Vertex Image File" prompt="Enter the path to an image file.  Hover over the column header for examples." errorTitle="Invalid Vertex Image Key" sqref="F3:F734"/>
    <dataValidation allowBlank="1" showInputMessage="1" promptTitle="Vertex Color" prompt="To select an optional vertex color, right-click and select Select Color on the right-click menu." sqref="B3:B734"/>
    <dataValidation allowBlank="1" showInputMessage="1" promptTitle="Vertex Opacity" prompt="Enter an optional vertex opacity between 0 (transparent) and 100 (opaque)." errorTitle="Invalid Vertex Opacity" error="The optional vertex opacity must be a whole number between 0 and 10." sqref="E3:E734"/>
    <dataValidation type="list" allowBlank="1" showInputMessage="1" showErrorMessage="1" promptTitle="Vertex Shape" prompt="Select an optional vertex shape." errorTitle="Invalid Vertex Shape" error="You have entered an invalid vertex shape.  Try selecting from the drop-down list instead." sqref="C3:C7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34">
      <formula1>ValidVertexLabelPositions</formula1>
    </dataValidation>
    <dataValidation allowBlank="1" showInputMessage="1" showErrorMessage="1" promptTitle="Vertex Name" prompt="Enter the name of the vertex." sqref="A3:A7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3"/>
  <sheetViews>
    <sheetView workbookViewId="0" topLeftCell="A1">
      <pane ySplit="2" topLeftCell="A3" activePane="bottomLeft" state="frozen"/>
      <selection pane="bottomLeft" activeCell="A2" sqref="A2:AI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140625" style="0" bestFit="1" customWidth="1"/>
    <col min="35" max="35" width="14.00390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4369</v>
      </c>
      <c r="Z2" s="52" t="s">
        <v>4370</v>
      </c>
      <c r="AA2" s="52" t="s">
        <v>4371</v>
      </c>
      <c r="AB2" s="52" t="s">
        <v>4372</v>
      </c>
      <c r="AC2" s="52" t="s">
        <v>4373</v>
      </c>
      <c r="AD2" s="52" t="s">
        <v>4374</v>
      </c>
      <c r="AE2" s="52" t="s">
        <v>4375</v>
      </c>
      <c r="AF2" s="52" t="s">
        <v>4376</v>
      </c>
      <c r="AG2" s="52" t="s">
        <v>4379</v>
      </c>
      <c r="AH2" s="13" t="s">
        <v>4423</v>
      </c>
      <c r="AI2" s="13" t="s">
        <v>4448</v>
      </c>
    </row>
    <row r="3" spans="1:35" ht="15">
      <c r="A3" s="83" t="s">
        <v>4101</v>
      </c>
      <c r="B3" s="67" t="s">
        <v>4105</v>
      </c>
      <c r="C3" s="67" t="s">
        <v>56</v>
      </c>
      <c r="D3" s="100"/>
      <c r="E3" s="99"/>
      <c r="F3" s="101" t="s">
        <v>4485</v>
      </c>
      <c r="G3" s="102"/>
      <c r="H3" s="102"/>
      <c r="I3" s="103">
        <v>3</v>
      </c>
      <c r="J3" s="104"/>
      <c r="K3" s="48">
        <v>87</v>
      </c>
      <c r="L3" s="48">
        <v>298</v>
      </c>
      <c r="M3" s="48">
        <v>0</v>
      </c>
      <c r="N3" s="48">
        <v>298</v>
      </c>
      <c r="O3" s="48">
        <v>0</v>
      </c>
      <c r="P3" s="49">
        <v>0.0996309963099631</v>
      </c>
      <c r="Q3" s="49">
        <v>0.18120805369127516</v>
      </c>
      <c r="R3" s="48">
        <v>1</v>
      </c>
      <c r="S3" s="48">
        <v>0</v>
      </c>
      <c r="T3" s="48">
        <v>87</v>
      </c>
      <c r="U3" s="48">
        <v>298</v>
      </c>
      <c r="V3" s="48">
        <v>4</v>
      </c>
      <c r="W3" s="49">
        <v>2.335579</v>
      </c>
      <c r="X3" s="49">
        <v>0.03982892274792836</v>
      </c>
      <c r="Y3" s="48">
        <v>26</v>
      </c>
      <c r="Z3" s="49">
        <v>2.9782359679266897</v>
      </c>
      <c r="AA3" s="48">
        <v>12</v>
      </c>
      <c r="AB3" s="49">
        <v>1.3745704467353952</v>
      </c>
      <c r="AC3" s="48">
        <v>0</v>
      </c>
      <c r="AD3" s="49">
        <v>0</v>
      </c>
      <c r="AE3" s="48">
        <v>835</v>
      </c>
      <c r="AF3" s="49">
        <v>95.64719358533792</v>
      </c>
      <c r="AG3" s="48">
        <v>873</v>
      </c>
      <c r="AH3" s="112" t="s">
        <v>4466</v>
      </c>
      <c r="AI3" s="112" t="s">
        <v>4481</v>
      </c>
    </row>
    <row r="4" spans="1:35" ht="15">
      <c r="A4" s="131" t="s">
        <v>4102</v>
      </c>
      <c r="B4" s="67" t="s">
        <v>4106</v>
      </c>
      <c r="C4" s="67" t="s">
        <v>56</v>
      </c>
      <c r="D4" s="106"/>
      <c r="E4" s="105"/>
      <c r="F4" s="107" t="s">
        <v>4486</v>
      </c>
      <c r="G4" s="108"/>
      <c r="H4" s="108"/>
      <c r="I4" s="109">
        <v>4</v>
      </c>
      <c r="J4" s="110"/>
      <c r="K4" s="48">
        <v>70</v>
      </c>
      <c r="L4" s="48">
        <v>508</v>
      </c>
      <c r="M4" s="48">
        <v>0</v>
      </c>
      <c r="N4" s="48">
        <v>508</v>
      </c>
      <c r="O4" s="48">
        <v>0</v>
      </c>
      <c r="P4" s="49">
        <v>0.3263707571801567</v>
      </c>
      <c r="Q4" s="49">
        <v>0.4921259842519685</v>
      </c>
      <c r="R4" s="48">
        <v>1</v>
      </c>
      <c r="S4" s="48">
        <v>0</v>
      </c>
      <c r="T4" s="48">
        <v>70</v>
      </c>
      <c r="U4" s="48">
        <v>508</v>
      </c>
      <c r="V4" s="48">
        <v>3</v>
      </c>
      <c r="W4" s="49">
        <v>2.067755</v>
      </c>
      <c r="X4" s="49">
        <v>0.105175983436853</v>
      </c>
      <c r="Y4" s="48">
        <v>5</v>
      </c>
      <c r="Z4" s="49">
        <v>0.9025270758122743</v>
      </c>
      <c r="AA4" s="48">
        <v>2</v>
      </c>
      <c r="AB4" s="49">
        <v>0.36101083032490977</v>
      </c>
      <c r="AC4" s="48">
        <v>0</v>
      </c>
      <c r="AD4" s="49">
        <v>0</v>
      </c>
      <c r="AE4" s="48">
        <v>547</v>
      </c>
      <c r="AF4" s="49">
        <v>98.73646209386281</v>
      </c>
      <c r="AG4" s="48">
        <v>554</v>
      </c>
      <c r="AH4" s="112" t="s">
        <v>4467</v>
      </c>
      <c r="AI4" s="112" t="s">
        <v>4482</v>
      </c>
    </row>
    <row r="5" spans="1:35" ht="15">
      <c r="A5" s="131" t="s">
        <v>4103</v>
      </c>
      <c r="B5" s="67" t="s">
        <v>4107</v>
      </c>
      <c r="C5" s="67" t="s">
        <v>56</v>
      </c>
      <c r="D5" s="106"/>
      <c r="E5" s="105"/>
      <c r="F5" s="107" t="s">
        <v>4487</v>
      </c>
      <c r="G5" s="108"/>
      <c r="H5" s="108"/>
      <c r="I5" s="109">
        <v>5</v>
      </c>
      <c r="J5" s="110"/>
      <c r="K5" s="48">
        <v>59</v>
      </c>
      <c r="L5" s="48">
        <v>170</v>
      </c>
      <c r="M5" s="48">
        <v>0</v>
      </c>
      <c r="N5" s="48">
        <v>170</v>
      </c>
      <c r="O5" s="48">
        <v>0</v>
      </c>
      <c r="P5" s="49">
        <v>0.0759493670886076</v>
      </c>
      <c r="Q5" s="49">
        <v>0.1411764705882353</v>
      </c>
      <c r="R5" s="48">
        <v>1</v>
      </c>
      <c r="S5" s="48">
        <v>0</v>
      </c>
      <c r="T5" s="48">
        <v>59</v>
      </c>
      <c r="U5" s="48">
        <v>170</v>
      </c>
      <c r="V5" s="48">
        <v>4</v>
      </c>
      <c r="W5" s="49">
        <v>2.266016</v>
      </c>
      <c r="X5" s="49">
        <v>0.049678550555230856</v>
      </c>
      <c r="Y5" s="48">
        <v>8</v>
      </c>
      <c r="Z5" s="49">
        <v>1.1363636363636365</v>
      </c>
      <c r="AA5" s="48">
        <v>22</v>
      </c>
      <c r="AB5" s="49">
        <v>3.125</v>
      </c>
      <c r="AC5" s="48">
        <v>0</v>
      </c>
      <c r="AD5" s="49">
        <v>0</v>
      </c>
      <c r="AE5" s="48">
        <v>674</v>
      </c>
      <c r="AF5" s="49">
        <v>95.73863636363636</v>
      </c>
      <c r="AG5" s="48">
        <v>704</v>
      </c>
      <c r="AH5" s="112" t="s">
        <v>4468</v>
      </c>
      <c r="AI5" s="112" t="s">
        <v>4483</v>
      </c>
    </row>
    <row r="6" spans="1:35" ht="15">
      <c r="A6" s="131" t="s">
        <v>4104</v>
      </c>
      <c r="B6" s="67" t="s">
        <v>4108</v>
      </c>
      <c r="C6" s="67" t="s">
        <v>56</v>
      </c>
      <c r="D6" s="106"/>
      <c r="E6" s="105"/>
      <c r="F6" s="107" t="s">
        <v>4488</v>
      </c>
      <c r="G6" s="108"/>
      <c r="H6" s="108"/>
      <c r="I6" s="109">
        <v>6</v>
      </c>
      <c r="J6" s="110"/>
      <c r="K6" s="48">
        <v>44</v>
      </c>
      <c r="L6" s="48">
        <v>61</v>
      </c>
      <c r="M6" s="48">
        <v>0</v>
      </c>
      <c r="N6" s="48">
        <v>61</v>
      </c>
      <c r="O6" s="48">
        <v>0</v>
      </c>
      <c r="P6" s="49">
        <v>0</v>
      </c>
      <c r="Q6" s="49">
        <v>0</v>
      </c>
      <c r="R6" s="48">
        <v>1</v>
      </c>
      <c r="S6" s="48">
        <v>0</v>
      </c>
      <c r="T6" s="48">
        <v>44</v>
      </c>
      <c r="U6" s="48">
        <v>61</v>
      </c>
      <c r="V6" s="48">
        <v>4</v>
      </c>
      <c r="W6" s="49">
        <v>2.359504</v>
      </c>
      <c r="X6" s="49">
        <v>0.03224101479915433</v>
      </c>
      <c r="Y6" s="48">
        <v>5</v>
      </c>
      <c r="Z6" s="49">
        <v>1.0266940451745379</v>
      </c>
      <c r="AA6" s="48">
        <v>12</v>
      </c>
      <c r="AB6" s="49">
        <v>2.4640657084188913</v>
      </c>
      <c r="AC6" s="48">
        <v>0</v>
      </c>
      <c r="AD6" s="49">
        <v>0</v>
      </c>
      <c r="AE6" s="48">
        <v>470</v>
      </c>
      <c r="AF6" s="49">
        <v>96.50924024640658</v>
      </c>
      <c r="AG6" s="48">
        <v>487</v>
      </c>
      <c r="AH6" s="112" t="s">
        <v>4469</v>
      </c>
      <c r="AI6" s="112" t="s">
        <v>4484</v>
      </c>
    </row>
    <row r="7" ht="15">
      <c r="A7"/>
    </row>
    <row r="8" ht="15">
      <c r="A8"/>
    </row>
    <row r="9" ht="15">
      <c r="A9"/>
    </row>
    <row r="10" ht="14.25" customHeight="1">
      <c r="A10"/>
    </row>
    <row r="11" ht="15">
      <c r="A11"/>
    </row>
    <row r="12" ht="15">
      <c r="A12"/>
    </row>
    <row r="13" ht="15">
      <c r="A13"/>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4101</v>
      </c>
      <c r="B2" s="112" t="s">
        <v>261</v>
      </c>
      <c r="C2" s="80">
        <f>VLOOKUP(GroupVertices[[#This Row],[Vertex]],Vertices[],MATCH("ID",Vertices[[#Headers],[Vertex]:[Top Word Pairs in Tags by Salience]],0),FALSE)</f>
        <v>4</v>
      </c>
    </row>
    <row r="3" spans="1:3" ht="15">
      <c r="A3" s="80" t="s">
        <v>4101</v>
      </c>
      <c r="B3" s="112" t="s">
        <v>941</v>
      </c>
      <c r="C3" s="80">
        <f>VLOOKUP(GroupVertices[[#This Row],[Vertex]],Vertices[],MATCH("ID",Vertices[[#Headers],[Vertex]:[Top Word Pairs in Tags by Salience]],0),FALSE)</f>
        <v>206</v>
      </c>
    </row>
    <row r="4" spans="1:3" ht="15">
      <c r="A4" s="80" t="s">
        <v>4101</v>
      </c>
      <c r="B4" s="112" t="s">
        <v>256</v>
      </c>
      <c r="C4" s="80">
        <f>VLOOKUP(GroupVertices[[#This Row],[Vertex]],Vertices[],MATCH("ID",Vertices[[#Headers],[Vertex]:[Top Word Pairs in Tags by Salience]],0),FALSE)</f>
        <v>31</v>
      </c>
    </row>
    <row r="5" spans="1:3" ht="15">
      <c r="A5" s="80" t="s">
        <v>4101</v>
      </c>
      <c r="B5" s="112" t="s">
        <v>938</v>
      </c>
      <c r="C5" s="80">
        <f>VLOOKUP(GroupVertices[[#This Row],[Vertex]],Vertices[],MATCH("ID",Vertices[[#Headers],[Vertex]:[Top Word Pairs in Tags by Salience]],0),FALSE)</f>
        <v>208</v>
      </c>
    </row>
    <row r="6" spans="1:3" ht="15">
      <c r="A6" s="80" t="s">
        <v>4101</v>
      </c>
      <c r="B6" s="112" t="s">
        <v>253</v>
      </c>
      <c r="C6" s="80">
        <f>VLOOKUP(GroupVertices[[#This Row],[Vertex]],Vertices[],MATCH("ID",Vertices[[#Headers],[Vertex]:[Top Word Pairs in Tags by Salience]],0),FALSE)</f>
        <v>6</v>
      </c>
    </row>
    <row r="7" spans="1:3" ht="15">
      <c r="A7" s="80" t="s">
        <v>4101</v>
      </c>
      <c r="B7" s="112" t="s">
        <v>933</v>
      </c>
      <c r="C7" s="80">
        <f>VLOOKUP(GroupVertices[[#This Row],[Vertex]],Vertices[],MATCH("ID",Vertices[[#Headers],[Vertex]:[Top Word Pairs in Tags by Salience]],0),FALSE)</f>
        <v>220</v>
      </c>
    </row>
    <row r="8" spans="1:3" ht="15">
      <c r="A8" s="80" t="s">
        <v>4101</v>
      </c>
      <c r="B8" s="112" t="s">
        <v>258</v>
      </c>
      <c r="C8" s="80">
        <f>VLOOKUP(GroupVertices[[#This Row],[Vertex]],Vertices[],MATCH("ID",Vertices[[#Headers],[Vertex]:[Top Word Pairs in Tags by Salience]],0),FALSE)</f>
        <v>16</v>
      </c>
    </row>
    <row r="9" spans="1:3" ht="15">
      <c r="A9" s="80" t="s">
        <v>4101</v>
      </c>
      <c r="B9" s="112" t="s">
        <v>931</v>
      </c>
      <c r="C9" s="80">
        <f>VLOOKUP(GroupVertices[[#This Row],[Vertex]],Vertices[],MATCH("ID",Vertices[[#Headers],[Vertex]:[Top Word Pairs in Tags by Salience]],0),FALSE)</f>
        <v>211</v>
      </c>
    </row>
    <row r="10" spans="1:3" ht="15">
      <c r="A10" s="80" t="s">
        <v>4101</v>
      </c>
      <c r="B10" s="112" t="s">
        <v>926</v>
      </c>
      <c r="C10" s="80">
        <f>VLOOKUP(GroupVertices[[#This Row],[Vertex]],Vertices[],MATCH("ID",Vertices[[#Headers],[Vertex]:[Top Word Pairs in Tags by Salience]],0),FALSE)</f>
        <v>213</v>
      </c>
    </row>
    <row r="11" spans="1:3" ht="15">
      <c r="A11" s="80" t="s">
        <v>4101</v>
      </c>
      <c r="B11" s="112" t="s">
        <v>924</v>
      </c>
      <c r="C11" s="80">
        <f>VLOOKUP(GroupVertices[[#This Row],[Vertex]],Vertices[],MATCH("ID",Vertices[[#Headers],[Vertex]:[Top Word Pairs in Tags by Salience]],0),FALSE)</f>
        <v>189</v>
      </c>
    </row>
    <row r="12" spans="1:3" ht="15">
      <c r="A12" s="80" t="s">
        <v>4101</v>
      </c>
      <c r="B12" s="112" t="s">
        <v>921</v>
      </c>
      <c r="C12" s="80">
        <f>VLOOKUP(GroupVertices[[#This Row],[Vertex]],Vertices[],MATCH("ID",Vertices[[#Headers],[Vertex]:[Top Word Pairs in Tags by Salience]],0),FALSE)</f>
        <v>184</v>
      </c>
    </row>
    <row r="13" spans="1:3" ht="15">
      <c r="A13" s="80" t="s">
        <v>4101</v>
      </c>
      <c r="B13" s="112" t="s">
        <v>920</v>
      </c>
      <c r="C13" s="80">
        <f>VLOOKUP(GroupVertices[[#This Row],[Vertex]],Vertices[],MATCH("ID",Vertices[[#Headers],[Vertex]:[Top Word Pairs in Tags by Salience]],0),FALSE)</f>
        <v>178</v>
      </c>
    </row>
    <row r="14" spans="1:3" ht="15">
      <c r="A14" s="80" t="s">
        <v>4101</v>
      </c>
      <c r="B14" s="112" t="s">
        <v>252</v>
      </c>
      <c r="C14" s="80">
        <f>VLOOKUP(GroupVertices[[#This Row],[Vertex]],Vertices[],MATCH("ID",Vertices[[#Headers],[Vertex]:[Top Word Pairs in Tags by Salience]],0),FALSE)</f>
        <v>3</v>
      </c>
    </row>
    <row r="15" spans="1:3" ht="15">
      <c r="A15" s="80" t="s">
        <v>4101</v>
      </c>
      <c r="B15" s="112" t="s">
        <v>242</v>
      </c>
      <c r="C15" s="80">
        <f>VLOOKUP(GroupVertices[[#This Row],[Vertex]],Vertices[],MATCH("ID",Vertices[[#Headers],[Vertex]:[Top Word Pairs in Tags by Salience]],0),FALSE)</f>
        <v>37</v>
      </c>
    </row>
    <row r="16" spans="1:3" ht="15">
      <c r="A16" s="80" t="s">
        <v>4101</v>
      </c>
      <c r="B16" s="112" t="s">
        <v>915</v>
      </c>
      <c r="C16" s="80">
        <f>VLOOKUP(GroupVertices[[#This Row],[Vertex]],Vertices[],MATCH("ID",Vertices[[#Headers],[Vertex]:[Top Word Pairs in Tags by Salience]],0),FALSE)</f>
        <v>186</v>
      </c>
    </row>
    <row r="17" spans="1:3" ht="15">
      <c r="A17" s="80" t="s">
        <v>4101</v>
      </c>
      <c r="B17" s="112" t="s">
        <v>914</v>
      </c>
      <c r="C17" s="80">
        <f>VLOOKUP(GroupVertices[[#This Row],[Vertex]],Vertices[],MATCH("ID",Vertices[[#Headers],[Vertex]:[Top Word Pairs in Tags by Salience]],0),FALSE)</f>
        <v>176</v>
      </c>
    </row>
    <row r="18" spans="1:3" ht="15">
      <c r="A18" s="80" t="s">
        <v>4101</v>
      </c>
      <c r="B18" s="112" t="s">
        <v>913</v>
      </c>
      <c r="C18" s="80">
        <f>VLOOKUP(GroupVertices[[#This Row],[Vertex]],Vertices[],MATCH("ID",Vertices[[#Headers],[Vertex]:[Top Word Pairs in Tags by Salience]],0),FALSE)</f>
        <v>217</v>
      </c>
    </row>
    <row r="19" spans="1:3" ht="15">
      <c r="A19" s="80" t="s">
        <v>4101</v>
      </c>
      <c r="B19" s="112" t="s">
        <v>236</v>
      </c>
      <c r="C19" s="80">
        <f>VLOOKUP(GroupVertices[[#This Row],[Vertex]],Vertices[],MATCH("ID",Vertices[[#Headers],[Vertex]:[Top Word Pairs in Tags by Salience]],0),FALSE)</f>
        <v>18</v>
      </c>
    </row>
    <row r="20" spans="1:3" ht="15">
      <c r="A20" s="80" t="s">
        <v>4101</v>
      </c>
      <c r="B20" s="112" t="s">
        <v>891</v>
      </c>
      <c r="C20" s="80">
        <f>VLOOKUP(GroupVertices[[#This Row],[Vertex]],Vertices[],MATCH("ID",Vertices[[#Headers],[Vertex]:[Top Word Pairs in Tags by Salience]],0),FALSE)</f>
        <v>95</v>
      </c>
    </row>
    <row r="21" spans="1:3" ht="15">
      <c r="A21" s="80" t="s">
        <v>4101</v>
      </c>
      <c r="B21" s="112" t="s">
        <v>248</v>
      </c>
      <c r="C21" s="80">
        <f>VLOOKUP(GroupVertices[[#This Row],[Vertex]],Vertices[],MATCH("ID",Vertices[[#Headers],[Vertex]:[Top Word Pairs in Tags by Salience]],0),FALSE)</f>
        <v>26</v>
      </c>
    </row>
    <row r="22" spans="1:3" ht="15">
      <c r="A22" s="80" t="s">
        <v>4101</v>
      </c>
      <c r="B22" s="112" t="s">
        <v>883</v>
      </c>
      <c r="C22" s="80">
        <f>VLOOKUP(GroupVertices[[#This Row],[Vertex]],Vertices[],MATCH("ID",Vertices[[#Headers],[Vertex]:[Top Word Pairs in Tags by Salience]],0),FALSE)</f>
        <v>222</v>
      </c>
    </row>
    <row r="23" spans="1:3" ht="15">
      <c r="A23" s="80" t="s">
        <v>4101</v>
      </c>
      <c r="B23" s="112" t="s">
        <v>881</v>
      </c>
      <c r="C23" s="80">
        <f>VLOOKUP(GroupVertices[[#This Row],[Vertex]],Vertices[],MATCH("ID",Vertices[[#Headers],[Vertex]:[Top Word Pairs in Tags by Salience]],0),FALSE)</f>
        <v>120</v>
      </c>
    </row>
    <row r="24" spans="1:3" ht="15">
      <c r="A24" s="80" t="s">
        <v>4101</v>
      </c>
      <c r="B24" s="112" t="s">
        <v>880</v>
      </c>
      <c r="C24" s="80">
        <f>VLOOKUP(GroupVertices[[#This Row],[Vertex]],Vertices[],MATCH("ID",Vertices[[#Headers],[Vertex]:[Top Word Pairs in Tags by Salience]],0),FALSE)</f>
        <v>181</v>
      </c>
    </row>
    <row r="25" spans="1:3" ht="15">
      <c r="A25" s="80" t="s">
        <v>4101</v>
      </c>
      <c r="B25" s="112" t="s">
        <v>879</v>
      </c>
      <c r="C25" s="80">
        <f>VLOOKUP(GroupVertices[[#This Row],[Vertex]],Vertices[],MATCH("ID",Vertices[[#Headers],[Vertex]:[Top Word Pairs in Tags by Salience]],0),FALSE)</f>
        <v>204</v>
      </c>
    </row>
    <row r="26" spans="1:3" ht="15">
      <c r="A26" s="80" t="s">
        <v>4101</v>
      </c>
      <c r="B26" s="112" t="s">
        <v>231</v>
      </c>
      <c r="C26" s="80">
        <f>VLOOKUP(GroupVertices[[#This Row],[Vertex]],Vertices[],MATCH("ID",Vertices[[#Headers],[Vertex]:[Top Word Pairs in Tags by Salience]],0),FALSE)</f>
        <v>34</v>
      </c>
    </row>
    <row r="27" spans="1:3" ht="15">
      <c r="A27" s="80" t="s">
        <v>4101</v>
      </c>
      <c r="B27" s="112" t="s">
        <v>229</v>
      </c>
      <c r="C27" s="80">
        <f>VLOOKUP(GroupVertices[[#This Row],[Vertex]],Vertices[],MATCH("ID",Vertices[[#Headers],[Vertex]:[Top Word Pairs in Tags by Salience]],0),FALSE)</f>
        <v>21</v>
      </c>
    </row>
    <row r="28" spans="1:3" ht="15">
      <c r="A28" s="80" t="s">
        <v>4101</v>
      </c>
      <c r="B28" s="112" t="s">
        <v>871</v>
      </c>
      <c r="C28" s="80">
        <f>VLOOKUP(GroupVertices[[#This Row],[Vertex]],Vertices[],MATCH("ID",Vertices[[#Headers],[Vertex]:[Top Word Pairs in Tags by Salience]],0),FALSE)</f>
        <v>221</v>
      </c>
    </row>
    <row r="29" spans="1:3" ht="15">
      <c r="A29" s="80" t="s">
        <v>4101</v>
      </c>
      <c r="B29" s="112" t="s">
        <v>870</v>
      </c>
      <c r="C29" s="80">
        <f>VLOOKUP(GroupVertices[[#This Row],[Vertex]],Vertices[],MATCH("ID",Vertices[[#Headers],[Vertex]:[Top Word Pairs in Tags by Salience]],0),FALSE)</f>
        <v>106</v>
      </c>
    </row>
    <row r="30" spans="1:3" ht="15">
      <c r="A30" s="80" t="s">
        <v>4101</v>
      </c>
      <c r="B30" s="112" t="s">
        <v>869</v>
      </c>
      <c r="C30" s="80">
        <f>VLOOKUP(GroupVertices[[#This Row],[Vertex]],Vertices[],MATCH("ID",Vertices[[#Headers],[Vertex]:[Top Word Pairs in Tags by Salience]],0),FALSE)</f>
        <v>66</v>
      </c>
    </row>
    <row r="31" spans="1:3" ht="15">
      <c r="A31" s="80" t="s">
        <v>4101</v>
      </c>
      <c r="B31" s="112" t="s">
        <v>232</v>
      </c>
      <c r="C31" s="80">
        <f>VLOOKUP(GroupVertices[[#This Row],[Vertex]],Vertices[],MATCH("ID",Vertices[[#Headers],[Vertex]:[Top Word Pairs in Tags by Salience]],0),FALSE)</f>
        <v>44</v>
      </c>
    </row>
    <row r="32" spans="1:3" ht="15">
      <c r="A32" s="80" t="s">
        <v>4101</v>
      </c>
      <c r="B32" s="112" t="s">
        <v>868</v>
      </c>
      <c r="C32" s="80">
        <f>VLOOKUP(GroupVertices[[#This Row],[Vertex]],Vertices[],MATCH("ID",Vertices[[#Headers],[Vertex]:[Top Word Pairs in Tags by Salience]],0),FALSE)</f>
        <v>197</v>
      </c>
    </row>
    <row r="33" spans="1:3" ht="15">
      <c r="A33" s="80" t="s">
        <v>4101</v>
      </c>
      <c r="B33" s="112" t="s">
        <v>849</v>
      </c>
      <c r="C33" s="80">
        <f>VLOOKUP(GroupVertices[[#This Row],[Vertex]],Vertices[],MATCH("ID",Vertices[[#Headers],[Vertex]:[Top Word Pairs in Tags by Salience]],0),FALSE)</f>
        <v>75</v>
      </c>
    </row>
    <row r="34" spans="1:3" ht="15">
      <c r="A34" s="80" t="s">
        <v>4101</v>
      </c>
      <c r="B34" s="112" t="s">
        <v>846</v>
      </c>
      <c r="C34" s="80">
        <f>VLOOKUP(GroupVertices[[#This Row],[Vertex]],Vertices[],MATCH("ID",Vertices[[#Headers],[Vertex]:[Top Word Pairs in Tags by Salience]],0),FALSE)</f>
        <v>82</v>
      </c>
    </row>
    <row r="35" spans="1:3" ht="15">
      <c r="A35" s="80" t="s">
        <v>4101</v>
      </c>
      <c r="B35" s="112" t="s">
        <v>214</v>
      </c>
      <c r="C35" s="80">
        <f>VLOOKUP(GroupVertices[[#This Row],[Vertex]],Vertices[],MATCH("ID",Vertices[[#Headers],[Vertex]:[Top Word Pairs in Tags by Salience]],0),FALSE)</f>
        <v>49</v>
      </c>
    </row>
    <row r="36" spans="1:3" ht="15">
      <c r="A36" s="80" t="s">
        <v>4101</v>
      </c>
      <c r="B36" s="112" t="s">
        <v>807</v>
      </c>
      <c r="C36" s="80">
        <f>VLOOKUP(GroupVertices[[#This Row],[Vertex]],Vertices[],MATCH("ID",Vertices[[#Headers],[Vertex]:[Top Word Pairs in Tags by Salience]],0),FALSE)</f>
        <v>191</v>
      </c>
    </row>
    <row r="37" spans="1:3" ht="15">
      <c r="A37" s="80" t="s">
        <v>4101</v>
      </c>
      <c r="B37" s="112" t="s">
        <v>803</v>
      </c>
      <c r="C37" s="80">
        <f>VLOOKUP(GroupVertices[[#This Row],[Vertex]],Vertices[],MATCH("ID",Vertices[[#Headers],[Vertex]:[Top Word Pairs in Tags by Salience]],0),FALSE)</f>
        <v>160</v>
      </c>
    </row>
    <row r="38" spans="1:3" ht="15">
      <c r="A38" s="80" t="s">
        <v>4101</v>
      </c>
      <c r="B38" s="112" t="s">
        <v>802</v>
      </c>
      <c r="C38" s="80">
        <f>VLOOKUP(GroupVertices[[#This Row],[Vertex]],Vertices[],MATCH("ID",Vertices[[#Headers],[Vertex]:[Top Word Pairs in Tags by Salience]],0),FALSE)</f>
        <v>243</v>
      </c>
    </row>
    <row r="39" spans="1:3" ht="15">
      <c r="A39" s="80" t="s">
        <v>4101</v>
      </c>
      <c r="B39" s="112" t="s">
        <v>799</v>
      </c>
      <c r="C39" s="80">
        <f>VLOOKUP(GroupVertices[[#This Row],[Vertex]],Vertices[],MATCH("ID",Vertices[[#Headers],[Vertex]:[Top Word Pairs in Tags by Salience]],0),FALSE)</f>
        <v>205</v>
      </c>
    </row>
    <row r="40" spans="1:3" ht="15">
      <c r="A40" s="80" t="s">
        <v>4101</v>
      </c>
      <c r="B40" s="112" t="s">
        <v>796</v>
      </c>
      <c r="C40" s="80">
        <f>VLOOKUP(GroupVertices[[#This Row],[Vertex]],Vertices[],MATCH("ID",Vertices[[#Headers],[Vertex]:[Top Word Pairs in Tags by Salience]],0),FALSE)</f>
        <v>182</v>
      </c>
    </row>
    <row r="41" spans="1:3" ht="15">
      <c r="A41" s="80" t="s">
        <v>4101</v>
      </c>
      <c r="B41" s="112" t="s">
        <v>795</v>
      </c>
      <c r="C41" s="80">
        <f>VLOOKUP(GroupVertices[[#This Row],[Vertex]],Vertices[],MATCH("ID",Vertices[[#Headers],[Vertex]:[Top Word Pairs in Tags by Salience]],0),FALSE)</f>
        <v>248</v>
      </c>
    </row>
    <row r="42" spans="1:3" ht="15">
      <c r="A42" s="80" t="s">
        <v>4101</v>
      </c>
      <c r="B42" s="112" t="s">
        <v>792</v>
      </c>
      <c r="C42" s="80">
        <f>VLOOKUP(GroupVertices[[#This Row],[Vertex]],Vertices[],MATCH("ID",Vertices[[#Headers],[Vertex]:[Top Word Pairs in Tags by Salience]],0),FALSE)</f>
        <v>101</v>
      </c>
    </row>
    <row r="43" spans="1:3" ht="15">
      <c r="A43" s="80" t="s">
        <v>4101</v>
      </c>
      <c r="B43" s="112" t="s">
        <v>791</v>
      </c>
      <c r="C43" s="80">
        <f>VLOOKUP(GroupVertices[[#This Row],[Vertex]],Vertices[],MATCH("ID",Vertices[[#Headers],[Vertex]:[Top Word Pairs in Tags by Salience]],0),FALSE)</f>
        <v>102</v>
      </c>
    </row>
    <row r="44" spans="1:3" ht="15">
      <c r="A44" s="80" t="s">
        <v>4101</v>
      </c>
      <c r="B44" s="112" t="s">
        <v>790</v>
      </c>
      <c r="C44" s="80">
        <f>VLOOKUP(GroupVertices[[#This Row],[Vertex]],Vertices[],MATCH("ID",Vertices[[#Headers],[Vertex]:[Top Word Pairs in Tags by Salience]],0),FALSE)</f>
        <v>218</v>
      </c>
    </row>
    <row r="45" spans="1:3" ht="15">
      <c r="A45" s="80" t="s">
        <v>4101</v>
      </c>
      <c r="B45" s="112" t="s">
        <v>753</v>
      </c>
      <c r="C45" s="80">
        <f>VLOOKUP(GroupVertices[[#This Row],[Vertex]],Vertices[],MATCH("ID",Vertices[[#Headers],[Vertex]:[Top Word Pairs in Tags by Salience]],0),FALSE)</f>
        <v>185</v>
      </c>
    </row>
    <row r="46" spans="1:3" ht="15">
      <c r="A46" s="80" t="s">
        <v>4101</v>
      </c>
      <c r="B46" s="112" t="s">
        <v>740</v>
      </c>
      <c r="C46" s="80">
        <f>VLOOKUP(GroupVertices[[#This Row],[Vertex]],Vertices[],MATCH("ID",Vertices[[#Headers],[Vertex]:[Top Word Pairs in Tags by Salience]],0),FALSE)</f>
        <v>239</v>
      </c>
    </row>
    <row r="47" spans="1:3" ht="15">
      <c r="A47" s="80" t="s">
        <v>4101</v>
      </c>
      <c r="B47" s="112" t="s">
        <v>738</v>
      </c>
      <c r="C47" s="80">
        <f>VLOOKUP(GroupVertices[[#This Row],[Vertex]],Vertices[],MATCH("ID",Vertices[[#Headers],[Vertex]:[Top Word Pairs in Tags by Salience]],0),FALSE)</f>
        <v>81</v>
      </c>
    </row>
    <row r="48" spans="1:3" ht="15">
      <c r="A48" s="80" t="s">
        <v>4101</v>
      </c>
      <c r="B48" s="112" t="s">
        <v>737</v>
      </c>
      <c r="C48" s="80">
        <f>VLOOKUP(GroupVertices[[#This Row],[Vertex]],Vertices[],MATCH("ID",Vertices[[#Headers],[Vertex]:[Top Word Pairs in Tags by Salience]],0),FALSE)</f>
        <v>64</v>
      </c>
    </row>
    <row r="49" spans="1:3" ht="15">
      <c r="A49" s="80" t="s">
        <v>4101</v>
      </c>
      <c r="B49" s="112" t="s">
        <v>736</v>
      </c>
      <c r="C49" s="80">
        <f>VLOOKUP(GroupVertices[[#This Row],[Vertex]],Vertices[],MATCH("ID",Vertices[[#Headers],[Vertex]:[Top Word Pairs in Tags by Salience]],0),FALSE)</f>
        <v>86</v>
      </c>
    </row>
    <row r="50" spans="1:3" ht="15">
      <c r="A50" s="80" t="s">
        <v>4101</v>
      </c>
      <c r="B50" s="112" t="s">
        <v>734</v>
      </c>
      <c r="C50" s="80">
        <f>VLOOKUP(GroupVertices[[#This Row],[Vertex]],Vertices[],MATCH("ID",Vertices[[#Headers],[Vertex]:[Top Word Pairs in Tags by Salience]],0),FALSE)</f>
        <v>133</v>
      </c>
    </row>
    <row r="51" spans="1:3" ht="15">
      <c r="A51" s="80" t="s">
        <v>4101</v>
      </c>
      <c r="B51" s="112" t="s">
        <v>733</v>
      </c>
      <c r="C51" s="80">
        <f>VLOOKUP(GroupVertices[[#This Row],[Vertex]],Vertices[],MATCH("ID",Vertices[[#Headers],[Vertex]:[Top Word Pairs in Tags by Salience]],0),FALSE)</f>
        <v>177</v>
      </c>
    </row>
    <row r="52" spans="1:3" ht="15">
      <c r="A52" s="80" t="s">
        <v>4101</v>
      </c>
      <c r="B52" s="112" t="s">
        <v>673</v>
      </c>
      <c r="C52" s="80">
        <f>VLOOKUP(GroupVertices[[#This Row],[Vertex]],Vertices[],MATCH("ID",Vertices[[#Headers],[Vertex]:[Top Word Pairs in Tags by Salience]],0),FALSE)</f>
        <v>61</v>
      </c>
    </row>
    <row r="53" spans="1:3" ht="15">
      <c r="A53" s="80" t="s">
        <v>4101</v>
      </c>
      <c r="B53" s="112" t="s">
        <v>671</v>
      </c>
      <c r="C53" s="80">
        <f>VLOOKUP(GroupVertices[[#This Row],[Vertex]],Vertices[],MATCH("ID",Vertices[[#Headers],[Vertex]:[Top Word Pairs in Tags by Salience]],0),FALSE)</f>
        <v>92</v>
      </c>
    </row>
    <row r="54" spans="1:3" ht="15">
      <c r="A54" s="80" t="s">
        <v>4101</v>
      </c>
      <c r="B54" s="112" t="s">
        <v>482</v>
      </c>
      <c r="C54" s="80">
        <f>VLOOKUP(GroupVertices[[#This Row],[Vertex]],Vertices[],MATCH("ID",Vertices[[#Headers],[Vertex]:[Top Word Pairs in Tags by Salience]],0),FALSE)</f>
        <v>58</v>
      </c>
    </row>
    <row r="55" spans="1:3" ht="15">
      <c r="A55" s="80" t="s">
        <v>4101</v>
      </c>
      <c r="B55" s="112" t="s">
        <v>663</v>
      </c>
      <c r="C55" s="80">
        <f>VLOOKUP(GroupVertices[[#This Row],[Vertex]],Vertices[],MATCH("ID",Vertices[[#Headers],[Vertex]:[Top Word Pairs in Tags by Salience]],0),FALSE)</f>
        <v>67</v>
      </c>
    </row>
    <row r="56" spans="1:3" ht="15">
      <c r="A56" s="80" t="s">
        <v>4101</v>
      </c>
      <c r="B56" s="112" t="s">
        <v>656</v>
      </c>
      <c r="C56" s="80">
        <f>VLOOKUP(GroupVertices[[#This Row],[Vertex]],Vertices[],MATCH("ID",Vertices[[#Headers],[Vertex]:[Top Word Pairs in Tags by Salience]],0),FALSE)</f>
        <v>258</v>
      </c>
    </row>
    <row r="57" spans="1:3" ht="15">
      <c r="A57" s="80" t="s">
        <v>4101</v>
      </c>
      <c r="B57" s="112" t="s">
        <v>622</v>
      </c>
      <c r="C57" s="80">
        <f>VLOOKUP(GroupVertices[[#This Row],[Vertex]],Vertices[],MATCH("ID",Vertices[[#Headers],[Vertex]:[Top Word Pairs in Tags by Salience]],0),FALSE)</f>
        <v>156</v>
      </c>
    </row>
    <row r="58" spans="1:3" ht="15">
      <c r="A58" s="80" t="s">
        <v>4101</v>
      </c>
      <c r="B58" s="112" t="s">
        <v>237</v>
      </c>
      <c r="C58" s="80">
        <f>VLOOKUP(GroupVertices[[#This Row],[Vertex]],Vertices[],MATCH("ID",Vertices[[#Headers],[Vertex]:[Top Word Pairs in Tags by Salience]],0),FALSE)</f>
        <v>25</v>
      </c>
    </row>
    <row r="59" spans="1:3" ht="15">
      <c r="A59" s="80" t="s">
        <v>4101</v>
      </c>
      <c r="B59" s="112" t="s">
        <v>620</v>
      </c>
      <c r="C59" s="80">
        <f>VLOOKUP(GroupVertices[[#This Row],[Vertex]],Vertices[],MATCH("ID",Vertices[[#Headers],[Vertex]:[Top Word Pairs in Tags by Salience]],0),FALSE)</f>
        <v>97</v>
      </c>
    </row>
    <row r="60" spans="1:3" ht="15">
      <c r="A60" s="80" t="s">
        <v>4101</v>
      </c>
      <c r="B60" s="112" t="s">
        <v>618</v>
      </c>
      <c r="C60" s="80">
        <f>VLOOKUP(GroupVertices[[#This Row],[Vertex]],Vertices[],MATCH("ID",Vertices[[#Headers],[Vertex]:[Top Word Pairs in Tags by Salience]],0),FALSE)</f>
        <v>96</v>
      </c>
    </row>
    <row r="61" spans="1:3" ht="15">
      <c r="A61" s="80" t="s">
        <v>4101</v>
      </c>
      <c r="B61" s="112" t="s">
        <v>617</v>
      </c>
      <c r="C61" s="80">
        <f>VLOOKUP(GroupVertices[[#This Row],[Vertex]],Vertices[],MATCH("ID",Vertices[[#Headers],[Vertex]:[Top Word Pairs in Tags by Salience]],0),FALSE)</f>
        <v>168</v>
      </c>
    </row>
    <row r="62" spans="1:3" ht="15">
      <c r="A62" s="80" t="s">
        <v>4101</v>
      </c>
      <c r="B62" s="112" t="s">
        <v>616</v>
      </c>
      <c r="C62" s="80">
        <f>VLOOKUP(GroupVertices[[#This Row],[Vertex]],Vertices[],MATCH("ID",Vertices[[#Headers],[Vertex]:[Top Word Pairs in Tags by Salience]],0),FALSE)</f>
        <v>57</v>
      </c>
    </row>
    <row r="63" spans="1:3" ht="15">
      <c r="A63" s="80" t="s">
        <v>4101</v>
      </c>
      <c r="B63" s="112" t="s">
        <v>615</v>
      </c>
      <c r="C63" s="80">
        <f>VLOOKUP(GroupVertices[[#This Row],[Vertex]],Vertices[],MATCH("ID",Vertices[[#Headers],[Vertex]:[Top Word Pairs in Tags by Salience]],0),FALSE)</f>
        <v>83</v>
      </c>
    </row>
    <row r="64" spans="1:3" ht="15">
      <c r="A64" s="80" t="s">
        <v>4101</v>
      </c>
      <c r="B64" s="112" t="s">
        <v>613</v>
      </c>
      <c r="C64" s="80">
        <f>VLOOKUP(GroupVertices[[#This Row],[Vertex]],Vertices[],MATCH("ID",Vertices[[#Headers],[Vertex]:[Top Word Pairs in Tags by Salience]],0),FALSE)</f>
        <v>165</v>
      </c>
    </row>
    <row r="65" spans="1:3" ht="15">
      <c r="A65" s="80" t="s">
        <v>4101</v>
      </c>
      <c r="B65" s="112" t="s">
        <v>612</v>
      </c>
      <c r="C65" s="80">
        <f>VLOOKUP(GroupVertices[[#This Row],[Vertex]],Vertices[],MATCH("ID",Vertices[[#Headers],[Vertex]:[Top Word Pairs in Tags by Salience]],0),FALSE)</f>
        <v>148</v>
      </c>
    </row>
    <row r="66" spans="1:3" ht="15">
      <c r="A66" s="80" t="s">
        <v>4101</v>
      </c>
      <c r="B66" s="112" t="s">
        <v>611</v>
      </c>
      <c r="C66" s="80">
        <f>VLOOKUP(GroupVertices[[#This Row],[Vertex]],Vertices[],MATCH("ID",Vertices[[#Headers],[Vertex]:[Top Word Pairs in Tags by Salience]],0),FALSE)</f>
        <v>149</v>
      </c>
    </row>
    <row r="67" spans="1:3" ht="15">
      <c r="A67" s="80" t="s">
        <v>4101</v>
      </c>
      <c r="B67" s="112" t="s">
        <v>607</v>
      </c>
      <c r="C67" s="80">
        <f>VLOOKUP(GroupVertices[[#This Row],[Vertex]],Vertices[],MATCH("ID",Vertices[[#Headers],[Vertex]:[Top Word Pairs in Tags by Salience]],0),FALSE)</f>
        <v>245</v>
      </c>
    </row>
    <row r="68" spans="1:3" ht="15">
      <c r="A68" s="80" t="s">
        <v>4101</v>
      </c>
      <c r="B68" s="112" t="s">
        <v>605</v>
      </c>
      <c r="C68" s="80">
        <f>VLOOKUP(GroupVertices[[#This Row],[Vertex]],Vertices[],MATCH("ID",Vertices[[#Headers],[Vertex]:[Top Word Pairs in Tags by Salience]],0),FALSE)</f>
        <v>84</v>
      </c>
    </row>
    <row r="69" spans="1:3" ht="15">
      <c r="A69" s="80" t="s">
        <v>4101</v>
      </c>
      <c r="B69" s="112" t="s">
        <v>604</v>
      </c>
      <c r="C69" s="80">
        <f>VLOOKUP(GroupVertices[[#This Row],[Vertex]],Vertices[],MATCH("ID",Vertices[[#Headers],[Vertex]:[Top Word Pairs in Tags by Salience]],0),FALSE)</f>
        <v>201</v>
      </c>
    </row>
    <row r="70" spans="1:3" ht="15">
      <c r="A70" s="80" t="s">
        <v>4101</v>
      </c>
      <c r="B70" s="112" t="s">
        <v>480</v>
      </c>
      <c r="C70" s="80">
        <f>VLOOKUP(GroupVertices[[#This Row],[Vertex]],Vertices[],MATCH("ID",Vertices[[#Headers],[Vertex]:[Top Word Pairs in Tags by Salience]],0),FALSE)</f>
        <v>51</v>
      </c>
    </row>
    <row r="71" spans="1:3" ht="15">
      <c r="A71" s="80" t="s">
        <v>4101</v>
      </c>
      <c r="B71" s="112" t="s">
        <v>599</v>
      </c>
      <c r="C71" s="80">
        <f>VLOOKUP(GroupVertices[[#This Row],[Vertex]],Vertices[],MATCH("ID",Vertices[[#Headers],[Vertex]:[Top Word Pairs in Tags by Salience]],0),FALSE)</f>
        <v>69</v>
      </c>
    </row>
    <row r="72" spans="1:3" ht="15">
      <c r="A72" s="80" t="s">
        <v>4101</v>
      </c>
      <c r="B72" s="112" t="s">
        <v>600</v>
      </c>
      <c r="C72" s="80">
        <f>VLOOKUP(GroupVertices[[#This Row],[Vertex]],Vertices[],MATCH("ID",Vertices[[#Headers],[Vertex]:[Top Word Pairs in Tags by Salience]],0),FALSE)</f>
        <v>104</v>
      </c>
    </row>
    <row r="73" spans="1:3" ht="15">
      <c r="A73" s="80" t="s">
        <v>4101</v>
      </c>
      <c r="B73" s="112" t="s">
        <v>485</v>
      </c>
      <c r="C73" s="80">
        <f>VLOOKUP(GroupVertices[[#This Row],[Vertex]],Vertices[],MATCH("ID",Vertices[[#Headers],[Vertex]:[Top Word Pairs in Tags by Salience]],0),FALSE)</f>
        <v>53</v>
      </c>
    </row>
    <row r="74" spans="1:3" ht="15">
      <c r="A74" s="80" t="s">
        <v>4101</v>
      </c>
      <c r="B74" s="112" t="s">
        <v>508</v>
      </c>
      <c r="C74" s="80">
        <f>VLOOKUP(GroupVertices[[#This Row],[Vertex]],Vertices[],MATCH("ID",Vertices[[#Headers],[Vertex]:[Top Word Pairs in Tags by Salience]],0),FALSE)</f>
        <v>72</v>
      </c>
    </row>
    <row r="75" spans="1:3" ht="15">
      <c r="A75" s="80" t="s">
        <v>4101</v>
      </c>
      <c r="B75" s="112" t="s">
        <v>481</v>
      </c>
      <c r="C75" s="80">
        <f>VLOOKUP(GroupVertices[[#This Row],[Vertex]],Vertices[],MATCH("ID",Vertices[[#Headers],[Vertex]:[Top Word Pairs in Tags by Salience]],0),FALSE)</f>
        <v>77</v>
      </c>
    </row>
    <row r="76" spans="1:3" ht="15">
      <c r="A76" s="80" t="s">
        <v>4101</v>
      </c>
      <c r="B76" s="112" t="s">
        <v>484</v>
      </c>
      <c r="C76" s="80">
        <f>VLOOKUP(GroupVertices[[#This Row],[Vertex]],Vertices[],MATCH("ID",Vertices[[#Headers],[Vertex]:[Top Word Pairs in Tags by Salience]],0),FALSE)</f>
        <v>55</v>
      </c>
    </row>
    <row r="77" spans="1:3" ht="15">
      <c r="A77" s="80" t="s">
        <v>4101</v>
      </c>
      <c r="B77" s="112" t="s">
        <v>598</v>
      </c>
      <c r="C77" s="80">
        <f>VLOOKUP(GroupVertices[[#This Row],[Vertex]],Vertices[],MATCH("ID",Vertices[[#Headers],[Vertex]:[Top Word Pairs in Tags by Salience]],0),FALSE)</f>
        <v>227</v>
      </c>
    </row>
    <row r="78" spans="1:3" ht="15">
      <c r="A78" s="80" t="s">
        <v>4101</v>
      </c>
      <c r="B78" s="112" t="s">
        <v>596</v>
      </c>
      <c r="C78" s="80">
        <f>VLOOKUP(GroupVertices[[#This Row],[Vertex]],Vertices[],MATCH("ID",Vertices[[#Headers],[Vertex]:[Top Word Pairs in Tags by Salience]],0),FALSE)</f>
        <v>130</v>
      </c>
    </row>
    <row r="79" spans="1:3" ht="15">
      <c r="A79" s="80" t="s">
        <v>4101</v>
      </c>
      <c r="B79" s="112" t="s">
        <v>565</v>
      </c>
      <c r="C79" s="80">
        <f>VLOOKUP(GroupVertices[[#This Row],[Vertex]],Vertices[],MATCH("ID",Vertices[[#Headers],[Vertex]:[Top Word Pairs in Tags by Salience]],0),FALSE)</f>
        <v>85</v>
      </c>
    </row>
    <row r="80" spans="1:3" ht="15">
      <c r="A80" s="80" t="s">
        <v>4101</v>
      </c>
      <c r="B80" s="112" t="s">
        <v>520</v>
      </c>
      <c r="C80" s="80">
        <f>VLOOKUP(GroupVertices[[#This Row],[Vertex]],Vertices[],MATCH("ID",Vertices[[#Headers],[Vertex]:[Top Word Pairs in Tags by Salience]],0),FALSE)</f>
        <v>202</v>
      </c>
    </row>
    <row r="81" spans="1:3" ht="15">
      <c r="A81" s="80" t="s">
        <v>4101</v>
      </c>
      <c r="B81" s="112" t="s">
        <v>505</v>
      </c>
      <c r="C81" s="80">
        <f>VLOOKUP(GroupVertices[[#This Row],[Vertex]],Vertices[],MATCH("ID",Vertices[[#Headers],[Vertex]:[Top Word Pairs in Tags by Salience]],0),FALSE)</f>
        <v>71</v>
      </c>
    </row>
    <row r="82" spans="1:3" ht="15">
      <c r="A82" s="80" t="s">
        <v>4101</v>
      </c>
      <c r="B82" s="112" t="s">
        <v>225</v>
      </c>
      <c r="C82" s="80">
        <f>VLOOKUP(GroupVertices[[#This Row],[Vertex]],Vertices[],MATCH("ID",Vertices[[#Headers],[Vertex]:[Top Word Pairs in Tags by Salience]],0),FALSE)</f>
        <v>24</v>
      </c>
    </row>
    <row r="83" spans="1:3" ht="15">
      <c r="A83" s="80" t="s">
        <v>4101</v>
      </c>
      <c r="B83" s="112" t="s">
        <v>474</v>
      </c>
      <c r="C83" s="80">
        <f>VLOOKUP(GroupVertices[[#This Row],[Vertex]],Vertices[],MATCH("ID",Vertices[[#Headers],[Vertex]:[Top Word Pairs in Tags by Salience]],0),FALSE)</f>
        <v>226</v>
      </c>
    </row>
    <row r="84" spans="1:3" ht="15">
      <c r="A84" s="80" t="s">
        <v>4101</v>
      </c>
      <c r="B84" s="112" t="s">
        <v>472</v>
      </c>
      <c r="C84" s="80">
        <f>VLOOKUP(GroupVertices[[#This Row],[Vertex]],Vertices[],MATCH("ID",Vertices[[#Headers],[Vertex]:[Top Word Pairs in Tags by Salience]],0),FALSE)</f>
        <v>152</v>
      </c>
    </row>
    <row r="85" spans="1:3" ht="15">
      <c r="A85" s="80" t="s">
        <v>4101</v>
      </c>
      <c r="B85" s="112" t="s">
        <v>470</v>
      </c>
      <c r="C85" s="80">
        <f>VLOOKUP(GroupVertices[[#This Row],[Vertex]],Vertices[],MATCH("ID",Vertices[[#Headers],[Vertex]:[Top Word Pairs in Tags by Salience]],0),FALSE)</f>
        <v>68</v>
      </c>
    </row>
    <row r="86" spans="1:3" ht="15">
      <c r="A86" s="80" t="s">
        <v>4101</v>
      </c>
      <c r="B86" s="112" t="s">
        <v>466</v>
      </c>
      <c r="C86" s="80">
        <f>VLOOKUP(GroupVertices[[#This Row],[Vertex]],Vertices[],MATCH("ID",Vertices[[#Headers],[Vertex]:[Top Word Pairs in Tags by Salience]],0),FALSE)</f>
        <v>151</v>
      </c>
    </row>
    <row r="87" spans="1:3" ht="15">
      <c r="A87" s="80" t="s">
        <v>4101</v>
      </c>
      <c r="B87" s="112" t="s">
        <v>407</v>
      </c>
      <c r="C87" s="80">
        <f>VLOOKUP(GroupVertices[[#This Row],[Vertex]],Vertices[],MATCH("ID",Vertices[[#Headers],[Vertex]:[Top Word Pairs in Tags by Salience]],0),FALSE)</f>
        <v>210</v>
      </c>
    </row>
    <row r="88" spans="1:3" ht="15">
      <c r="A88" s="80" t="s">
        <v>4101</v>
      </c>
      <c r="B88" s="112" t="s">
        <v>381</v>
      </c>
      <c r="C88" s="80">
        <f>VLOOKUP(GroupVertices[[#This Row],[Vertex]],Vertices[],MATCH("ID",Vertices[[#Headers],[Vertex]:[Top Word Pairs in Tags by Salience]],0),FALSE)</f>
        <v>261</v>
      </c>
    </row>
    <row r="89" spans="1:3" ht="15">
      <c r="A89" s="80" t="s">
        <v>4102</v>
      </c>
      <c r="B89" s="112" t="s">
        <v>220</v>
      </c>
      <c r="C89" s="80">
        <f>VLOOKUP(GroupVertices[[#This Row],[Vertex]],Vertices[],MATCH("ID",Vertices[[#Headers],[Vertex]:[Top Word Pairs in Tags by Salience]],0),FALSE)</f>
        <v>46</v>
      </c>
    </row>
    <row r="90" spans="1:3" ht="15">
      <c r="A90" s="80" t="s">
        <v>4102</v>
      </c>
      <c r="B90" s="112" t="s">
        <v>238</v>
      </c>
      <c r="C90" s="80">
        <f>VLOOKUP(GroupVertices[[#This Row],[Vertex]],Vertices[],MATCH("ID",Vertices[[#Headers],[Vertex]:[Top Word Pairs in Tags by Salience]],0),FALSE)</f>
        <v>41</v>
      </c>
    </row>
    <row r="91" spans="1:3" ht="15">
      <c r="A91" s="80" t="s">
        <v>4102</v>
      </c>
      <c r="B91" s="112" t="s">
        <v>260</v>
      </c>
      <c r="C91" s="80">
        <f>VLOOKUP(GroupVertices[[#This Row],[Vertex]],Vertices[],MATCH("ID",Vertices[[#Headers],[Vertex]:[Top Word Pairs in Tags by Salience]],0),FALSE)</f>
        <v>13</v>
      </c>
    </row>
    <row r="92" spans="1:3" ht="15">
      <c r="A92" s="80" t="s">
        <v>4102</v>
      </c>
      <c r="B92" s="112" t="s">
        <v>922</v>
      </c>
      <c r="C92" s="80">
        <f>VLOOKUP(GroupVertices[[#This Row],[Vertex]],Vertices[],MATCH("ID",Vertices[[#Headers],[Vertex]:[Top Word Pairs in Tags by Salience]],0),FALSE)</f>
        <v>198</v>
      </c>
    </row>
    <row r="93" spans="1:3" ht="15">
      <c r="A93" s="80" t="s">
        <v>4102</v>
      </c>
      <c r="B93" s="112" t="s">
        <v>259</v>
      </c>
      <c r="C93" s="80">
        <f>VLOOKUP(GroupVertices[[#This Row],[Vertex]],Vertices[],MATCH("ID",Vertices[[#Headers],[Vertex]:[Top Word Pairs in Tags by Salience]],0),FALSE)</f>
        <v>8</v>
      </c>
    </row>
    <row r="94" spans="1:3" ht="15">
      <c r="A94" s="80" t="s">
        <v>4102</v>
      </c>
      <c r="B94" s="112" t="s">
        <v>919</v>
      </c>
      <c r="C94" s="80">
        <f>VLOOKUP(GroupVertices[[#This Row],[Vertex]],Vertices[],MATCH("ID",Vertices[[#Headers],[Vertex]:[Top Word Pairs in Tags by Salience]],0),FALSE)</f>
        <v>249</v>
      </c>
    </row>
    <row r="95" spans="1:3" ht="15">
      <c r="A95" s="80" t="s">
        <v>4102</v>
      </c>
      <c r="B95" s="112" t="s">
        <v>247</v>
      </c>
      <c r="C95" s="80">
        <f>VLOOKUP(GroupVertices[[#This Row],[Vertex]],Vertices[],MATCH("ID",Vertices[[#Headers],[Vertex]:[Top Word Pairs in Tags by Salience]],0),FALSE)</f>
        <v>12</v>
      </c>
    </row>
    <row r="96" spans="1:3" ht="15">
      <c r="A96" s="80" t="s">
        <v>4102</v>
      </c>
      <c r="B96" s="112" t="s">
        <v>918</v>
      </c>
      <c r="C96" s="80">
        <f>VLOOKUP(GroupVertices[[#This Row],[Vertex]],Vertices[],MATCH("ID",Vertices[[#Headers],[Vertex]:[Top Word Pairs in Tags by Salience]],0),FALSE)</f>
        <v>251</v>
      </c>
    </row>
    <row r="97" spans="1:3" ht="15">
      <c r="A97" s="80" t="s">
        <v>4102</v>
      </c>
      <c r="B97" s="112" t="s">
        <v>917</v>
      </c>
      <c r="C97" s="80">
        <f>VLOOKUP(GroupVertices[[#This Row],[Vertex]],Vertices[],MATCH("ID",Vertices[[#Headers],[Vertex]:[Top Word Pairs in Tags by Salience]],0),FALSE)</f>
        <v>209</v>
      </c>
    </row>
    <row r="98" spans="1:3" ht="15">
      <c r="A98" s="80" t="s">
        <v>4102</v>
      </c>
      <c r="B98" s="112" t="s">
        <v>900</v>
      </c>
      <c r="C98" s="80">
        <f>VLOOKUP(GroupVertices[[#This Row],[Vertex]],Vertices[],MATCH("ID",Vertices[[#Headers],[Vertex]:[Top Word Pairs in Tags by Salience]],0),FALSE)</f>
        <v>150</v>
      </c>
    </row>
    <row r="99" spans="1:3" ht="15">
      <c r="A99" s="80" t="s">
        <v>4102</v>
      </c>
      <c r="B99" s="112" t="s">
        <v>241</v>
      </c>
      <c r="C99" s="80">
        <f>VLOOKUP(GroupVertices[[#This Row],[Vertex]],Vertices[],MATCH("ID",Vertices[[#Headers],[Vertex]:[Top Word Pairs in Tags by Salience]],0),FALSE)</f>
        <v>30</v>
      </c>
    </row>
    <row r="100" spans="1:3" ht="15">
      <c r="A100" s="80" t="s">
        <v>4102</v>
      </c>
      <c r="B100" s="112" t="s">
        <v>889</v>
      </c>
      <c r="C100" s="80">
        <f>VLOOKUP(GroupVertices[[#This Row],[Vertex]],Vertices[],MATCH("ID",Vertices[[#Headers],[Vertex]:[Top Word Pairs in Tags by Salience]],0),FALSE)</f>
        <v>172</v>
      </c>
    </row>
    <row r="101" spans="1:3" ht="15">
      <c r="A101" s="80" t="s">
        <v>4102</v>
      </c>
      <c r="B101" s="112" t="s">
        <v>240</v>
      </c>
      <c r="C101" s="80">
        <f>VLOOKUP(GroupVertices[[#This Row],[Vertex]],Vertices[],MATCH("ID",Vertices[[#Headers],[Vertex]:[Top Word Pairs in Tags by Salience]],0),FALSE)</f>
        <v>48</v>
      </c>
    </row>
    <row r="102" spans="1:3" ht="15">
      <c r="A102" s="80" t="s">
        <v>4102</v>
      </c>
      <c r="B102" s="112" t="s">
        <v>887</v>
      </c>
      <c r="C102" s="80">
        <f>VLOOKUP(GroupVertices[[#This Row],[Vertex]],Vertices[],MATCH("ID",Vertices[[#Headers],[Vertex]:[Top Word Pairs in Tags by Salience]],0),FALSE)</f>
        <v>187</v>
      </c>
    </row>
    <row r="103" spans="1:3" ht="15">
      <c r="A103" s="80" t="s">
        <v>4102</v>
      </c>
      <c r="B103" s="112" t="s">
        <v>885</v>
      </c>
      <c r="C103" s="80">
        <f>VLOOKUP(GroupVertices[[#This Row],[Vertex]],Vertices[],MATCH("ID",Vertices[[#Headers],[Vertex]:[Top Word Pairs in Tags by Salience]],0),FALSE)</f>
        <v>162</v>
      </c>
    </row>
    <row r="104" spans="1:3" ht="15">
      <c r="A104" s="80" t="s">
        <v>4102</v>
      </c>
      <c r="B104" s="112" t="s">
        <v>249</v>
      </c>
      <c r="C104" s="80">
        <f>VLOOKUP(GroupVertices[[#This Row],[Vertex]],Vertices[],MATCH("ID",Vertices[[#Headers],[Vertex]:[Top Word Pairs in Tags by Salience]],0),FALSE)</f>
        <v>45</v>
      </c>
    </row>
    <row r="105" spans="1:3" ht="15">
      <c r="A105" s="80" t="s">
        <v>4102</v>
      </c>
      <c r="B105" s="112" t="s">
        <v>246</v>
      </c>
      <c r="C105" s="80">
        <f>VLOOKUP(GroupVertices[[#This Row],[Vertex]],Vertices[],MATCH("ID",Vertices[[#Headers],[Vertex]:[Top Word Pairs in Tags by Salience]],0),FALSE)</f>
        <v>47</v>
      </c>
    </row>
    <row r="106" spans="1:3" ht="15">
      <c r="A106" s="80" t="s">
        <v>4102</v>
      </c>
      <c r="B106" s="112" t="s">
        <v>884</v>
      </c>
      <c r="C106" s="80">
        <f>VLOOKUP(GroupVertices[[#This Row],[Vertex]],Vertices[],MATCH("ID",Vertices[[#Headers],[Vertex]:[Top Word Pairs in Tags by Salience]],0),FALSE)</f>
        <v>212</v>
      </c>
    </row>
    <row r="107" spans="1:3" ht="15">
      <c r="A107" s="80" t="s">
        <v>4102</v>
      </c>
      <c r="B107" s="112" t="s">
        <v>257</v>
      </c>
      <c r="C107" s="80">
        <f>VLOOKUP(GroupVertices[[#This Row],[Vertex]],Vertices[],MATCH("ID",Vertices[[#Headers],[Vertex]:[Top Word Pairs in Tags by Salience]],0),FALSE)</f>
        <v>32</v>
      </c>
    </row>
    <row r="108" spans="1:3" ht="15">
      <c r="A108" s="80" t="s">
        <v>4102</v>
      </c>
      <c r="B108" s="112" t="s">
        <v>878</v>
      </c>
      <c r="C108" s="80">
        <f>VLOOKUP(GroupVertices[[#This Row],[Vertex]],Vertices[],MATCH("ID",Vertices[[#Headers],[Vertex]:[Top Word Pairs in Tags by Salience]],0),FALSE)</f>
        <v>215</v>
      </c>
    </row>
    <row r="109" spans="1:3" ht="15">
      <c r="A109" s="80" t="s">
        <v>4102</v>
      </c>
      <c r="B109" s="112" t="s">
        <v>250</v>
      </c>
      <c r="C109" s="80">
        <f>VLOOKUP(GroupVertices[[#This Row],[Vertex]],Vertices[],MATCH("ID",Vertices[[#Headers],[Vertex]:[Top Word Pairs in Tags by Salience]],0),FALSE)</f>
        <v>43</v>
      </c>
    </row>
    <row r="110" spans="1:3" ht="15">
      <c r="A110" s="80" t="s">
        <v>4102</v>
      </c>
      <c r="B110" s="112" t="s">
        <v>233</v>
      </c>
      <c r="C110" s="80">
        <f>VLOOKUP(GroupVertices[[#This Row],[Vertex]],Vertices[],MATCH("ID",Vertices[[#Headers],[Vertex]:[Top Word Pairs in Tags by Salience]],0),FALSE)</f>
        <v>39</v>
      </c>
    </row>
    <row r="111" spans="1:3" ht="15">
      <c r="A111" s="80" t="s">
        <v>4102</v>
      </c>
      <c r="B111" s="112" t="s">
        <v>222</v>
      </c>
      <c r="C111" s="80">
        <f>VLOOKUP(GroupVertices[[#This Row],[Vertex]],Vertices[],MATCH("ID",Vertices[[#Headers],[Vertex]:[Top Word Pairs in Tags by Salience]],0),FALSE)</f>
        <v>19</v>
      </c>
    </row>
    <row r="112" spans="1:3" ht="15">
      <c r="A112" s="80" t="s">
        <v>4102</v>
      </c>
      <c r="B112" s="112" t="s">
        <v>877</v>
      </c>
      <c r="C112" s="80">
        <f>VLOOKUP(GroupVertices[[#This Row],[Vertex]],Vertices[],MATCH("ID",Vertices[[#Headers],[Vertex]:[Top Word Pairs in Tags by Salience]],0),FALSE)</f>
        <v>192</v>
      </c>
    </row>
    <row r="113" spans="1:3" ht="15">
      <c r="A113" s="80" t="s">
        <v>4102</v>
      </c>
      <c r="B113" s="112" t="s">
        <v>224</v>
      </c>
      <c r="C113" s="80">
        <f>VLOOKUP(GroupVertices[[#This Row],[Vertex]],Vertices[],MATCH("ID",Vertices[[#Headers],[Vertex]:[Top Word Pairs in Tags by Salience]],0),FALSE)</f>
        <v>14</v>
      </c>
    </row>
    <row r="114" spans="1:3" ht="15">
      <c r="A114" s="80" t="s">
        <v>4102</v>
      </c>
      <c r="B114" s="112" t="s">
        <v>243</v>
      </c>
      <c r="C114" s="80">
        <f>VLOOKUP(GroupVertices[[#This Row],[Vertex]],Vertices[],MATCH("ID",Vertices[[#Headers],[Vertex]:[Top Word Pairs in Tags by Salience]],0),FALSE)</f>
        <v>35</v>
      </c>
    </row>
    <row r="115" spans="1:3" ht="15">
      <c r="A115" s="80" t="s">
        <v>4102</v>
      </c>
      <c r="B115" s="112" t="s">
        <v>251</v>
      </c>
      <c r="C115" s="80">
        <f>VLOOKUP(GroupVertices[[#This Row],[Vertex]],Vertices[],MATCH("ID",Vertices[[#Headers],[Vertex]:[Top Word Pairs in Tags by Salience]],0),FALSE)</f>
        <v>27</v>
      </c>
    </row>
    <row r="116" spans="1:3" ht="15">
      <c r="A116" s="80" t="s">
        <v>4102</v>
      </c>
      <c r="B116" s="112" t="s">
        <v>221</v>
      </c>
      <c r="C116" s="80">
        <f>VLOOKUP(GroupVertices[[#This Row],[Vertex]],Vertices[],MATCH("ID",Vertices[[#Headers],[Vertex]:[Top Word Pairs in Tags by Salience]],0),FALSE)</f>
        <v>40</v>
      </c>
    </row>
    <row r="117" spans="1:3" ht="15">
      <c r="A117" s="80" t="s">
        <v>4102</v>
      </c>
      <c r="B117" s="112" t="s">
        <v>813</v>
      </c>
      <c r="C117" s="80">
        <f>VLOOKUP(GroupVertices[[#This Row],[Vertex]],Vertices[],MATCH("ID",Vertices[[#Headers],[Vertex]:[Top Word Pairs in Tags by Salience]],0),FALSE)</f>
        <v>157</v>
      </c>
    </row>
    <row r="118" spans="1:3" ht="15">
      <c r="A118" s="80" t="s">
        <v>4102</v>
      </c>
      <c r="B118" s="112" t="s">
        <v>235</v>
      </c>
      <c r="C118" s="80">
        <f>VLOOKUP(GroupVertices[[#This Row],[Vertex]],Vertices[],MATCH("ID",Vertices[[#Headers],[Vertex]:[Top Word Pairs in Tags by Salience]],0),FALSE)</f>
        <v>17</v>
      </c>
    </row>
    <row r="119" spans="1:3" ht="15">
      <c r="A119" s="80" t="s">
        <v>4102</v>
      </c>
      <c r="B119" s="112" t="s">
        <v>784</v>
      </c>
      <c r="C119" s="80">
        <f>VLOOKUP(GroupVertices[[#This Row],[Vertex]],Vertices[],MATCH("ID",Vertices[[#Headers],[Vertex]:[Top Word Pairs in Tags by Salience]],0),FALSE)</f>
        <v>153</v>
      </c>
    </row>
    <row r="120" spans="1:3" ht="15">
      <c r="A120" s="80" t="s">
        <v>4102</v>
      </c>
      <c r="B120" s="112" t="s">
        <v>213</v>
      </c>
      <c r="C120" s="80">
        <f>VLOOKUP(GroupVertices[[#This Row],[Vertex]],Vertices[],MATCH("ID",Vertices[[#Headers],[Vertex]:[Top Word Pairs in Tags by Salience]],0),FALSE)</f>
        <v>28</v>
      </c>
    </row>
    <row r="121" spans="1:3" ht="15">
      <c r="A121" s="80" t="s">
        <v>4102</v>
      </c>
      <c r="B121" s="112" t="s">
        <v>780</v>
      </c>
      <c r="C121" s="80">
        <f>VLOOKUP(GroupVertices[[#This Row],[Vertex]],Vertices[],MATCH("ID",Vertices[[#Headers],[Vertex]:[Top Word Pairs in Tags by Salience]],0),FALSE)</f>
        <v>90</v>
      </c>
    </row>
    <row r="122" spans="1:3" ht="15">
      <c r="A122" s="80" t="s">
        <v>4102</v>
      </c>
      <c r="B122" s="112" t="s">
        <v>777</v>
      </c>
      <c r="C122" s="80">
        <f>VLOOKUP(GroupVertices[[#This Row],[Vertex]],Vertices[],MATCH("ID",Vertices[[#Headers],[Vertex]:[Top Word Pairs in Tags by Salience]],0),FALSE)</f>
        <v>225</v>
      </c>
    </row>
    <row r="123" spans="1:3" ht="15">
      <c r="A123" s="80" t="s">
        <v>4102</v>
      </c>
      <c r="B123" s="112" t="s">
        <v>774</v>
      </c>
      <c r="C123" s="80">
        <f>VLOOKUP(GroupVertices[[#This Row],[Vertex]],Vertices[],MATCH("ID",Vertices[[#Headers],[Vertex]:[Top Word Pairs in Tags by Salience]],0),FALSE)</f>
        <v>216</v>
      </c>
    </row>
    <row r="124" spans="1:3" ht="15">
      <c r="A124" s="80" t="s">
        <v>4102</v>
      </c>
      <c r="B124" s="112" t="s">
        <v>244</v>
      </c>
      <c r="C124" s="80">
        <f>VLOOKUP(GroupVertices[[#This Row],[Vertex]],Vertices[],MATCH("ID",Vertices[[#Headers],[Vertex]:[Top Word Pairs in Tags by Salience]],0),FALSE)</f>
        <v>50</v>
      </c>
    </row>
    <row r="125" spans="1:3" ht="15">
      <c r="A125" s="80" t="s">
        <v>4102</v>
      </c>
      <c r="B125" s="112" t="s">
        <v>747</v>
      </c>
      <c r="C125" s="80">
        <f>VLOOKUP(GroupVertices[[#This Row],[Vertex]],Vertices[],MATCH("ID",Vertices[[#Headers],[Vertex]:[Top Word Pairs in Tags by Salience]],0),FALSE)</f>
        <v>246</v>
      </c>
    </row>
    <row r="126" spans="1:3" ht="15">
      <c r="A126" s="80" t="s">
        <v>4102</v>
      </c>
      <c r="B126" s="112" t="s">
        <v>743</v>
      </c>
      <c r="C126" s="80">
        <f>VLOOKUP(GroupVertices[[#This Row],[Vertex]],Vertices[],MATCH("ID",Vertices[[#Headers],[Vertex]:[Top Word Pairs in Tags by Salience]],0),FALSE)</f>
        <v>196</v>
      </c>
    </row>
    <row r="127" spans="1:3" ht="15">
      <c r="A127" s="80" t="s">
        <v>4102</v>
      </c>
      <c r="B127" s="112" t="s">
        <v>735</v>
      </c>
      <c r="C127" s="80">
        <f>VLOOKUP(GroupVertices[[#This Row],[Vertex]],Vertices[],MATCH("ID",Vertices[[#Headers],[Vertex]:[Top Word Pairs in Tags by Salience]],0),FALSE)</f>
        <v>123</v>
      </c>
    </row>
    <row r="128" spans="1:3" ht="15">
      <c r="A128" s="80" t="s">
        <v>4102</v>
      </c>
      <c r="B128" s="112" t="s">
        <v>486</v>
      </c>
      <c r="C128" s="80">
        <f>VLOOKUP(GroupVertices[[#This Row],[Vertex]],Vertices[],MATCH("ID",Vertices[[#Headers],[Vertex]:[Top Word Pairs in Tags by Salience]],0),FALSE)</f>
        <v>56</v>
      </c>
    </row>
    <row r="129" spans="1:3" ht="15">
      <c r="A129" s="80" t="s">
        <v>4102</v>
      </c>
      <c r="B129" s="112" t="s">
        <v>510</v>
      </c>
      <c r="C129" s="80">
        <f>VLOOKUP(GroupVertices[[#This Row],[Vertex]],Vertices[],MATCH("ID",Vertices[[#Headers],[Vertex]:[Top Word Pairs in Tags by Salience]],0),FALSE)</f>
        <v>54</v>
      </c>
    </row>
    <row r="130" spans="1:3" ht="15">
      <c r="A130" s="80" t="s">
        <v>4102</v>
      </c>
      <c r="B130" s="112" t="s">
        <v>692</v>
      </c>
      <c r="C130" s="80">
        <f>VLOOKUP(GroupVertices[[#This Row],[Vertex]],Vertices[],MATCH("ID",Vertices[[#Headers],[Vertex]:[Top Word Pairs in Tags by Salience]],0),FALSE)</f>
        <v>158</v>
      </c>
    </row>
    <row r="131" spans="1:3" ht="15">
      <c r="A131" s="80" t="s">
        <v>4102</v>
      </c>
      <c r="B131" s="112" t="s">
        <v>675</v>
      </c>
      <c r="C131" s="80">
        <f>VLOOKUP(GroupVertices[[#This Row],[Vertex]],Vertices[],MATCH("ID",Vertices[[#Headers],[Vertex]:[Top Word Pairs in Tags by Salience]],0),FALSE)</f>
        <v>203</v>
      </c>
    </row>
    <row r="132" spans="1:3" ht="15">
      <c r="A132" s="80" t="s">
        <v>4102</v>
      </c>
      <c r="B132" s="112" t="s">
        <v>672</v>
      </c>
      <c r="C132" s="80">
        <f>VLOOKUP(GroupVertices[[#This Row],[Vertex]],Vertices[],MATCH("ID",Vertices[[#Headers],[Vertex]:[Top Word Pairs in Tags by Salience]],0),FALSE)</f>
        <v>170</v>
      </c>
    </row>
    <row r="133" spans="1:3" ht="15">
      <c r="A133" s="80" t="s">
        <v>4102</v>
      </c>
      <c r="B133" s="112" t="s">
        <v>664</v>
      </c>
      <c r="C133" s="80">
        <f>VLOOKUP(GroupVertices[[#This Row],[Vertex]],Vertices[],MATCH("ID",Vertices[[#Headers],[Vertex]:[Top Word Pairs in Tags by Salience]],0),FALSE)</f>
        <v>173</v>
      </c>
    </row>
    <row r="134" spans="1:3" ht="15">
      <c r="A134" s="80" t="s">
        <v>4102</v>
      </c>
      <c r="B134" s="112" t="s">
        <v>662</v>
      </c>
      <c r="C134" s="80">
        <f>VLOOKUP(GroupVertices[[#This Row],[Vertex]],Vertices[],MATCH("ID",Vertices[[#Headers],[Vertex]:[Top Word Pairs in Tags by Salience]],0),FALSE)</f>
        <v>107</v>
      </c>
    </row>
    <row r="135" spans="1:3" ht="15">
      <c r="A135" s="80" t="s">
        <v>4102</v>
      </c>
      <c r="B135" s="112" t="s">
        <v>661</v>
      </c>
      <c r="C135" s="80">
        <f>VLOOKUP(GroupVertices[[#This Row],[Vertex]],Vertices[],MATCH("ID",Vertices[[#Headers],[Vertex]:[Top Word Pairs in Tags by Salience]],0),FALSE)</f>
        <v>235</v>
      </c>
    </row>
    <row r="136" spans="1:3" ht="15">
      <c r="A136" s="80" t="s">
        <v>4102</v>
      </c>
      <c r="B136" s="112" t="s">
        <v>641</v>
      </c>
      <c r="C136" s="80">
        <f>VLOOKUP(GroupVertices[[#This Row],[Vertex]],Vertices[],MATCH("ID",Vertices[[#Headers],[Vertex]:[Top Word Pairs in Tags by Salience]],0),FALSE)</f>
        <v>257</v>
      </c>
    </row>
    <row r="137" spans="1:3" ht="15">
      <c r="A137" s="80" t="s">
        <v>4102</v>
      </c>
      <c r="B137" s="112" t="s">
        <v>635</v>
      </c>
      <c r="C137" s="80">
        <f>VLOOKUP(GroupVertices[[#This Row],[Vertex]],Vertices[],MATCH("ID",Vertices[[#Headers],[Vertex]:[Top Word Pairs in Tags by Salience]],0),FALSE)</f>
        <v>193</v>
      </c>
    </row>
    <row r="138" spans="1:3" ht="15">
      <c r="A138" s="80" t="s">
        <v>4102</v>
      </c>
      <c r="B138" s="112" t="s">
        <v>621</v>
      </c>
      <c r="C138" s="80">
        <f>VLOOKUP(GroupVertices[[#This Row],[Vertex]],Vertices[],MATCH("ID",Vertices[[#Headers],[Vertex]:[Top Word Pairs in Tags by Salience]],0),FALSE)</f>
        <v>141</v>
      </c>
    </row>
    <row r="139" spans="1:3" ht="15">
      <c r="A139" s="80" t="s">
        <v>4102</v>
      </c>
      <c r="B139" s="112" t="s">
        <v>619</v>
      </c>
      <c r="C139" s="80">
        <f>VLOOKUP(GroupVertices[[#This Row],[Vertex]],Vertices[],MATCH("ID",Vertices[[#Headers],[Vertex]:[Top Word Pairs in Tags by Salience]],0),FALSE)</f>
        <v>138</v>
      </c>
    </row>
    <row r="140" spans="1:3" ht="15">
      <c r="A140" s="80" t="s">
        <v>4102</v>
      </c>
      <c r="B140" s="112" t="s">
        <v>614</v>
      </c>
      <c r="C140" s="80">
        <f>VLOOKUP(GroupVertices[[#This Row],[Vertex]],Vertices[],MATCH("ID",Vertices[[#Headers],[Vertex]:[Top Word Pairs in Tags by Salience]],0),FALSE)</f>
        <v>127</v>
      </c>
    </row>
    <row r="141" spans="1:3" ht="15">
      <c r="A141" s="80" t="s">
        <v>4102</v>
      </c>
      <c r="B141" s="112" t="s">
        <v>606</v>
      </c>
      <c r="C141" s="80">
        <f>VLOOKUP(GroupVertices[[#This Row],[Vertex]],Vertices[],MATCH("ID",Vertices[[#Headers],[Vertex]:[Top Word Pairs in Tags by Salience]],0),FALSE)</f>
        <v>109</v>
      </c>
    </row>
    <row r="142" spans="1:3" ht="15">
      <c r="A142" s="80" t="s">
        <v>4102</v>
      </c>
      <c r="B142" s="112" t="s">
        <v>603</v>
      </c>
      <c r="C142" s="80">
        <f>VLOOKUP(GroupVertices[[#This Row],[Vertex]],Vertices[],MATCH("ID",Vertices[[#Headers],[Vertex]:[Top Word Pairs in Tags by Salience]],0),FALSE)</f>
        <v>244</v>
      </c>
    </row>
    <row r="143" spans="1:3" ht="15">
      <c r="A143" s="80" t="s">
        <v>4102</v>
      </c>
      <c r="B143" s="112" t="s">
        <v>602</v>
      </c>
      <c r="C143" s="80">
        <f>VLOOKUP(GroupVertices[[#This Row],[Vertex]],Vertices[],MATCH("ID",Vertices[[#Headers],[Vertex]:[Top Word Pairs in Tags by Salience]],0),FALSE)</f>
        <v>79</v>
      </c>
    </row>
    <row r="144" spans="1:3" ht="15">
      <c r="A144" s="80" t="s">
        <v>4102</v>
      </c>
      <c r="B144" s="112" t="s">
        <v>512</v>
      </c>
      <c r="C144" s="80">
        <f>VLOOKUP(GroupVertices[[#This Row],[Vertex]],Vertices[],MATCH("ID",Vertices[[#Headers],[Vertex]:[Top Word Pairs in Tags by Salience]],0),FALSE)</f>
        <v>62</v>
      </c>
    </row>
    <row r="145" spans="1:3" ht="15">
      <c r="A145" s="80" t="s">
        <v>4102</v>
      </c>
      <c r="B145" s="112" t="s">
        <v>479</v>
      </c>
      <c r="C145" s="80">
        <f>VLOOKUP(GroupVertices[[#This Row],[Vertex]],Vertices[],MATCH("ID",Vertices[[#Headers],[Vertex]:[Top Word Pairs in Tags by Salience]],0),FALSE)</f>
        <v>59</v>
      </c>
    </row>
    <row r="146" spans="1:3" ht="15">
      <c r="A146" s="80" t="s">
        <v>4102</v>
      </c>
      <c r="B146" s="112" t="s">
        <v>570</v>
      </c>
      <c r="C146" s="80">
        <f>VLOOKUP(GroupVertices[[#This Row],[Vertex]],Vertices[],MATCH("ID",Vertices[[#Headers],[Vertex]:[Top Word Pairs in Tags by Salience]],0),FALSE)</f>
        <v>234</v>
      </c>
    </row>
    <row r="147" spans="1:3" ht="15">
      <c r="A147" s="80" t="s">
        <v>4102</v>
      </c>
      <c r="B147" s="112" t="s">
        <v>569</v>
      </c>
      <c r="C147" s="80">
        <f>VLOOKUP(GroupVertices[[#This Row],[Vertex]],Vertices[],MATCH("ID",Vertices[[#Headers],[Vertex]:[Top Word Pairs in Tags by Salience]],0),FALSE)</f>
        <v>232</v>
      </c>
    </row>
    <row r="148" spans="1:3" ht="15">
      <c r="A148" s="80" t="s">
        <v>4102</v>
      </c>
      <c r="B148" s="112" t="s">
        <v>568</v>
      </c>
      <c r="C148" s="80">
        <f>VLOOKUP(GroupVertices[[#This Row],[Vertex]],Vertices[],MATCH("ID",Vertices[[#Headers],[Vertex]:[Top Word Pairs in Tags by Salience]],0),FALSE)</f>
        <v>233</v>
      </c>
    </row>
    <row r="149" spans="1:3" ht="15">
      <c r="A149" s="80" t="s">
        <v>4102</v>
      </c>
      <c r="B149" s="112" t="s">
        <v>567</v>
      </c>
      <c r="C149" s="80">
        <f>VLOOKUP(GroupVertices[[#This Row],[Vertex]],Vertices[],MATCH("ID",Vertices[[#Headers],[Vertex]:[Top Word Pairs in Tags by Salience]],0),FALSE)</f>
        <v>229</v>
      </c>
    </row>
    <row r="150" spans="1:3" ht="15">
      <c r="A150" s="80" t="s">
        <v>4102</v>
      </c>
      <c r="B150" s="112" t="s">
        <v>566</v>
      </c>
      <c r="C150" s="80">
        <f>VLOOKUP(GroupVertices[[#This Row],[Vertex]],Vertices[],MATCH("ID",Vertices[[#Headers],[Vertex]:[Top Word Pairs in Tags by Salience]],0),FALSE)</f>
        <v>230</v>
      </c>
    </row>
    <row r="151" spans="1:3" ht="15">
      <c r="A151" s="80" t="s">
        <v>4102</v>
      </c>
      <c r="B151" s="112" t="s">
        <v>509</v>
      </c>
      <c r="C151" s="80">
        <f>VLOOKUP(GroupVertices[[#This Row],[Vertex]],Vertices[],MATCH("ID",Vertices[[#Headers],[Vertex]:[Top Word Pairs in Tags by Salience]],0),FALSE)</f>
        <v>128</v>
      </c>
    </row>
    <row r="152" spans="1:3" ht="15">
      <c r="A152" s="80" t="s">
        <v>4102</v>
      </c>
      <c r="B152" s="112" t="s">
        <v>513</v>
      </c>
      <c r="C152" s="80">
        <f>VLOOKUP(GroupVertices[[#This Row],[Vertex]],Vertices[],MATCH("ID",Vertices[[#Headers],[Vertex]:[Top Word Pairs in Tags by Salience]],0),FALSE)</f>
        <v>142</v>
      </c>
    </row>
    <row r="153" spans="1:3" ht="15">
      <c r="A153" s="80" t="s">
        <v>4102</v>
      </c>
      <c r="B153" s="112" t="s">
        <v>563</v>
      </c>
      <c r="C153" s="80">
        <f>VLOOKUP(GroupVertices[[#This Row],[Vertex]],Vertices[],MATCH("ID",Vertices[[#Headers],[Vertex]:[Top Word Pairs in Tags by Salience]],0),FALSE)</f>
        <v>231</v>
      </c>
    </row>
    <row r="154" spans="1:3" ht="15">
      <c r="A154" s="80" t="s">
        <v>4102</v>
      </c>
      <c r="B154" s="112" t="s">
        <v>511</v>
      </c>
      <c r="C154" s="80">
        <f>VLOOKUP(GroupVertices[[#This Row],[Vertex]],Vertices[],MATCH("ID",Vertices[[#Headers],[Vertex]:[Top Word Pairs in Tags by Salience]],0),FALSE)</f>
        <v>136</v>
      </c>
    </row>
    <row r="155" spans="1:3" ht="15">
      <c r="A155" s="80" t="s">
        <v>4102</v>
      </c>
      <c r="B155" s="112" t="s">
        <v>230</v>
      </c>
      <c r="C155" s="80">
        <f>VLOOKUP(GroupVertices[[#This Row],[Vertex]],Vertices[],MATCH("ID",Vertices[[#Headers],[Vertex]:[Top Word Pairs in Tags by Salience]],0),FALSE)</f>
        <v>42</v>
      </c>
    </row>
    <row r="156" spans="1:3" ht="15">
      <c r="A156" s="80" t="s">
        <v>4102</v>
      </c>
      <c r="B156" s="112" t="s">
        <v>375</v>
      </c>
      <c r="C156" s="80">
        <f>VLOOKUP(GroupVertices[[#This Row],[Vertex]],Vertices[],MATCH("ID",Vertices[[#Headers],[Vertex]:[Top Word Pairs in Tags by Salience]],0),FALSE)</f>
        <v>166</v>
      </c>
    </row>
    <row r="157" spans="1:3" ht="15">
      <c r="A157" s="80" t="s">
        <v>4102</v>
      </c>
      <c r="B157" s="112" t="s">
        <v>373</v>
      </c>
      <c r="C157" s="80">
        <f>VLOOKUP(GroupVertices[[#This Row],[Vertex]],Vertices[],MATCH("ID",Vertices[[#Headers],[Vertex]:[Top Word Pairs in Tags by Salience]],0),FALSE)</f>
        <v>180</v>
      </c>
    </row>
    <row r="158" spans="1:3" ht="15">
      <c r="A158" s="80" t="s">
        <v>4102</v>
      </c>
      <c r="B158" s="112" t="s">
        <v>363</v>
      </c>
      <c r="C158" s="80">
        <f>VLOOKUP(GroupVertices[[#This Row],[Vertex]],Vertices[],MATCH("ID",Vertices[[#Headers],[Vertex]:[Top Word Pairs in Tags by Salience]],0),FALSE)</f>
        <v>144</v>
      </c>
    </row>
    <row r="159" spans="1:3" ht="15">
      <c r="A159" s="80" t="s">
        <v>4103</v>
      </c>
      <c r="B159" s="112" t="s">
        <v>935</v>
      </c>
      <c r="C159" s="80">
        <f>VLOOKUP(GroupVertices[[#This Row],[Vertex]],Vertices[],MATCH("ID",Vertices[[#Headers],[Vertex]:[Top Word Pairs in Tags by Salience]],0),FALSE)</f>
        <v>183</v>
      </c>
    </row>
    <row r="160" spans="1:3" ht="15">
      <c r="A160" s="80" t="s">
        <v>4103</v>
      </c>
      <c r="B160" s="112" t="s">
        <v>254</v>
      </c>
      <c r="C160" s="80">
        <f>VLOOKUP(GroupVertices[[#This Row],[Vertex]],Vertices[],MATCH("ID",Vertices[[#Headers],[Vertex]:[Top Word Pairs in Tags by Salience]],0),FALSE)</f>
        <v>5</v>
      </c>
    </row>
    <row r="161" spans="1:3" ht="15">
      <c r="A161" s="80" t="s">
        <v>4103</v>
      </c>
      <c r="B161" s="112" t="s">
        <v>902</v>
      </c>
      <c r="C161" s="80">
        <f>VLOOKUP(GroupVertices[[#This Row],[Vertex]],Vertices[],MATCH("ID",Vertices[[#Headers],[Vertex]:[Top Word Pairs in Tags by Salience]],0),FALSE)</f>
        <v>147</v>
      </c>
    </row>
    <row r="162" spans="1:3" ht="15">
      <c r="A162" s="80" t="s">
        <v>4103</v>
      </c>
      <c r="B162" s="112" t="s">
        <v>895</v>
      </c>
      <c r="C162" s="80">
        <f>VLOOKUP(GroupVertices[[#This Row],[Vertex]],Vertices[],MATCH("ID",Vertices[[#Headers],[Vertex]:[Top Word Pairs in Tags by Salience]],0),FALSE)</f>
        <v>146</v>
      </c>
    </row>
    <row r="163" spans="1:3" ht="15">
      <c r="A163" s="80" t="s">
        <v>4103</v>
      </c>
      <c r="B163" s="112" t="s">
        <v>223</v>
      </c>
      <c r="C163" s="80">
        <f>VLOOKUP(GroupVertices[[#This Row],[Vertex]],Vertices[],MATCH("ID",Vertices[[#Headers],[Vertex]:[Top Word Pairs in Tags by Salience]],0),FALSE)</f>
        <v>11</v>
      </c>
    </row>
    <row r="164" spans="1:3" ht="15">
      <c r="A164" s="80" t="s">
        <v>4103</v>
      </c>
      <c r="B164" s="112" t="s">
        <v>873</v>
      </c>
      <c r="C164" s="80">
        <f>VLOOKUP(GroupVertices[[#This Row],[Vertex]],Vertices[],MATCH("ID",Vertices[[#Headers],[Vertex]:[Top Word Pairs in Tags by Salience]],0),FALSE)</f>
        <v>207</v>
      </c>
    </row>
    <row r="165" spans="1:3" ht="15">
      <c r="A165" s="80" t="s">
        <v>4103</v>
      </c>
      <c r="B165" s="112" t="s">
        <v>228</v>
      </c>
      <c r="C165" s="80">
        <f>VLOOKUP(GroupVertices[[#This Row],[Vertex]],Vertices[],MATCH("ID",Vertices[[#Headers],[Vertex]:[Top Word Pairs in Tags by Salience]],0),FALSE)</f>
        <v>22</v>
      </c>
    </row>
    <row r="166" spans="1:3" ht="15">
      <c r="A166" s="80" t="s">
        <v>4103</v>
      </c>
      <c r="B166" s="112" t="s">
        <v>216</v>
      </c>
      <c r="C166" s="80">
        <f>VLOOKUP(GroupVertices[[#This Row],[Vertex]],Vertices[],MATCH("ID",Vertices[[#Headers],[Vertex]:[Top Word Pairs in Tags by Salience]],0),FALSE)</f>
        <v>20</v>
      </c>
    </row>
    <row r="167" spans="1:3" ht="15">
      <c r="A167" s="80" t="s">
        <v>4103</v>
      </c>
      <c r="B167" s="112" t="s">
        <v>850</v>
      </c>
      <c r="C167" s="80">
        <f>VLOOKUP(GroupVertices[[#This Row],[Vertex]],Vertices[],MATCH("ID",Vertices[[#Headers],[Vertex]:[Top Word Pairs in Tags by Salience]],0),FALSE)</f>
        <v>88</v>
      </c>
    </row>
    <row r="168" spans="1:3" ht="15">
      <c r="A168" s="80" t="s">
        <v>4103</v>
      </c>
      <c r="B168" s="112" t="s">
        <v>239</v>
      </c>
      <c r="C168" s="80">
        <f>VLOOKUP(GroupVertices[[#This Row],[Vertex]],Vertices[],MATCH("ID",Vertices[[#Headers],[Vertex]:[Top Word Pairs in Tags by Salience]],0),FALSE)</f>
        <v>36</v>
      </c>
    </row>
    <row r="169" spans="1:3" ht="15">
      <c r="A169" s="80" t="s">
        <v>4103</v>
      </c>
      <c r="B169" s="112" t="s">
        <v>215</v>
      </c>
      <c r="C169" s="80">
        <f>VLOOKUP(GroupVertices[[#This Row],[Vertex]],Vertices[],MATCH("ID",Vertices[[#Headers],[Vertex]:[Top Word Pairs in Tags by Salience]],0),FALSE)</f>
        <v>23</v>
      </c>
    </row>
    <row r="170" spans="1:3" ht="15">
      <c r="A170" s="80" t="s">
        <v>4103</v>
      </c>
      <c r="B170" s="112" t="s">
        <v>227</v>
      </c>
      <c r="C170" s="80">
        <f>VLOOKUP(GroupVertices[[#This Row],[Vertex]],Vertices[],MATCH("ID",Vertices[[#Headers],[Vertex]:[Top Word Pairs in Tags by Salience]],0),FALSE)</f>
        <v>15</v>
      </c>
    </row>
    <row r="171" spans="1:3" ht="15">
      <c r="A171" s="80" t="s">
        <v>4103</v>
      </c>
      <c r="B171" s="112" t="s">
        <v>848</v>
      </c>
      <c r="C171" s="80">
        <f>VLOOKUP(GroupVertices[[#This Row],[Vertex]],Vertices[],MATCH("ID",Vertices[[#Headers],[Vertex]:[Top Word Pairs in Tags by Salience]],0),FALSE)</f>
        <v>117</v>
      </c>
    </row>
    <row r="172" spans="1:3" ht="15">
      <c r="A172" s="80" t="s">
        <v>4103</v>
      </c>
      <c r="B172" s="112" t="s">
        <v>847</v>
      </c>
      <c r="C172" s="80">
        <f>VLOOKUP(GroupVertices[[#This Row],[Vertex]],Vertices[],MATCH("ID",Vertices[[#Headers],[Vertex]:[Top Word Pairs in Tags by Salience]],0),FALSE)</f>
        <v>224</v>
      </c>
    </row>
    <row r="173" spans="1:3" ht="15">
      <c r="A173" s="80" t="s">
        <v>4103</v>
      </c>
      <c r="B173" s="112" t="s">
        <v>844</v>
      </c>
      <c r="C173" s="80">
        <f>VLOOKUP(GroupVertices[[#This Row],[Vertex]],Vertices[],MATCH("ID",Vertices[[#Headers],[Vertex]:[Top Word Pairs in Tags by Salience]],0),FALSE)</f>
        <v>89</v>
      </c>
    </row>
    <row r="174" spans="1:3" ht="15">
      <c r="A174" s="80" t="s">
        <v>4103</v>
      </c>
      <c r="B174" s="112" t="s">
        <v>843</v>
      </c>
      <c r="C174" s="80">
        <f>VLOOKUP(GroupVertices[[#This Row],[Vertex]],Vertices[],MATCH("ID",Vertices[[#Headers],[Vertex]:[Top Word Pairs in Tags by Salience]],0),FALSE)</f>
        <v>155</v>
      </c>
    </row>
    <row r="175" spans="1:3" ht="15">
      <c r="A175" s="80" t="s">
        <v>4103</v>
      </c>
      <c r="B175" s="112" t="s">
        <v>842</v>
      </c>
      <c r="C175" s="80">
        <f>VLOOKUP(GroupVertices[[#This Row],[Vertex]],Vertices[],MATCH("ID",Vertices[[#Headers],[Vertex]:[Top Word Pairs in Tags by Salience]],0),FALSE)</f>
        <v>262</v>
      </c>
    </row>
    <row r="176" spans="1:3" ht="15">
      <c r="A176" s="80" t="s">
        <v>4103</v>
      </c>
      <c r="B176" s="112" t="s">
        <v>841</v>
      </c>
      <c r="C176" s="80">
        <f>VLOOKUP(GroupVertices[[#This Row],[Vertex]],Vertices[],MATCH("ID",Vertices[[#Headers],[Vertex]:[Top Word Pairs in Tags by Salience]],0),FALSE)</f>
        <v>93</v>
      </c>
    </row>
    <row r="177" spans="1:3" ht="15">
      <c r="A177" s="80" t="s">
        <v>4103</v>
      </c>
      <c r="B177" s="112" t="s">
        <v>837</v>
      </c>
      <c r="C177" s="80">
        <f>VLOOKUP(GroupVertices[[#This Row],[Vertex]],Vertices[],MATCH("ID",Vertices[[#Headers],[Vertex]:[Top Word Pairs in Tags by Salience]],0),FALSE)</f>
        <v>161</v>
      </c>
    </row>
    <row r="178" spans="1:3" ht="15">
      <c r="A178" s="80" t="s">
        <v>4103</v>
      </c>
      <c r="B178" s="112" t="s">
        <v>833</v>
      </c>
      <c r="C178" s="80">
        <f>VLOOKUP(GroupVertices[[#This Row],[Vertex]],Vertices[],MATCH("ID",Vertices[[#Headers],[Vertex]:[Top Word Pairs in Tags by Salience]],0),FALSE)</f>
        <v>145</v>
      </c>
    </row>
    <row r="179" spans="1:3" ht="15">
      <c r="A179" s="80" t="s">
        <v>4103</v>
      </c>
      <c r="B179" s="112" t="s">
        <v>831</v>
      </c>
      <c r="C179" s="80">
        <f>VLOOKUP(GroupVertices[[#This Row],[Vertex]],Vertices[],MATCH("ID",Vertices[[#Headers],[Vertex]:[Top Word Pairs in Tags by Salience]],0),FALSE)</f>
        <v>98</v>
      </c>
    </row>
    <row r="180" spans="1:3" ht="15">
      <c r="A180" s="80" t="s">
        <v>4103</v>
      </c>
      <c r="B180" s="112" t="s">
        <v>830</v>
      </c>
      <c r="C180" s="80">
        <f>VLOOKUP(GroupVertices[[#This Row],[Vertex]],Vertices[],MATCH("ID",Vertices[[#Headers],[Vertex]:[Top Word Pairs in Tags by Salience]],0),FALSE)</f>
        <v>219</v>
      </c>
    </row>
    <row r="181" spans="1:3" ht="15">
      <c r="A181" s="80" t="s">
        <v>4103</v>
      </c>
      <c r="B181" s="112" t="s">
        <v>829</v>
      </c>
      <c r="C181" s="80">
        <f>VLOOKUP(GroupVertices[[#This Row],[Vertex]],Vertices[],MATCH("ID",Vertices[[#Headers],[Vertex]:[Top Word Pairs in Tags by Salience]],0),FALSE)</f>
        <v>259</v>
      </c>
    </row>
    <row r="182" spans="1:3" ht="15">
      <c r="A182" s="80" t="s">
        <v>4103</v>
      </c>
      <c r="B182" s="112" t="s">
        <v>826</v>
      </c>
      <c r="C182" s="80">
        <f>VLOOKUP(GroupVertices[[#This Row],[Vertex]],Vertices[],MATCH("ID",Vertices[[#Headers],[Vertex]:[Top Word Pairs in Tags by Salience]],0),FALSE)</f>
        <v>260</v>
      </c>
    </row>
    <row r="183" spans="1:3" ht="15">
      <c r="A183" s="80" t="s">
        <v>4103</v>
      </c>
      <c r="B183" s="112" t="s">
        <v>825</v>
      </c>
      <c r="C183" s="80">
        <f>VLOOKUP(GroupVertices[[#This Row],[Vertex]],Vertices[],MATCH("ID",Vertices[[#Headers],[Vertex]:[Top Word Pairs in Tags by Salience]],0),FALSE)</f>
        <v>214</v>
      </c>
    </row>
    <row r="184" spans="1:3" ht="15">
      <c r="A184" s="80" t="s">
        <v>4103</v>
      </c>
      <c r="B184" s="112" t="s">
        <v>814</v>
      </c>
      <c r="C184" s="80">
        <f>VLOOKUP(GroupVertices[[#This Row],[Vertex]],Vertices[],MATCH("ID",Vertices[[#Headers],[Vertex]:[Top Word Pairs in Tags by Salience]],0),FALSE)</f>
        <v>241</v>
      </c>
    </row>
    <row r="185" spans="1:3" ht="15">
      <c r="A185" s="80" t="s">
        <v>4103</v>
      </c>
      <c r="B185" s="112" t="s">
        <v>812</v>
      </c>
      <c r="C185" s="80">
        <f>VLOOKUP(GroupVertices[[#This Row],[Vertex]],Vertices[],MATCH("ID",Vertices[[#Headers],[Vertex]:[Top Word Pairs in Tags by Salience]],0),FALSE)</f>
        <v>65</v>
      </c>
    </row>
    <row r="186" spans="1:3" ht="15">
      <c r="A186" s="80" t="s">
        <v>4103</v>
      </c>
      <c r="B186" s="112" t="s">
        <v>808</v>
      </c>
      <c r="C186" s="80">
        <f>VLOOKUP(GroupVertices[[#This Row],[Vertex]],Vertices[],MATCH("ID",Vertices[[#Headers],[Vertex]:[Top Word Pairs in Tags by Salience]],0),FALSE)</f>
        <v>122</v>
      </c>
    </row>
    <row r="187" spans="1:3" ht="15">
      <c r="A187" s="80" t="s">
        <v>4103</v>
      </c>
      <c r="B187" s="112" t="s">
        <v>779</v>
      </c>
      <c r="C187" s="80">
        <f>VLOOKUP(GroupVertices[[#This Row],[Vertex]],Vertices[],MATCH("ID",Vertices[[#Headers],[Vertex]:[Top Word Pairs in Tags by Salience]],0),FALSE)</f>
        <v>91</v>
      </c>
    </row>
    <row r="188" spans="1:3" ht="15">
      <c r="A188" s="80" t="s">
        <v>4103</v>
      </c>
      <c r="B188" s="112" t="s">
        <v>773</v>
      </c>
      <c r="C188" s="80">
        <f>VLOOKUP(GroupVertices[[#This Row],[Vertex]],Vertices[],MATCH("ID",Vertices[[#Headers],[Vertex]:[Top Word Pairs in Tags by Salience]],0),FALSE)</f>
        <v>94</v>
      </c>
    </row>
    <row r="189" spans="1:3" ht="15">
      <c r="A189" s="80" t="s">
        <v>4103</v>
      </c>
      <c r="B189" s="112" t="s">
        <v>245</v>
      </c>
      <c r="C189" s="80">
        <f>VLOOKUP(GroupVertices[[#This Row],[Vertex]],Vertices[],MATCH("ID",Vertices[[#Headers],[Vertex]:[Top Word Pairs in Tags by Salience]],0),FALSE)</f>
        <v>29</v>
      </c>
    </row>
    <row r="190" spans="1:3" ht="15">
      <c r="A190" s="80" t="s">
        <v>4103</v>
      </c>
      <c r="B190" s="112" t="s">
        <v>723</v>
      </c>
      <c r="C190" s="80">
        <f>VLOOKUP(GroupVertices[[#This Row],[Vertex]],Vertices[],MATCH("ID",Vertices[[#Headers],[Vertex]:[Top Word Pairs in Tags by Salience]],0),FALSE)</f>
        <v>132</v>
      </c>
    </row>
    <row r="191" spans="1:3" ht="15">
      <c r="A191" s="80" t="s">
        <v>4103</v>
      </c>
      <c r="B191" s="112" t="s">
        <v>720</v>
      </c>
      <c r="C191" s="80">
        <f>VLOOKUP(GroupVertices[[#This Row],[Vertex]],Vertices[],MATCH("ID",Vertices[[#Headers],[Vertex]:[Top Word Pairs in Tags by Salience]],0),FALSE)</f>
        <v>135</v>
      </c>
    </row>
    <row r="192" spans="1:3" ht="15">
      <c r="A192" s="80" t="s">
        <v>4103</v>
      </c>
      <c r="B192" s="112" t="s">
        <v>715</v>
      </c>
      <c r="C192" s="80">
        <f>VLOOKUP(GroupVertices[[#This Row],[Vertex]],Vertices[],MATCH("ID",Vertices[[#Headers],[Vertex]:[Top Word Pairs in Tags by Salience]],0),FALSE)</f>
        <v>174</v>
      </c>
    </row>
    <row r="193" spans="1:3" ht="15">
      <c r="A193" s="80" t="s">
        <v>4103</v>
      </c>
      <c r="B193" s="112" t="s">
        <v>707</v>
      </c>
      <c r="C193" s="80">
        <f>VLOOKUP(GroupVertices[[#This Row],[Vertex]],Vertices[],MATCH("ID",Vertices[[#Headers],[Vertex]:[Top Word Pairs in Tags by Salience]],0),FALSE)</f>
        <v>252</v>
      </c>
    </row>
    <row r="194" spans="1:3" ht="15">
      <c r="A194" s="80" t="s">
        <v>4103</v>
      </c>
      <c r="B194" s="112" t="s">
        <v>705</v>
      </c>
      <c r="C194" s="80">
        <f>VLOOKUP(GroupVertices[[#This Row],[Vertex]],Vertices[],MATCH("ID",Vertices[[#Headers],[Vertex]:[Top Word Pairs in Tags by Salience]],0),FALSE)</f>
        <v>134</v>
      </c>
    </row>
    <row r="195" spans="1:3" ht="15">
      <c r="A195" s="80" t="s">
        <v>4103</v>
      </c>
      <c r="B195" s="112" t="s">
        <v>514</v>
      </c>
      <c r="C195" s="80">
        <f>VLOOKUP(GroupVertices[[#This Row],[Vertex]],Vertices[],MATCH("ID",Vertices[[#Headers],[Vertex]:[Top Word Pairs in Tags by Salience]],0),FALSE)</f>
        <v>63</v>
      </c>
    </row>
    <row r="196" spans="1:3" ht="15">
      <c r="A196" s="80" t="s">
        <v>4103</v>
      </c>
      <c r="B196" s="112" t="s">
        <v>504</v>
      </c>
      <c r="C196" s="80">
        <f>VLOOKUP(GroupVertices[[#This Row],[Vertex]],Vertices[],MATCH("ID",Vertices[[#Headers],[Vertex]:[Top Word Pairs in Tags by Salience]],0),FALSE)</f>
        <v>74</v>
      </c>
    </row>
    <row r="197" spans="1:3" ht="15">
      <c r="A197" s="80" t="s">
        <v>4103</v>
      </c>
      <c r="B197" s="112" t="s">
        <v>674</v>
      </c>
      <c r="C197" s="80">
        <f>VLOOKUP(GroupVertices[[#This Row],[Vertex]],Vertices[],MATCH("ID",Vertices[[#Headers],[Vertex]:[Top Word Pairs in Tags by Salience]],0),FALSE)</f>
        <v>103</v>
      </c>
    </row>
    <row r="198" spans="1:3" ht="15">
      <c r="A198" s="80" t="s">
        <v>4103</v>
      </c>
      <c r="B198" s="112" t="s">
        <v>219</v>
      </c>
      <c r="C198" s="80">
        <f>VLOOKUP(GroupVertices[[#This Row],[Vertex]],Vertices[],MATCH("ID",Vertices[[#Headers],[Vertex]:[Top Word Pairs in Tags by Salience]],0),FALSE)</f>
        <v>38</v>
      </c>
    </row>
    <row r="199" spans="1:3" ht="15">
      <c r="A199" s="80" t="s">
        <v>4103</v>
      </c>
      <c r="B199" s="112" t="s">
        <v>665</v>
      </c>
      <c r="C199" s="80">
        <f>VLOOKUP(GroupVertices[[#This Row],[Vertex]],Vertices[],MATCH("ID",Vertices[[#Headers],[Vertex]:[Top Word Pairs in Tags by Salience]],0),FALSE)</f>
        <v>99</v>
      </c>
    </row>
    <row r="200" spans="1:3" ht="15">
      <c r="A200" s="80" t="s">
        <v>4103</v>
      </c>
      <c r="B200" s="112" t="s">
        <v>660</v>
      </c>
      <c r="C200" s="80">
        <f>VLOOKUP(GroupVertices[[#This Row],[Vertex]],Vertices[],MATCH("ID",Vertices[[#Headers],[Vertex]:[Top Word Pairs in Tags by Salience]],0),FALSE)</f>
        <v>137</v>
      </c>
    </row>
    <row r="201" spans="1:3" ht="15">
      <c r="A201" s="80" t="s">
        <v>4103</v>
      </c>
      <c r="B201" s="112" t="s">
        <v>659</v>
      </c>
      <c r="C201" s="80">
        <f>VLOOKUP(GroupVertices[[#This Row],[Vertex]],Vertices[],MATCH("ID",Vertices[[#Headers],[Vertex]:[Top Word Pairs in Tags by Salience]],0),FALSE)</f>
        <v>116</v>
      </c>
    </row>
    <row r="202" spans="1:3" ht="15">
      <c r="A202" s="80" t="s">
        <v>4103</v>
      </c>
      <c r="B202" s="112" t="s">
        <v>629</v>
      </c>
      <c r="C202" s="80">
        <f>VLOOKUP(GroupVertices[[#This Row],[Vertex]],Vertices[],MATCH("ID",Vertices[[#Headers],[Vertex]:[Top Word Pairs in Tags by Salience]],0),FALSE)</f>
        <v>110</v>
      </c>
    </row>
    <row r="203" spans="1:3" ht="15">
      <c r="A203" s="80" t="s">
        <v>4103</v>
      </c>
      <c r="B203" s="112" t="s">
        <v>628</v>
      </c>
      <c r="C203" s="80">
        <f>VLOOKUP(GroupVertices[[#This Row],[Vertex]],Vertices[],MATCH("ID",Vertices[[#Headers],[Vertex]:[Top Word Pairs in Tags by Salience]],0),FALSE)</f>
        <v>237</v>
      </c>
    </row>
    <row r="204" spans="1:3" ht="15">
      <c r="A204" s="80" t="s">
        <v>4103</v>
      </c>
      <c r="B204" s="112" t="s">
        <v>601</v>
      </c>
      <c r="C204" s="80">
        <f>VLOOKUP(GroupVertices[[#This Row],[Vertex]],Vertices[],MATCH("ID",Vertices[[#Headers],[Vertex]:[Top Word Pairs in Tags by Salience]],0),FALSE)</f>
        <v>228</v>
      </c>
    </row>
    <row r="205" spans="1:3" ht="15">
      <c r="A205" s="80" t="s">
        <v>4103</v>
      </c>
      <c r="B205" s="112" t="s">
        <v>478</v>
      </c>
      <c r="C205" s="80">
        <f>VLOOKUP(GroupVertices[[#This Row],[Vertex]],Vertices[],MATCH("ID",Vertices[[#Headers],[Vertex]:[Top Word Pairs in Tags by Salience]],0),FALSE)</f>
        <v>52</v>
      </c>
    </row>
    <row r="206" spans="1:3" ht="15">
      <c r="A206" s="80" t="s">
        <v>4103</v>
      </c>
      <c r="B206" s="112" t="s">
        <v>551</v>
      </c>
      <c r="C206" s="80">
        <f>VLOOKUP(GroupVertices[[#This Row],[Vertex]],Vertices[],MATCH("ID",Vertices[[#Headers],[Vertex]:[Top Word Pairs in Tags by Salience]],0),FALSE)</f>
        <v>223</v>
      </c>
    </row>
    <row r="207" spans="1:3" ht="15">
      <c r="A207" s="80" t="s">
        <v>4103</v>
      </c>
      <c r="B207" s="112" t="s">
        <v>525</v>
      </c>
      <c r="C207" s="80">
        <f>VLOOKUP(GroupVertices[[#This Row],[Vertex]],Vertices[],MATCH("ID",Vertices[[#Headers],[Vertex]:[Top Word Pairs in Tags by Salience]],0),FALSE)</f>
        <v>240</v>
      </c>
    </row>
    <row r="208" spans="1:3" ht="15">
      <c r="A208" s="80" t="s">
        <v>4103</v>
      </c>
      <c r="B208" s="112" t="s">
        <v>487</v>
      </c>
      <c r="C208" s="80">
        <f>VLOOKUP(GroupVertices[[#This Row],[Vertex]],Vertices[],MATCH("ID",Vertices[[#Headers],[Vertex]:[Top Word Pairs in Tags by Salience]],0),FALSE)</f>
        <v>140</v>
      </c>
    </row>
    <row r="209" spans="1:3" ht="15">
      <c r="A209" s="80" t="s">
        <v>4103</v>
      </c>
      <c r="B209" s="112" t="s">
        <v>452</v>
      </c>
      <c r="C209" s="80">
        <f>VLOOKUP(GroupVertices[[#This Row],[Vertex]],Vertices[],MATCH("ID",Vertices[[#Headers],[Vertex]:[Top Word Pairs in Tags by Salience]],0),FALSE)</f>
        <v>256</v>
      </c>
    </row>
    <row r="210" spans="1:3" ht="15">
      <c r="A210" s="80" t="s">
        <v>4103</v>
      </c>
      <c r="B210" s="112" t="s">
        <v>451</v>
      </c>
      <c r="C210" s="80">
        <f>VLOOKUP(GroupVertices[[#This Row],[Vertex]],Vertices[],MATCH("ID",Vertices[[#Headers],[Vertex]:[Top Word Pairs in Tags by Salience]],0),FALSE)</f>
        <v>255</v>
      </c>
    </row>
    <row r="211" spans="1:3" ht="15">
      <c r="A211" s="80" t="s">
        <v>4103</v>
      </c>
      <c r="B211" s="112" t="s">
        <v>448</v>
      </c>
      <c r="C211" s="80">
        <f>VLOOKUP(GroupVertices[[#This Row],[Vertex]],Vertices[],MATCH("ID",Vertices[[#Headers],[Vertex]:[Top Word Pairs in Tags by Salience]],0),FALSE)</f>
        <v>119</v>
      </c>
    </row>
    <row r="212" spans="1:3" ht="15">
      <c r="A212" s="80" t="s">
        <v>4103</v>
      </c>
      <c r="B212" s="112" t="s">
        <v>442</v>
      </c>
      <c r="C212" s="80">
        <f>VLOOKUP(GroupVertices[[#This Row],[Vertex]],Vertices[],MATCH("ID",Vertices[[#Headers],[Vertex]:[Top Word Pairs in Tags by Salience]],0),FALSE)</f>
        <v>118</v>
      </c>
    </row>
    <row r="213" spans="1:3" ht="15">
      <c r="A213" s="80" t="s">
        <v>4103</v>
      </c>
      <c r="B213" s="112" t="s">
        <v>440</v>
      </c>
      <c r="C213" s="80">
        <f>VLOOKUP(GroupVertices[[#This Row],[Vertex]],Vertices[],MATCH("ID",Vertices[[#Headers],[Vertex]:[Top Word Pairs in Tags by Salience]],0),FALSE)</f>
        <v>78</v>
      </c>
    </row>
    <row r="214" spans="1:3" ht="15">
      <c r="A214" s="80" t="s">
        <v>4103</v>
      </c>
      <c r="B214" s="112" t="s">
        <v>370</v>
      </c>
      <c r="C214" s="80">
        <f>VLOOKUP(GroupVertices[[#This Row],[Vertex]],Vertices[],MATCH("ID",Vertices[[#Headers],[Vertex]:[Top Word Pairs in Tags by Salience]],0),FALSE)</f>
        <v>250</v>
      </c>
    </row>
    <row r="215" spans="1:3" ht="15">
      <c r="A215" s="80" t="s">
        <v>4103</v>
      </c>
      <c r="B215" s="112" t="s">
        <v>369</v>
      </c>
      <c r="C215" s="80">
        <f>VLOOKUP(GroupVertices[[#This Row],[Vertex]],Vertices[],MATCH("ID",Vertices[[#Headers],[Vertex]:[Top Word Pairs in Tags by Salience]],0),FALSE)</f>
        <v>114</v>
      </c>
    </row>
    <row r="216" spans="1:3" ht="15">
      <c r="A216" s="80" t="s">
        <v>4103</v>
      </c>
      <c r="B216" s="112" t="s">
        <v>365</v>
      </c>
      <c r="C216" s="80">
        <f>VLOOKUP(GroupVertices[[#This Row],[Vertex]],Vertices[],MATCH("ID",Vertices[[#Headers],[Vertex]:[Top Word Pairs in Tags by Salience]],0),FALSE)</f>
        <v>175</v>
      </c>
    </row>
    <row r="217" spans="1:3" ht="15">
      <c r="A217" s="80" t="s">
        <v>4103</v>
      </c>
      <c r="B217" s="112" t="s">
        <v>297</v>
      </c>
      <c r="C217" s="80">
        <f>VLOOKUP(GroupVertices[[#This Row],[Vertex]],Vertices[],MATCH("ID",Vertices[[#Headers],[Vertex]:[Top Word Pairs in Tags by Salience]],0),FALSE)</f>
        <v>253</v>
      </c>
    </row>
    <row r="218" spans="1:3" ht="15">
      <c r="A218" s="80" t="s">
        <v>4104</v>
      </c>
      <c r="B218" s="112" t="s">
        <v>898</v>
      </c>
      <c r="C218" s="80">
        <f>VLOOKUP(GroupVertices[[#This Row],[Vertex]],Vertices[],MATCH("ID",Vertices[[#Headers],[Vertex]:[Top Word Pairs in Tags by Salience]],0),FALSE)</f>
        <v>247</v>
      </c>
    </row>
    <row r="219" spans="1:3" ht="15">
      <c r="A219" s="80" t="s">
        <v>4104</v>
      </c>
      <c r="B219" s="112" t="s">
        <v>217</v>
      </c>
      <c r="C219" s="80">
        <f>VLOOKUP(GroupVertices[[#This Row],[Vertex]],Vertices[],MATCH("ID",Vertices[[#Headers],[Vertex]:[Top Word Pairs in Tags by Salience]],0),FALSE)</f>
        <v>7</v>
      </c>
    </row>
    <row r="220" spans="1:3" ht="15">
      <c r="A220" s="80" t="s">
        <v>4104</v>
      </c>
      <c r="B220" s="112" t="s">
        <v>255</v>
      </c>
      <c r="C220" s="80">
        <f>VLOOKUP(GroupVertices[[#This Row],[Vertex]],Vertices[],MATCH("ID",Vertices[[#Headers],[Vertex]:[Top Word Pairs in Tags by Salience]],0),FALSE)</f>
        <v>10</v>
      </c>
    </row>
    <row r="221" spans="1:3" ht="15">
      <c r="A221" s="80" t="s">
        <v>4104</v>
      </c>
      <c r="B221" s="112" t="s">
        <v>888</v>
      </c>
      <c r="C221" s="80">
        <f>VLOOKUP(GroupVertices[[#This Row],[Vertex]],Vertices[],MATCH("ID",Vertices[[#Headers],[Vertex]:[Top Word Pairs in Tags by Salience]],0),FALSE)</f>
        <v>169</v>
      </c>
    </row>
    <row r="222" spans="1:3" ht="15">
      <c r="A222" s="80" t="s">
        <v>4104</v>
      </c>
      <c r="B222" s="112" t="s">
        <v>886</v>
      </c>
      <c r="C222" s="80">
        <f>VLOOKUP(GroupVertices[[#This Row],[Vertex]],Vertices[],MATCH("ID",Vertices[[#Headers],[Vertex]:[Top Word Pairs in Tags by Salience]],0),FALSE)</f>
        <v>113</v>
      </c>
    </row>
    <row r="223" spans="1:3" ht="15">
      <c r="A223" s="80" t="s">
        <v>4104</v>
      </c>
      <c r="B223" s="112" t="s">
        <v>882</v>
      </c>
      <c r="C223" s="80">
        <f>VLOOKUP(GroupVertices[[#This Row],[Vertex]],Vertices[],MATCH("ID",Vertices[[#Headers],[Vertex]:[Top Word Pairs in Tags by Salience]],0),FALSE)</f>
        <v>188</v>
      </c>
    </row>
    <row r="224" spans="1:3" ht="15">
      <c r="A224" s="80" t="s">
        <v>4104</v>
      </c>
      <c r="B224" s="112" t="s">
        <v>234</v>
      </c>
      <c r="C224" s="80">
        <f>VLOOKUP(GroupVertices[[#This Row],[Vertex]],Vertices[],MATCH("ID",Vertices[[#Headers],[Vertex]:[Top Word Pairs in Tags by Salience]],0),FALSE)</f>
        <v>9</v>
      </c>
    </row>
    <row r="225" spans="1:3" ht="15">
      <c r="A225" s="80" t="s">
        <v>4104</v>
      </c>
      <c r="B225" s="112" t="s">
        <v>876</v>
      </c>
      <c r="C225" s="80">
        <f>VLOOKUP(GroupVertices[[#This Row],[Vertex]],Vertices[],MATCH("ID",Vertices[[#Headers],[Vertex]:[Top Word Pairs in Tags by Salience]],0),FALSE)</f>
        <v>87</v>
      </c>
    </row>
    <row r="226" spans="1:3" ht="15">
      <c r="A226" s="80" t="s">
        <v>4104</v>
      </c>
      <c r="B226" s="112" t="s">
        <v>226</v>
      </c>
      <c r="C226" s="80">
        <f>VLOOKUP(GroupVertices[[#This Row],[Vertex]],Vertices[],MATCH("ID",Vertices[[#Headers],[Vertex]:[Top Word Pairs in Tags by Salience]],0),FALSE)</f>
        <v>33</v>
      </c>
    </row>
    <row r="227" spans="1:3" ht="15">
      <c r="A227" s="80" t="s">
        <v>4104</v>
      </c>
      <c r="B227" s="112" t="s">
        <v>875</v>
      </c>
      <c r="C227" s="80">
        <f>VLOOKUP(GroupVertices[[#This Row],[Vertex]],Vertices[],MATCH("ID",Vertices[[#Headers],[Vertex]:[Top Word Pairs in Tags by Salience]],0),FALSE)</f>
        <v>194</v>
      </c>
    </row>
    <row r="228" spans="1:3" ht="15">
      <c r="A228" s="80" t="s">
        <v>4104</v>
      </c>
      <c r="B228" s="112" t="s">
        <v>872</v>
      </c>
      <c r="C228" s="80">
        <f>VLOOKUP(GroupVertices[[#This Row],[Vertex]],Vertices[],MATCH("ID",Vertices[[#Headers],[Vertex]:[Top Word Pairs in Tags by Salience]],0),FALSE)</f>
        <v>70</v>
      </c>
    </row>
    <row r="229" spans="1:3" ht="15">
      <c r="A229" s="80" t="s">
        <v>4104</v>
      </c>
      <c r="B229" s="112" t="s">
        <v>862</v>
      </c>
      <c r="C229" s="80">
        <f>VLOOKUP(GroupVertices[[#This Row],[Vertex]],Vertices[],MATCH("ID",Vertices[[#Headers],[Vertex]:[Top Word Pairs in Tags by Salience]],0),FALSE)</f>
        <v>143</v>
      </c>
    </row>
    <row r="230" spans="1:3" ht="15">
      <c r="A230" s="80" t="s">
        <v>4104</v>
      </c>
      <c r="B230" s="112" t="s">
        <v>861</v>
      </c>
      <c r="C230" s="80">
        <f>VLOOKUP(GroupVertices[[#This Row],[Vertex]],Vertices[],MATCH("ID",Vertices[[#Headers],[Vertex]:[Top Word Pairs in Tags by Salience]],0),FALSE)</f>
        <v>190</v>
      </c>
    </row>
    <row r="231" spans="1:3" ht="15">
      <c r="A231" s="80" t="s">
        <v>4104</v>
      </c>
      <c r="B231" s="112" t="s">
        <v>860</v>
      </c>
      <c r="C231" s="80">
        <f>VLOOKUP(GroupVertices[[#This Row],[Vertex]],Vertices[],MATCH("ID",Vertices[[#Headers],[Vertex]:[Top Word Pairs in Tags by Salience]],0),FALSE)</f>
        <v>167</v>
      </c>
    </row>
    <row r="232" spans="1:3" ht="15">
      <c r="A232" s="80" t="s">
        <v>4104</v>
      </c>
      <c r="B232" s="112" t="s">
        <v>857</v>
      </c>
      <c r="C232" s="80">
        <f>VLOOKUP(GroupVertices[[#This Row],[Vertex]],Vertices[],MATCH("ID",Vertices[[#Headers],[Vertex]:[Top Word Pairs in Tags by Salience]],0),FALSE)</f>
        <v>242</v>
      </c>
    </row>
    <row r="233" spans="1:3" ht="15">
      <c r="A233" s="80" t="s">
        <v>4104</v>
      </c>
      <c r="B233" s="112" t="s">
        <v>854</v>
      </c>
      <c r="C233" s="80">
        <f>VLOOKUP(GroupVertices[[#This Row],[Vertex]],Vertices[],MATCH("ID",Vertices[[#Headers],[Vertex]:[Top Word Pairs in Tags by Salience]],0),FALSE)</f>
        <v>200</v>
      </c>
    </row>
    <row r="234" spans="1:3" ht="15">
      <c r="A234" s="80" t="s">
        <v>4104</v>
      </c>
      <c r="B234" s="112" t="s">
        <v>853</v>
      </c>
      <c r="C234" s="80">
        <f>VLOOKUP(GroupVertices[[#This Row],[Vertex]],Vertices[],MATCH("ID",Vertices[[#Headers],[Vertex]:[Top Word Pairs in Tags by Salience]],0),FALSE)</f>
        <v>159</v>
      </c>
    </row>
    <row r="235" spans="1:3" ht="15">
      <c r="A235" s="80" t="s">
        <v>4104</v>
      </c>
      <c r="B235" s="112" t="s">
        <v>852</v>
      </c>
      <c r="C235" s="80">
        <f>VLOOKUP(GroupVertices[[#This Row],[Vertex]],Vertices[],MATCH("ID",Vertices[[#Headers],[Vertex]:[Top Word Pairs in Tags by Salience]],0),FALSE)</f>
        <v>238</v>
      </c>
    </row>
    <row r="236" spans="1:3" ht="15">
      <c r="A236" s="80" t="s">
        <v>4104</v>
      </c>
      <c r="B236" s="112" t="s">
        <v>832</v>
      </c>
      <c r="C236" s="80">
        <f>VLOOKUP(GroupVertices[[#This Row],[Vertex]],Vertices[],MATCH("ID",Vertices[[#Headers],[Vertex]:[Top Word Pairs in Tags by Salience]],0),FALSE)</f>
        <v>154</v>
      </c>
    </row>
    <row r="237" spans="1:3" ht="15">
      <c r="A237" s="80" t="s">
        <v>4104</v>
      </c>
      <c r="B237" s="112" t="s">
        <v>809</v>
      </c>
      <c r="C237" s="80">
        <f>VLOOKUP(GroupVertices[[#This Row],[Vertex]],Vertices[],MATCH("ID",Vertices[[#Headers],[Vertex]:[Top Word Pairs in Tags by Salience]],0),FALSE)</f>
        <v>73</v>
      </c>
    </row>
    <row r="238" spans="1:3" ht="15">
      <c r="A238" s="80" t="s">
        <v>4104</v>
      </c>
      <c r="B238" s="112" t="s">
        <v>786</v>
      </c>
      <c r="C238" s="80">
        <f>VLOOKUP(GroupVertices[[#This Row],[Vertex]],Vertices[],MATCH("ID",Vertices[[#Headers],[Vertex]:[Top Word Pairs in Tags by Salience]],0),FALSE)</f>
        <v>254</v>
      </c>
    </row>
    <row r="239" spans="1:3" ht="15">
      <c r="A239" s="80" t="s">
        <v>4104</v>
      </c>
      <c r="B239" s="112" t="s">
        <v>782</v>
      </c>
      <c r="C239" s="80">
        <f>VLOOKUP(GroupVertices[[#This Row],[Vertex]],Vertices[],MATCH("ID",Vertices[[#Headers],[Vertex]:[Top Word Pairs in Tags by Salience]],0),FALSE)</f>
        <v>139</v>
      </c>
    </row>
    <row r="240" spans="1:3" ht="15">
      <c r="A240" s="80" t="s">
        <v>4104</v>
      </c>
      <c r="B240" s="112" t="s">
        <v>756</v>
      </c>
      <c r="C240" s="80">
        <f>VLOOKUP(GroupVertices[[#This Row],[Vertex]],Vertices[],MATCH("ID",Vertices[[#Headers],[Vertex]:[Top Word Pairs in Tags by Salience]],0),FALSE)</f>
        <v>129</v>
      </c>
    </row>
    <row r="241" spans="1:3" ht="15">
      <c r="A241" s="80" t="s">
        <v>4104</v>
      </c>
      <c r="B241" s="112" t="s">
        <v>746</v>
      </c>
      <c r="C241" s="80">
        <f>VLOOKUP(GroupVertices[[#This Row],[Vertex]],Vertices[],MATCH("ID",Vertices[[#Headers],[Vertex]:[Top Word Pairs in Tags by Salience]],0),FALSE)</f>
        <v>195</v>
      </c>
    </row>
    <row r="242" spans="1:3" ht="15">
      <c r="A242" s="80" t="s">
        <v>4104</v>
      </c>
      <c r="B242" s="112" t="s">
        <v>732</v>
      </c>
      <c r="C242" s="80">
        <f>VLOOKUP(GroupVertices[[#This Row],[Vertex]],Vertices[],MATCH("ID",Vertices[[#Headers],[Vertex]:[Top Word Pairs in Tags by Salience]],0),FALSE)</f>
        <v>125</v>
      </c>
    </row>
    <row r="243" spans="1:3" ht="15">
      <c r="A243" s="80" t="s">
        <v>4104</v>
      </c>
      <c r="B243" s="112" t="s">
        <v>724</v>
      </c>
      <c r="C243" s="80">
        <f>VLOOKUP(GroupVertices[[#This Row],[Vertex]],Vertices[],MATCH("ID",Vertices[[#Headers],[Vertex]:[Top Word Pairs in Tags by Salience]],0),FALSE)</f>
        <v>76</v>
      </c>
    </row>
    <row r="244" spans="1:3" ht="15">
      <c r="A244" s="80" t="s">
        <v>4104</v>
      </c>
      <c r="B244" s="112" t="s">
        <v>642</v>
      </c>
      <c r="C244" s="80">
        <f>VLOOKUP(GroupVertices[[#This Row],[Vertex]],Vertices[],MATCH("ID",Vertices[[#Headers],[Vertex]:[Top Word Pairs in Tags by Salience]],0),FALSE)</f>
        <v>236</v>
      </c>
    </row>
    <row r="245" spans="1:3" ht="15">
      <c r="A245" s="80" t="s">
        <v>4104</v>
      </c>
      <c r="B245" s="112" t="s">
        <v>626</v>
      </c>
      <c r="C245" s="80">
        <f>VLOOKUP(GroupVertices[[#This Row],[Vertex]],Vertices[],MATCH("ID",Vertices[[#Headers],[Vertex]:[Top Word Pairs in Tags by Salience]],0),FALSE)</f>
        <v>199</v>
      </c>
    </row>
    <row r="246" spans="1:3" ht="15">
      <c r="A246" s="80" t="s">
        <v>4104</v>
      </c>
      <c r="B246" s="112" t="s">
        <v>483</v>
      </c>
      <c r="C246" s="80">
        <f>VLOOKUP(GroupVertices[[#This Row],[Vertex]],Vertices[],MATCH("ID",Vertices[[#Headers],[Vertex]:[Top Word Pairs in Tags by Salience]],0),FALSE)</f>
        <v>60</v>
      </c>
    </row>
    <row r="247" spans="1:3" ht="15">
      <c r="A247" s="80" t="s">
        <v>4104</v>
      </c>
      <c r="B247" s="112" t="s">
        <v>506</v>
      </c>
      <c r="C247" s="80">
        <f>VLOOKUP(GroupVertices[[#This Row],[Vertex]],Vertices[],MATCH("ID",Vertices[[#Headers],[Vertex]:[Top Word Pairs in Tags by Salience]],0),FALSE)</f>
        <v>115</v>
      </c>
    </row>
    <row r="248" spans="1:3" ht="15">
      <c r="A248" s="80" t="s">
        <v>4104</v>
      </c>
      <c r="B248" s="112" t="s">
        <v>586</v>
      </c>
      <c r="C248" s="80">
        <f>VLOOKUP(GroupVertices[[#This Row],[Vertex]],Vertices[],MATCH("ID",Vertices[[#Headers],[Vertex]:[Top Word Pairs in Tags by Salience]],0),FALSE)</f>
        <v>121</v>
      </c>
    </row>
    <row r="249" spans="1:3" ht="15">
      <c r="A249" s="80" t="s">
        <v>4104</v>
      </c>
      <c r="B249" s="112" t="s">
        <v>577</v>
      </c>
      <c r="C249" s="80">
        <f>VLOOKUP(GroupVertices[[#This Row],[Vertex]],Vertices[],MATCH("ID",Vertices[[#Headers],[Vertex]:[Top Word Pairs in Tags by Salience]],0),FALSE)</f>
        <v>131</v>
      </c>
    </row>
    <row r="250" spans="1:3" ht="15">
      <c r="A250" s="80" t="s">
        <v>4104</v>
      </c>
      <c r="B250" s="112" t="s">
        <v>560</v>
      </c>
      <c r="C250" s="80">
        <f>VLOOKUP(GroupVertices[[#This Row],[Vertex]],Vertices[],MATCH("ID",Vertices[[#Headers],[Vertex]:[Top Word Pairs in Tags by Salience]],0),FALSE)</f>
        <v>111</v>
      </c>
    </row>
    <row r="251" spans="1:3" ht="15">
      <c r="A251" s="80" t="s">
        <v>4104</v>
      </c>
      <c r="B251" s="112" t="s">
        <v>559</v>
      </c>
      <c r="C251" s="80">
        <f>VLOOKUP(GroupVertices[[#This Row],[Vertex]],Vertices[],MATCH("ID",Vertices[[#Headers],[Vertex]:[Top Word Pairs in Tags by Salience]],0),FALSE)</f>
        <v>105</v>
      </c>
    </row>
    <row r="252" spans="1:3" ht="15">
      <c r="A252" s="80" t="s">
        <v>4104</v>
      </c>
      <c r="B252" s="112" t="s">
        <v>557</v>
      </c>
      <c r="C252" s="80">
        <f>VLOOKUP(GroupVertices[[#This Row],[Vertex]],Vertices[],MATCH("ID",Vertices[[#Headers],[Vertex]:[Top Word Pairs in Tags by Salience]],0),FALSE)</f>
        <v>163</v>
      </c>
    </row>
    <row r="253" spans="1:3" ht="15">
      <c r="A253" s="80" t="s">
        <v>4104</v>
      </c>
      <c r="B253" s="112" t="s">
        <v>556</v>
      </c>
      <c r="C253" s="80">
        <f>VLOOKUP(GroupVertices[[#This Row],[Vertex]],Vertices[],MATCH("ID",Vertices[[#Headers],[Vertex]:[Top Word Pairs in Tags by Salience]],0),FALSE)</f>
        <v>112</v>
      </c>
    </row>
    <row r="254" spans="1:3" ht="15">
      <c r="A254" s="80" t="s">
        <v>4104</v>
      </c>
      <c r="B254" s="112" t="s">
        <v>555</v>
      </c>
      <c r="C254" s="80">
        <f>VLOOKUP(GroupVertices[[#This Row],[Vertex]],Vertices[],MATCH("ID",Vertices[[#Headers],[Vertex]:[Top Word Pairs in Tags by Salience]],0),FALSE)</f>
        <v>124</v>
      </c>
    </row>
    <row r="255" spans="1:3" ht="15">
      <c r="A255" s="80" t="s">
        <v>4104</v>
      </c>
      <c r="B255" s="112" t="s">
        <v>554</v>
      </c>
      <c r="C255" s="80">
        <f>VLOOKUP(GroupVertices[[#This Row],[Vertex]],Vertices[],MATCH("ID",Vertices[[#Headers],[Vertex]:[Top Word Pairs in Tags by Salience]],0),FALSE)</f>
        <v>179</v>
      </c>
    </row>
    <row r="256" spans="1:3" ht="15">
      <c r="A256" s="80" t="s">
        <v>4104</v>
      </c>
      <c r="B256" s="112" t="s">
        <v>507</v>
      </c>
      <c r="C256" s="80">
        <f>VLOOKUP(GroupVertices[[#This Row],[Vertex]],Vertices[],MATCH("ID",Vertices[[#Headers],[Vertex]:[Top Word Pairs in Tags by Salience]],0),FALSE)</f>
        <v>126</v>
      </c>
    </row>
    <row r="257" spans="1:3" ht="15">
      <c r="A257" s="80" t="s">
        <v>4104</v>
      </c>
      <c r="B257" s="112" t="s">
        <v>536</v>
      </c>
      <c r="C257" s="80">
        <f>VLOOKUP(GroupVertices[[#This Row],[Vertex]],Vertices[],MATCH("ID",Vertices[[#Headers],[Vertex]:[Top Word Pairs in Tags by Salience]],0),FALSE)</f>
        <v>164</v>
      </c>
    </row>
    <row r="258" spans="1:3" ht="15">
      <c r="A258" s="80" t="s">
        <v>4104</v>
      </c>
      <c r="B258" s="112" t="s">
        <v>445</v>
      </c>
      <c r="C258" s="80">
        <f>VLOOKUP(GroupVertices[[#This Row],[Vertex]],Vertices[],MATCH("ID",Vertices[[#Headers],[Vertex]:[Top Word Pairs in Tags by Salience]],0),FALSE)</f>
        <v>108</v>
      </c>
    </row>
    <row r="259" spans="1:3" ht="15">
      <c r="A259" s="80" t="s">
        <v>4104</v>
      </c>
      <c r="B259" s="112" t="s">
        <v>438</v>
      </c>
      <c r="C259" s="80">
        <f>VLOOKUP(GroupVertices[[#This Row],[Vertex]],Vertices[],MATCH("ID",Vertices[[#Headers],[Vertex]:[Top Word Pairs in Tags by Salience]],0),FALSE)</f>
        <v>100</v>
      </c>
    </row>
    <row r="260" spans="1:3" ht="15">
      <c r="A260" s="80" t="s">
        <v>4104</v>
      </c>
      <c r="B260" s="112" t="s">
        <v>383</v>
      </c>
      <c r="C260" s="80">
        <f>VLOOKUP(GroupVertices[[#This Row],[Vertex]],Vertices[],MATCH("ID",Vertices[[#Headers],[Vertex]:[Top Word Pairs in Tags by Salience]],0),FALSE)</f>
        <v>80</v>
      </c>
    </row>
    <row r="261" spans="1:3" ht="15">
      <c r="A261" s="80" t="s">
        <v>4104</v>
      </c>
      <c r="B261" s="112" t="s">
        <v>317</v>
      </c>
      <c r="C261" s="80">
        <f>VLOOKUP(GroupVertices[[#This Row],[Vertex]],Vertices[],MATCH("ID",Vertices[[#Headers],[Vertex]:[Top Word Pairs in Tags by Salience]],0),FALSE)</f>
        <v>171</v>
      </c>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sheetData>
  <dataValidations count="3" xWindow="58" yWindow="226">
    <dataValidation allowBlank="1" showInputMessage="1" showErrorMessage="1" promptTitle="Group Name" prompt="Enter the name of the group.  The group name must also be entered on the Groups worksheet." sqref="A2:A261"/>
    <dataValidation allowBlank="1" showInputMessage="1" showErrorMessage="1" promptTitle="Vertex Name" prompt="Enter the name of a vertex to include in the group." sqref="B2:B261"/>
    <dataValidation allowBlank="1" showInputMessage="1" promptTitle="Vertex ID" prompt="This is the value of the hidden ID cell in the Vertices worksheet.  It gets filled in by the items on the NodeXL, Analysis, Groups menu." sqref="C2:C26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4383</v>
      </c>
      <c r="B2" s="34" t="s">
        <v>192</v>
      </c>
      <c r="D2" s="31">
        <f>MIN(Vertices[Degree])</f>
        <v>0</v>
      </c>
      <c r="E2" s="3">
        <f>COUNTIF(Vertices[Degree],"&gt;= "&amp;D2)-COUNTIF(Vertices[Degree],"&gt;="&amp;D3)</f>
        <v>0</v>
      </c>
      <c r="F2" s="37">
        <f>MIN(Vertices[In-Degree])</f>
        <v>0</v>
      </c>
      <c r="G2" s="38">
        <f>COUNTIF(Vertices[In-Degree],"&gt;= "&amp;F2)-COUNTIF(Vertices[In-Degree],"&gt;="&amp;F3)</f>
        <v>2</v>
      </c>
      <c r="H2" s="37">
        <f>MIN(Vertices[Out-Degree])</f>
        <v>0</v>
      </c>
      <c r="I2" s="38">
        <f>COUNTIF(Vertices[Out-Degree],"&gt;= "&amp;H2)-COUNTIF(Vertices[Out-Degree],"&gt;="&amp;H3)</f>
        <v>212</v>
      </c>
      <c r="J2" s="37">
        <f>MIN(Vertices[Betweenness Centrality])</f>
        <v>0</v>
      </c>
      <c r="K2" s="38">
        <f>COUNTIF(Vertices[Betweenness Centrality],"&gt;= "&amp;J2)-COUNTIF(Vertices[Betweenness Centrality],"&gt;="&amp;J3)</f>
        <v>212</v>
      </c>
      <c r="L2" s="37">
        <f>MIN(Vertices[Closeness Centrality])</f>
        <v>0.001147</v>
      </c>
      <c r="M2" s="38">
        <f>COUNTIF(Vertices[Closeness Centrality],"&gt;= "&amp;L2)-COUNTIF(Vertices[Closeness Centrality],"&gt;="&amp;L3)</f>
        <v>2</v>
      </c>
      <c r="N2" s="37">
        <f>MIN(Vertices[Eigenvector Centrality])</f>
        <v>7.8E-05</v>
      </c>
      <c r="O2" s="38">
        <f>COUNTIF(Vertices[Eigenvector Centrality],"&gt;= "&amp;N2)-COUNTIF(Vertices[Eigenvector Centrality],"&gt;="&amp;N3)</f>
        <v>15</v>
      </c>
      <c r="P2" s="37">
        <f>MIN(Vertices[PageRank])</f>
        <v>0.210534</v>
      </c>
      <c r="Q2" s="38">
        <f>COUNTIF(Vertices[PageRank],"&gt;= "&amp;P2)-COUNTIF(Vertices[PageRank],"&gt;="&amp;P3)</f>
        <v>89</v>
      </c>
      <c r="R2" s="37">
        <f>MIN(Vertices[Clustering Coefficient])</f>
        <v>0</v>
      </c>
      <c r="S2" s="43">
        <f>COUNTIF(Vertices[Clustering Coefficient],"&gt;= "&amp;R2)-COUNTIF(Vertices[Clustering Coefficient],"&gt;="&amp;R3)</f>
        <v>27</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18"/>
      <c r="B3" s="118"/>
      <c r="D3" s="32">
        <f aca="true" t="shared" si="1" ref="D3:D26">D2+($D$50-$D$2)/BinDivisor</f>
        <v>0</v>
      </c>
      <c r="E3" s="3">
        <f>COUNTIF(Vertices[Degree],"&gt;= "&amp;D3)-COUNTIF(Vertices[Degree],"&gt;="&amp;D4)</f>
        <v>0</v>
      </c>
      <c r="F3" s="39">
        <f aca="true" t="shared" si="2" ref="F3:F26">F2+($F$50-$F$2)/BinDivisor</f>
        <v>0.9375</v>
      </c>
      <c r="G3" s="40">
        <f>COUNTIF(Vertices[In-Degree],"&gt;= "&amp;F3)-COUNTIF(Vertices[In-Degree],"&gt;="&amp;F4)</f>
        <v>8</v>
      </c>
      <c r="H3" s="39">
        <f aca="true" t="shared" si="3" ref="H3:H26">H2+($H$50-$H$2)/BinDivisor</f>
        <v>1.0208333333333333</v>
      </c>
      <c r="I3" s="40">
        <f>COUNTIF(Vertices[Out-Degree],"&gt;= "&amp;H3)-COUNTIF(Vertices[Out-Degree],"&gt;="&amp;H4)</f>
        <v>0</v>
      </c>
      <c r="J3" s="39">
        <f aca="true" t="shared" si="4" ref="J3:J26">J2+($J$50-$J$2)/BinDivisor</f>
        <v>122.04588933333334</v>
      </c>
      <c r="K3" s="40">
        <f>COUNTIF(Vertices[Betweenness Centrality],"&gt;= "&amp;J3)-COUNTIF(Vertices[Betweenness Centrality],"&gt;="&amp;J4)</f>
        <v>0</v>
      </c>
      <c r="L3" s="39">
        <f aca="true" t="shared" si="5" ref="L3:L26">L2+($L$50-$L$2)/BinDivisor</f>
        <v>0.0011700208333333332</v>
      </c>
      <c r="M3" s="40">
        <f>COUNTIF(Vertices[Closeness Centrality],"&gt;= "&amp;L3)-COUNTIF(Vertices[Closeness Centrality],"&gt;="&amp;L4)</f>
        <v>0</v>
      </c>
      <c r="N3" s="39">
        <f aca="true" t="shared" si="6" ref="N3:N26">N2+($N$50-$N$2)/BinDivisor</f>
        <v>0.000476875</v>
      </c>
      <c r="O3" s="40">
        <f>COUNTIF(Vertices[Eigenvector Centrality],"&gt;= "&amp;N3)-COUNTIF(Vertices[Eigenvector Centrality],"&gt;="&amp;N4)</f>
        <v>59</v>
      </c>
      <c r="P3" s="39">
        <f aca="true" t="shared" si="7" ref="P3:P26">P2+($P$50-$P$2)/BinDivisor</f>
        <v>0.32076733333333335</v>
      </c>
      <c r="Q3" s="40">
        <f>COUNTIF(Vertices[PageRank],"&gt;= "&amp;P3)-COUNTIF(Vertices[PageRank],"&gt;="&amp;P4)</f>
        <v>69</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260</v>
      </c>
      <c r="D4" s="32">
        <f t="shared" si="1"/>
        <v>0</v>
      </c>
      <c r="E4" s="3">
        <f>COUNTIF(Vertices[Degree],"&gt;= "&amp;D4)-COUNTIF(Vertices[Degree],"&gt;="&amp;D5)</f>
        <v>0</v>
      </c>
      <c r="F4" s="37">
        <f t="shared" si="2"/>
        <v>1.875</v>
      </c>
      <c r="G4" s="38">
        <f>COUNTIF(Vertices[In-Degree],"&gt;= "&amp;F4)-COUNTIF(Vertices[In-Degree],"&gt;="&amp;F5)</f>
        <v>82</v>
      </c>
      <c r="H4" s="37">
        <f t="shared" si="3"/>
        <v>2.0416666666666665</v>
      </c>
      <c r="I4" s="38">
        <f>COUNTIF(Vertices[Out-Degree],"&gt;= "&amp;H4)-COUNTIF(Vertices[Out-Degree],"&gt;="&amp;H5)</f>
        <v>0</v>
      </c>
      <c r="J4" s="37">
        <f t="shared" si="4"/>
        <v>244.09177866666667</v>
      </c>
      <c r="K4" s="38">
        <f>COUNTIF(Vertices[Betweenness Centrality],"&gt;= "&amp;J4)-COUNTIF(Vertices[Betweenness Centrality],"&gt;="&amp;J5)</f>
        <v>2</v>
      </c>
      <c r="L4" s="37">
        <f t="shared" si="5"/>
        <v>0.0011930416666666665</v>
      </c>
      <c r="M4" s="38">
        <f>COUNTIF(Vertices[Closeness Centrality],"&gt;= "&amp;L4)-COUNTIF(Vertices[Closeness Centrality],"&gt;="&amp;L5)</f>
        <v>0</v>
      </c>
      <c r="N4" s="37">
        <f t="shared" si="6"/>
        <v>0.00087575</v>
      </c>
      <c r="O4" s="38">
        <f>COUNTIF(Vertices[Eigenvector Centrality],"&gt;= "&amp;N4)-COUNTIF(Vertices[Eigenvector Centrality],"&gt;="&amp;N5)</f>
        <v>58</v>
      </c>
      <c r="P4" s="37">
        <f t="shared" si="7"/>
        <v>0.4310006666666667</v>
      </c>
      <c r="Q4" s="38">
        <f>COUNTIF(Vertices[PageRank],"&gt;= "&amp;P4)-COUNTIF(Vertices[PageRank],"&gt;="&amp;P5)</f>
        <v>16</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2.8125</v>
      </c>
      <c r="G5" s="40">
        <f>COUNTIF(Vertices[In-Degree],"&gt;= "&amp;F5)-COUNTIF(Vertices[In-Degree],"&gt;="&amp;F6)</f>
        <v>50</v>
      </c>
      <c r="H5" s="39">
        <f t="shared" si="3"/>
        <v>3.0625</v>
      </c>
      <c r="I5" s="40">
        <f>COUNTIF(Vertices[Out-Degree],"&gt;= "&amp;H5)-COUNTIF(Vertices[Out-Degree],"&gt;="&amp;H6)</f>
        <v>0</v>
      </c>
      <c r="J5" s="39">
        <f t="shared" si="4"/>
        <v>366.137668</v>
      </c>
      <c r="K5" s="40">
        <f>COUNTIF(Vertices[Betweenness Centrality],"&gt;= "&amp;J5)-COUNTIF(Vertices[Betweenness Centrality],"&gt;="&amp;J6)</f>
        <v>0</v>
      </c>
      <c r="L5" s="39">
        <f t="shared" si="5"/>
        <v>0.0012160624999999997</v>
      </c>
      <c r="M5" s="40">
        <f>COUNTIF(Vertices[Closeness Centrality],"&gt;= "&amp;L5)-COUNTIF(Vertices[Closeness Centrality],"&gt;="&amp;L6)</f>
        <v>0</v>
      </c>
      <c r="N5" s="39">
        <f t="shared" si="6"/>
        <v>0.001274625</v>
      </c>
      <c r="O5" s="40">
        <f>COUNTIF(Vertices[Eigenvector Centrality],"&gt;= "&amp;N5)-COUNTIF(Vertices[Eigenvector Centrality],"&gt;="&amp;N6)</f>
        <v>26</v>
      </c>
      <c r="P5" s="39">
        <f t="shared" si="7"/>
        <v>0.541234</v>
      </c>
      <c r="Q5" s="40">
        <f>COUNTIF(Vertices[PageRank],"&gt;= "&amp;P5)-COUNTIF(Vertices[PageRank],"&gt;="&amp;P6)</f>
        <v>5</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1892</v>
      </c>
      <c r="D6" s="32">
        <f t="shared" si="1"/>
        <v>0</v>
      </c>
      <c r="E6" s="3">
        <f>COUNTIF(Vertices[Degree],"&gt;= "&amp;D6)-COUNTIF(Vertices[Degree],"&gt;="&amp;D7)</f>
        <v>0</v>
      </c>
      <c r="F6" s="37">
        <f t="shared" si="2"/>
        <v>3.75</v>
      </c>
      <c r="G6" s="38">
        <f>COUNTIF(Vertices[In-Degree],"&gt;= "&amp;F6)-COUNTIF(Vertices[In-Degree],"&gt;="&amp;F7)</f>
        <v>23</v>
      </c>
      <c r="H6" s="37">
        <f t="shared" si="3"/>
        <v>4.083333333333333</v>
      </c>
      <c r="I6" s="38">
        <f>COUNTIF(Vertices[Out-Degree],"&gt;= "&amp;H6)-COUNTIF(Vertices[Out-Degree],"&gt;="&amp;H7)</f>
        <v>0</v>
      </c>
      <c r="J6" s="37">
        <f t="shared" si="4"/>
        <v>488.18355733333334</v>
      </c>
      <c r="K6" s="38">
        <f>COUNTIF(Vertices[Betweenness Centrality],"&gt;= "&amp;J6)-COUNTIF(Vertices[Betweenness Centrality],"&gt;="&amp;J7)</f>
        <v>0</v>
      </c>
      <c r="L6" s="37">
        <f t="shared" si="5"/>
        <v>0.001239083333333333</v>
      </c>
      <c r="M6" s="38">
        <f>COUNTIF(Vertices[Closeness Centrality],"&gt;= "&amp;L6)-COUNTIF(Vertices[Closeness Centrality],"&gt;="&amp;L7)</f>
        <v>3</v>
      </c>
      <c r="N6" s="37">
        <f t="shared" si="6"/>
        <v>0.0016734999999999999</v>
      </c>
      <c r="O6" s="38">
        <f>COUNTIF(Vertices[Eigenvector Centrality],"&gt;= "&amp;N6)-COUNTIF(Vertices[Eigenvector Centrality],"&gt;="&amp;N7)</f>
        <v>8</v>
      </c>
      <c r="P6" s="37">
        <f t="shared" si="7"/>
        <v>0.6514673333333333</v>
      </c>
      <c r="Q6" s="38">
        <f>COUNTIF(Vertices[PageRank],"&gt;= "&amp;P6)-COUNTIF(Vertices[PageRank],"&gt;="&amp;P7)</f>
        <v>16</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0</v>
      </c>
      <c r="D7" s="32">
        <f t="shared" si="1"/>
        <v>0</v>
      </c>
      <c r="E7" s="3">
        <f>COUNTIF(Vertices[Degree],"&gt;= "&amp;D7)-COUNTIF(Vertices[Degree],"&gt;="&amp;D8)</f>
        <v>0</v>
      </c>
      <c r="F7" s="39">
        <f t="shared" si="2"/>
        <v>4.6875</v>
      </c>
      <c r="G7" s="40">
        <f>COUNTIF(Vertices[In-Degree],"&gt;= "&amp;F7)-COUNTIF(Vertices[In-Degree],"&gt;="&amp;F8)</f>
        <v>8</v>
      </c>
      <c r="H7" s="39">
        <f t="shared" si="3"/>
        <v>5.104166666666666</v>
      </c>
      <c r="I7" s="40">
        <f>COUNTIF(Vertices[Out-Degree],"&gt;= "&amp;H7)-COUNTIF(Vertices[Out-Degree],"&gt;="&amp;H8)</f>
        <v>0</v>
      </c>
      <c r="J7" s="39">
        <f t="shared" si="4"/>
        <v>610.2294466666667</v>
      </c>
      <c r="K7" s="40">
        <f>COUNTIF(Vertices[Betweenness Centrality],"&gt;= "&amp;J7)-COUNTIF(Vertices[Betweenness Centrality],"&gt;="&amp;J8)</f>
        <v>3</v>
      </c>
      <c r="L7" s="39">
        <f t="shared" si="5"/>
        <v>0.0012621041666666661</v>
      </c>
      <c r="M7" s="40">
        <f>COUNTIF(Vertices[Closeness Centrality],"&gt;= "&amp;L7)-COUNTIF(Vertices[Closeness Centrality],"&gt;="&amp;L8)</f>
        <v>0</v>
      </c>
      <c r="N7" s="39">
        <f t="shared" si="6"/>
        <v>0.002072375</v>
      </c>
      <c r="O7" s="40">
        <f>COUNTIF(Vertices[Eigenvector Centrality],"&gt;= "&amp;N7)-COUNTIF(Vertices[Eigenvector Centrality],"&gt;="&amp;N8)</f>
        <v>9</v>
      </c>
      <c r="P7" s="39">
        <f t="shared" si="7"/>
        <v>0.7617006666666666</v>
      </c>
      <c r="Q7" s="40">
        <f>COUNTIF(Vertices[PageRank],"&gt;= "&amp;P7)-COUNTIF(Vertices[PageRank],"&gt;="&amp;P8)</f>
        <v>4</v>
      </c>
      <c r="R7" s="39">
        <f t="shared" si="8"/>
        <v>0.10416666666666666</v>
      </c>
      <c r="S7" s="44">
        <f>COUNTIF(Vertices[Clustering Coefficient],"&gt;= "&amp;R7)-COUNTIF(Vertices[Clustering Coefficient],"&gt;="&amp;R8)</f>
        <v>2</v>
      </c>
      <c r="T7" s="39" t="e">
        <f ca="1" t="shared" si="9"/>
        <v>#REF!</v>
      </c>
      <c r="U7" s="40" t="e">
        <f ca="1" t="shared" si="0"/>
        <v>#REF!</v>
      </c>
    </row>
    <row r="8" spans="1:21" ht="15">
      <c r="A8" s="34" t="s">
        <v>150</v>
      </c>
      <c r="B8" s="34">
        <v>1892</v>
      </c>
      <c r="D8" s="32">
        <f t="shared" si="1"/>
        <v>0</v>
      </c>
      <c r="E8" s="3">
        <f>COUNTIF(Vertices[Degree],"&gt;= "&amp;D8)-COUNTIF(Vertices[Degree],"&gt;="&amp;D9)</f>
        <v>0</v>
      </c>
      <c r="F8" s="37">
        <f t="shared" si="2"/>
        <v>5.625</v>
      </c>
      <c r="G8" s="38">
        <f>COUNTIF(Vertices[In-Degree],"&gt;= "&amp;F8)-COUNTIF(Vertices[In-Degree],"&gt;="&amp;F9)</f>
        <v>6</v>
      </c>
      <c r="H8" s="37">
        <f t="shared" si="3"/>
        <v>6.124999999999999</v>
      </c>
      <c r="I8" s="38">
        <f>COUNTIF(Vertices[Out-Degree],"&gt;= "&amp;H8)-COUNTIF(Vertices[Out-Degree],"&gt;="&amp;H9)</f>
        <v>0</v>
      </c>
      <c r="J8" s="37">
        <f t="shared" si="4"/>
        <v>732.275336</v>
      </c>
      <c r="K8" s="38">
        <f>COUNTIF(Vertices[Betweenness Centrality],"&gt;= "&amp;J8)-COUNTIF(Vertices[Betweenness Centrality],"&gt;="&amp;J9)</f>
        <v>1</v>
      </c>
      <c r="L8" s="37">
        <f t="shared" si="5"/>
        <v>0.0012851249999999994</v>
      </c>
      <c r="M8" s="38">
        <f>COUNTIF(Vertices[Closeness Centrality],"&gt;= "&amp;L8)-COUNTIF(Vertices[Closeness Centrality],"&gt;="&amp;L9)</f>
        <v>1</v>
      </c>
      <c r="N8" s="37">
        <f t="shared" si="6"/>
        <v>0.00247125</v>
      </c>
      <c r="O8" s="38">
        <f>COUNTIF(Vertices[Eigenvector Centrality],"&gt;= "&amp;N8)-COUNTIF(Vertices[Eigenvector Centrality],"&gt;="&amp;N9)</f>
        <v>6</v>
      </c>
      <c r="P8" s="37">
        <f t="shared" si="7"/>
        <v>0.8719339999999999</v>
      </c>
      <c r="Q8" s="38">
        <f>COUNTIF(Vertices[PageRank],"&gt;= "&amp;P8)-COUNTIF(Vertices[PageRank],"&gt;="&amp;P9)</f>
        <v>7</v>
      </c>
      <c r="R8" s="37">
        <f t="shared" si="8"/>
        <v>0.12499999999999999</v>
      </c>
      <c r="S8" s="43">
        <f>COUNTIF(Vertices[Clustering Coefficient],"&gt;= "&amp;R8)-COUNTIF(Vertices[Clustering Coefficient],"&gt;="&amp;R9)</f>
        <v>2</v>
      </c>
      <c r="T8" s="37" t="e">
        <f ca="1" t="shared" si="9"/>
        <v>#REF!</v>
      </c>
      <c r="U8" s="38" t="e">
        <f ca="1" t="shared" si="0"/>
        <v>#REF!</v>
      </c>
    </row>
    <row r="9" spans="1:21" ht="15">
      <c r="A9" s="118"/>
      <c r="B9" s="118"/>
      <c r="D9" s="32">
        <f t="shared" si="1"/>
        <v>0</v>
      </c>
      <c r="E9" s="3">
        <f>COUNTIF(Vertices[Degree],"&gt;= "&amp;D9)-COUNTIF(Vertices[Degree],"&gt;="&amp;D10)</f>
        <v>0</v>
      </c>
      <c r="F9" s="39">
        <f t="shared" si="2"/>
        <v>6.5625</v>
      </c>
      <c r="G9" s="40">
        <f>COUNTIF(Vertices[In-Degree],"&gt;= "&amp;F9)-COUNTIF(Vertices[In-Degree],"&gt;="&amp;F10)</f>
        <v>6</v>
      </c>
      <c r="H9" s="39">
        <f t="shared" si="3"/>
        <v>7.145833333333332</v>
      </c>
      <c r="I9" s="40">
        <f>COUNTIF(Vertices[Out-Degree],"&gt;= "&amp;H9)-COUNTIF(Vertices[Out-Degree],"&gt;="&amp;H10)</f>
        <v>0</v>
      </c>
      <c r="J9" s="39">
        <f t="shared" si="4"/>
        <v>854.3212253333334</v>
      </c>
      <c r="K9" s="40">
        <f>COUNTIF(Vertices[Betweenness Centrality],"&gt;= "&amp;J9)-COUNTIF(Vertices[Betweenness Centrality],"&gt;="&amp;J10)</f>
        <v>1</v>
      </c>
      <c r="L9" s="39">
        <f t="shared" si="5"/>
        <v>0.0013081458333333326</v>
      </c>
      <c r="M9" s="40">
        <f>COUNTIF(Vertices[Closeness Centrality],"&gt;= "&amp;L9)-COUNTIF(Vertices[Closeness Centrality],"&gt;="&amp;L10)</f>
        <v>2</v>
      </c>
      <c r="N9" s="39">
        <f t="shared" si="6"/>
        <v>0.002870125</v>
      </c>
      <c r="O9" s="40">
        <f>COUNTIF(Vertices[Eigenvector Centrality],"&gt;= "&amp;N9)-COUNTIF(Vertices[Eigenvector Centrality],"&gt;="&amp;N10)</f>
        <v>5</v>
      </c>
      <c r="P9" s="39">
        <f t="shared" si="7"/>
        <v>0.9821673333333332</v>
      </c>
      <c r="Q9" s="40">
        <f>COUNTIF(Vertices[PageRank],"&gt;= "&amp;P9)-COUNTIF(Vertices[PageRank],"&gt;="&amp;P10)</f>
        <v>2</v>
      </c>
      <c r="R9" s="39">
        <f t="shared" si="8"/>
        <v>0.14583333333333331</v>
      </c>
      <c r="S9" s="44">
        <f>COUNTIF(Vertices[Clustering Coefficient],"&gt;= "&amp;R9)-COUNTIF(Vertices[Clustering Coefficient],"&gt;="&amp;R10)</f>
        <v>2</v>
      </c>
      <c r="T9" s="39" t="e">
        <f ca="1" t="shared" si="9"/>
        <v>#REF!</v>
      </c>
      <c r="U9" s="40" t="e">
        <f ca="1" t="shared" si="0"/>
        <v>#REF!</v>
      </c>
    </row>
    <row r="10" spans="1:21" ht="15">
      <c r="A10" s="34" t="s">
        <v>151</v>
      </c>
      <c r="B10" s="34">
        <v>0</v>
      </c>
      <c r="D10" s="32">
        <f t="shared" si="1"/>
        <v>0</v>
      </c>
      <c r="E10" s="3">
        <f>COUNTIF(Vertices[Degree],"&gt;= "&amp;D10)-COUNTIF(Vertices[Degree],"&gt;="&amp;D11)</f>
        <v>0</v>
      </c>
      <c r="F10" s="37">
        <f t="shared" si="2"/>
        <v>7.5</v>
      </c>
      <c r="G10" s="38">
        <f>COUNTIF(Vertices[In-Degree],"&gt;= "&amp;F10)-COUNTIF(Vertices[In-Degree],"&gt;="&amp;F11)</f>
        <v>6</v>
      </c>
      <c r="H10" s="37">
        <f t="shared" si="3"/>
        <v>8.166666666666666</v>
      </c>
      <c r="I10" s="38">
        <f>COUNTIF(Vertices[Out-Degree],"&gt;= "&amp;H10)-COUNTIF(Vertices[Out-Degree],"&gt;="&amp;H11)</f>
        <v>0</v>
      </c>
      <c r="J10" s="37">
        <f t="shared" si="4"/>
        <v>976.3671146666667</v>
      </c>
      <c r="K10" s="38">
        <f>COUNTIF(Vertices[Betweenness Centrality],"&gt;= "&amp;J10)-COUNTIF(Vertices[Betweenness Centrality],"&gt;="&amp;J11)</f>
        <v>2</v>
      </c>
      <c r="L10" s="37">
        <f t="shared" si="5"/>
        <v>0.0013311666666666658</v>
      </c>
      <c r="M10" s="38">
        <f>COUNTIF(Vertices[Closeness Centrality],"&gt;= "&amp;L10)-COUNTIF(Vertices[Closeness Centrality],"&gt;="&amp;L11)</f>
        <v>3</v>
      </c>
      <c r="N10" s="37">
        <f t="shared" si="6"/>
        <v>0.0032689999999999998</v>
      </c>
      <c r="O10" s="38">
        <f>COUNTIF(Vertices[Eigenvector Centrality],"&gt;= "&amp;N10)-COUNTIF(Vertices[Eigenvector Centrality],"&gt;="&amp;N11)</f>
        <v>4</v>
      </c>
      <c r="P10" s="37">
        <f t="shared" si="7"/>
        <v>1.0924006666666666</v>
      </c>
      <c r="Q10" s="38">
        <f>COUNTIF(Vertices[PageRank],"&gt;= "&amp;P10)-COUNTIF(Vertices[PageRank],"&gt;="&amp;P11)</f>
        <v>1</v>
      </c>
      <c r="R10" s="37">
        <f t="shared" si="8"/>
        <v>0.16666666666666666</v>
      </c>
      <c r="S10" s="43">
        <f>COUNTIF(Vertices[Clustering Coefficient],"&gt;= "&amp;R10)-COUNTIF(Vertices[Clustering Coefficient],"&gt;="&amp;R11)</f>
        <v>10</v>
      </c>
      <c r="T10" s="37" t="e">
        <f ca="1" t="shared" si="9"/>
        <v>#REF!</v>
      </c>
      <c r="U10" s="38" t="e">
        <f ca="1" t="shared" si="0"/>
        <v>#REF!</v>
      </c>
    </row>
    <row r="11" spans="1:21" ht="15">
      <c r="A11" s="118"/>
      <c r="B11" s="118"/>
      <c r="D11" s="32">
        <f t="shared" si="1"/>
        <v>0</v>
      </c>
      <c r="E11" s="3">
        <f>COUNTIF(Vertices[Degree],"&gt;= "&amp;D11)-COUNTIF(Vertices[Degree],"&gt;="&amp;D12)</f>
        <v>0</v>
      </c>
      <c r="F11" s="39">
        <f t="shared" si="2"/>
        <v>8.4375</v>
      </c>
      <c r="G11" s="40">
        <f>COUNTIF(Vertices[In-Degree],"&gt;= "&amp;F11)-COUNTIF(Vertices[In-Degree],"&gt;="&amp;F12)</f>
        <v>11</v>
      </c>
      <c r="H11" s="39">
        <f t="shared" si="3"/>
        <v>9.1875</v>
      </c>
      <c r="I11" s="40">
        <f>COUNTIF(Vertices[Out-Degree],"&gt;= "&amp;H11)-COUNTIF(Vertices[Out-Degree],"&gt;="&amp;H12)</f>
        <v>0</v>
      </c>
      <c r="J11" s="39">
        <f t="shared" si="4"/>
        <v>1098.413004</v>
      </c>
      <c r="K11" s="40">
        <f>COUNTIF(Vertices[Betweenness Centrality],"&gt;= "&amp;J11)-COUNTIF(Vertices[Betweenness Centrality],"&gt;="&amp;J12)</f>
        <v>1</v>
      </c>
      <c r="L11" s="39">
        <f t="shared" si="5"/>
        <v>0.001354187499999999</v>
      </c>
      <c r="M11" s="40">
        <f>COUNTIF(Vertices[Closeness Centrality],"&gt;= "&amp;L11)-COUNTIF(Vertices[Closeness Centrality],"&gt;="&amp;L12)</f>
        <v>6</v>
      </c>
      <c r="N11" s="39">
        <f t="shared" si="6"/>
        <v>0.0036678749999999997</v>
      </c>
      <c r="O11" s="40">
        <f>COUNTIF(Vertices[Eigenvector Centrality],"&gt;= "&amp;N11)-COUNTIF(Vertices[Eigenvector Centrality],"&gt;="&amp;N12)</f>
        <v>9</v>
      </c>
      <c r="P11" s="39">
        <f t="shared" si="7"/>
        <v>1.202634</v>
      </c>
      <c r="Q11" s="40">
        <f>COUNTIF(Vertices[PageRank],"&gt;= "&amp;P11)-COUNTIF(Vertices[PageRank],"&gt;="&amp;P12)</f>
        <v>1</v>
      </c>
      <c r="R11" s="39">
        <f t="shared" si="8"/>
        <v>0.1875</v>
      </c>
      <c r="S11" s="44">
        <f>COUNTIF(Vertices[Clustering Coefficient],"&gt;= "&amp;R11)-COUNTIF(Vertices[Clustering Coefficient],"&gt;="&amp;R12)</f>
        <v>4</v>
      </c>
      <c r="T11" s="39" t="e">
        <f ca="1" t="shared" si="9"/>
        <v>#REF!</v>
      </c>
      <c r="U11" s="40" t="e">
        <f ca="1" t="shared" si="0"/>
        <v>#REF!</v>
      </c>
    </row>
    <row r="12" spans="1:21" ht="15">
      <c r="A12" s="34" t="s">
        <v>170</v>
      </c>
      <c r="B12" s="34">
        <v>0.16502463054187191</v>
      </c>
      <c r="D12" s="32">
        <f t="shared" si="1"/>
        <v>0</v>
      </c>
      <c r="E12" s="3">
        <f>COUNTIF(Vertices[Degree],"&gt;= "&amp;D12)-COUNTIF(Vertices[Degree],"&gt;="&amp;D13)</f>
        <v>0</v>
      </c>
      <c r="F12" s="37">
        <f t="shared" si="2"/>
        <v>9.375</v>
      </c>
      <c r="G12" s="38">
        <f>COUNTIF(Vertices[In-Degree],"&gt;= "&amp;F12)-COUNTIF(Vertices[In-Degree],"&gt;="&amp;F13)</f>
        <v>3</v>
      </c>
      <c r="H12" s="37">
        <f t="shared" si="3"/>
        <v>10.208333333333334</v>
      </c>
      <c r="I12" s="38">
        <f>COUNTIF(Vertices[Out-Degree],"&gt;= "&amp;H12)-COUNTIF(Vertices[Out-Degree],"&gt;="&amp;H13)</f>
        <v>0</v>
      </c>
      <c r="J12" s="37">
        <f t="shared" si="4"/>
        <v>1220.4588933333334</v>
      </c>
      <c r="K12" s="38">
        <f>COUNTIF(Vertices[Betweenness Centrality],"&gt;= "&amp;J12)-COUNTIF(Vertices[Betweenness Centrality],"&gt;="&amp;J13)</f>
        <v>5</v>
      </c>
      <c r="L12" s="37">
        <f t="shared" si="5"/>
        <v>0.0013772083333333323</v>
      </c>
      <c r="M12" s="38">
        <f>COUNTIF(Vertices[Closeness Centrality],"&gt;= "&amp;L12)-COUNTIF(Vertices[Closeness Centrality],"&gt;="&amp;L13)</f>
        <v>15</v>
      </c>
      <c r="N12" s="37">
        <f t="shared" si="6"/>
        <v>0.00406675</v>
      </c>
      <c r="O12" s="38">
        <f>COUNTIF(Vertices[Eigenvector Centrality],"&gt;= "&amp;N12)-COUNTIF(Vertices[Eigenvector Centrality],"&gt;="&amp;N13)</f>
        <v>0</v>
      </c>
      <c r="P12" s="37">
        <f t="shared" si="7"/>
        <v>1.3128673333333334</v>
      </c>
      <c r="Q12" s="38">
        <f>COUNTIF(Vertices[PageRank],"&gt;= "&amp;P12)-COUNTIF(Vertices[PageRank],"&gt;="&amp;P13)</f>
        <v>0</v>
      </c>
      <c r="R12" s="37">
        <f t="shared" si="8"/>
        <v>0.20833333333333334</v>
      </c>
      <c r="S12" s="43">
        <f>COUNTIF(Vertices[Clustering Coefficient],"&gt;= "&amp;R12)-COUNTIF(Vertices[Clustering Coefficient],"&gt;="&amp;R13)</f>
        <v>4</v>
      </c>
      <c r="T12" s="37" t="e">
        <f ca="1" t="shared" si="9"/>
        <v>#REF!</v>
      </c>
      <c r="U12" s="38" t="e">
        <f ca="1" t="shared" si="0"/>
        <v>#REF!</v>
      </c>
    </row>
    <row r="13" spans="1:21" ht="15">
      <c r="A13" s="34" t="s">
        <v>171</v>
      </c>
      <c r="B13" s="34">
        <v>0.2832980972515856</v>
      </c>
      <c r="D13" s="32">
        <f t="shared" si="1"/>
        <v>0</v>
      </c>
      <c r="E13" s="3">
        <f>COUNTIF(Vertices[Degree],"&gt;= "&amp;D13)-COUNTIF(Vertices[Degree],"&gt;="&amp;D14)</f>
        <v>0</v>
      </c>
      <c r="F13" s="39">
        <f t="shared" si="2"/>
        <v>10.3125</v>
      </c>
      <c r="G13" s="40">
        <f>COUNTIF(Vertices[In-Degree],"&gt;= "&amp;F13)-COUNTIF(Vertices[In-Degree],"&gt;="&amp;F14)</f>
        <v>4</v>
      </c>
      <c r="H13" s="39">
        <f t="shared" si="3"/>
        <v>11.229166666666668</v>
      </c>
      <c r="I13" s="40">
        <f>COUNTIF(Vertices[Out-Degree],"&gt;= "&amp;H13)-COUNTIF(Vertices[Out-Degree],"&gt;="&amp;H14)</f>
        <v>1</v>
      </c>
      <c r="J13" s="39">
        <f t="shared" si="4"/>
        <v>1342.5047826666669</v>
      </c>
      <c r="K13" s="40">
        <f>COUNTIF(Vertices[Betweenness Centrality],"&gt;= "&amp;J13)-COUNTIF(Vertices[Betweenness Centrality],"&gt;="&amp;J14)</f>
        <v>2</v>
      </c>
      <c r="L13" s="39">
        <f t="shared" si="5"/>
        <v>0.0014002291666666655</v>
      </c>
      <c r="M13" s="40">
        <f>COUNTIF(Vertices[Closeness Centrality],"&gt;= "&amp;L13)-COUNTIF(Vertices[Closeness Centrality],"&gt;="&amp;L14)</f>
        <v>35</v>
      </c>
      <c r="N13" s="39">
        <f t="shared" si="6"/>
        <v>0.004465625</v>
      </c>
      <c r="O13" s="40">
        <f>COUNTIF(Vertices[Eigenvector Centrality],"&gt;= "&amp;N13)-COUNTIF(Vertices[Eigenvector Centrality],"&gt;="&amp;N14)</f>
        <v>6</v>
      </c>
      <c r="P13" s="39">
        <f t="shared" si="7"/>
        <v>1.4231006666666668</v>
      </c>
      <c r="Q13" s="40">
        <f>COUNTIF(Vertices[PageRank],"&gt;= "&amp;P13)-COUNTIF(Vertices[PageRank],"&gt;="&amp;P14)</f>
        <v>2</v>
      </c>
      <c r="R13" s="39">
        <f t="shared" si="8"/>
        <v>0.22916666666666669</v>
      </c>
      <c r="S13" s="44">
        <f>COUNTIF(Vertices[Clustering Coefficient],"&gt;= "&amp;R13)-COUNTIF(Vertices[Clustering Coefficient],"&gt;="&amp;R14)</f>
        <v>3</v>
      </c>
      <c r="T13" s="39" t="e">
        <f ca="1" t="shared" si="9"/>
        <v>#REF!</v>
      </c>
      <c r="U13" s="40" t="e">
        <f ca="1" t="shared" si="0"/>
        <v>#REF!</v>
      </c>
    </row>
    <row r="14" spans="1:21" ht="15">
      <c r="A14" s="118"/>
      <c r="B14" s="118"/>
      <c r="D14" s="32">
        <f t="shared" si="1"/>
        <v>0</v>
      </c>
      <c r="E14" s="3">
        <f>COUNTIF(Vertices[Degree],"&gt;= "&amp;D14)-COUNTIF(Vertices[Degree],"&gt;="&amp;D15)</f>
        <v>0</v>
      </c>
      <c r="F14" s="37">
        <f t="shared" si="2"/>
        <v>11.25</v>
      </c>
      <c r="G14" s="38">
        <f>COUNTIF(Vertices[In-Degree],"&gt;= "&amp;F14)-COUNTIF(Vertices[In-Degree],"&gt;="&amp;F15)</f>
        <v>6</v>
      </c>
      <c r="H14" s="37">
        <f t="shared" si="3"/>
        <v>12.250000000000002</v>
      </c>
      <c r="I14" s="38">
        <f>COUNTIF(Vertices[Out-Degree],"&gt;= "&amp;H14)-COUNTIF(Vertices[Out-Degree],"&gt;="&amp;H15)</f>
        <v>0</v>
      </c>
      <c r="J14" s="37">
        <f t="shared" si="4"/>
        <v>1464.5506720000003</v>
      </c>
      <c r="K14" s="38">
        <f>COUNTIF(Vertices[Betweenness Centrality],"&gt;= "&amp;J14)-COUNTIF(Vertices[Betweenness Centrality],"&gt;="&amp;J15)</f>
        <v>1</v>
      </c>
      <c r="L14" s="37">
        <f t="shared" si="5"/>
        <v>0.0014232499999999987</v>
      </c>
      <c r="M14" s="38">
        <f>COUNTIF(Vertices[Closeness Centrality],"&gt;= "&amp;L14)-COUNTIF(Vertices[Closeness Centrality],"&gt;="&amp;L15)</f>
        <v>31</v>
      </c>
      <c r="N14" s="37">
        <f t="shared" si="6"/>
        <v>0.0048645</v>
      </c>
      <c r="O14" s="38">
        <f>COUNTIF(Vertices[Eigenvector Centrality],"&gt;= "&amp;N14)-COUNTIF(Vertices[Eigenvector Centrality],"&gt;="&amp;N15)</f>
        <v>1</v>
      </c>
      <c r="P14" s="37">
        <f t="shared" si="7"/>
        <v>1.5333340000000002</v>
      </c>
      <c r="Q14" s="38">
        <f>COUNTIF(Vertices[PageRank],"&gt;= "&amp;P14)-COUNTIF(Vertices[PageRank],"&gt;="&amp;P15)</f>
        <v>0</v>
      </c>
      <c r="R14" s="37">
        <f t="shared" si="8"/>
        <v>0.25</v>
      </c>
      <c r="S14" s="43">
        <f>COUNTIF(Vertices[Clustering Coefficient],"&gt;= "&amp;R14)-COUNTIF(Vertices[Clustering Coefficient],"&gt;="&amp;R15)</f>
        <v>3</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12.1875</v>
      </c>
      <c r="G15" s="40">
        <f>COUNTIF(Vertices[In-Degree],"&gt;= "&amp;F15)-COUNTIF(Vertices[In-Degree],"&gt;="&amp;F16)</f>
        <v>4</v>
      </c>
      <c r="H15" s="39">
        <f t="shared" si="3"/>
        <v>13.270833333333336</v>
      </c>
      <c r="I15" s="40">
        <f>COUNTIF(Vertices[Out-Degree],"&gt;= "&amp;H15)-COUNTIF(Vertices[Out-Degree],"&gt;="&amp;H16)</f>
        <v>0</v>
      </c>
      <c r="J15" s="39">
        <f t="shared" si="4"/>
        <v>1586.5965613333337</v>
      </c>
      <c r="K15" s="40">
        <f>COUNTIF(Vertices[Betweenness Centrality],"&gt;= "&amp;J15)-COUNTIF(Vertices[Betweenness Centrality],"&gt;="&amp;J16)</f>
        <v>4</v>
      </c>
      <c r="L15" s="39">
        <f t="shared" si="5"/>
        <v>0.001446270833333332</v>
      </c>
      <c r="M15" s="40">
        <f>COUNTIF(Vertices[Closeness Centrality],"&gt;= "&amp;L15)-COUNTIF(Vertices[Closeness Centrality],"&gt;="&amp;L16)</f>
        <v>28</v>
      </c>
      <c r="N15" s="39">
        <f t="shared" si="6"/>
        <v>0.005263375</v>
      </c>
      <c r="O15" s="40">
        <f>COUNTIF(Vertices[Eigenvector Centrality],"&gt;= "&amp;N15)-COUNTIF(Vertices[Eigenvector Centrality],"&gt;="&amp;N16)</f>
        <v>5</v>
      </c>
      <c r="P15" s="39">
        <f t="shared" si="7"/>
        <v>1.6435673333333336</v>
      </c>
      <c r="Q15" s="40">
        <f>COUNTIF(Vertices[PageRank],"&gt;= "&amp;P15)-COUNTIF(Vertices[PageRank],"&gt;="&amp;P16)</f>
        <v>0</v>
      </c>
      <c r="R15" s="39">
        <f t="shared" si="8"/>
        <v>0.2708333333333333</v>
      </c>
      <c r="S15" s="44">
        <f>COUNTIF(Vertices[Clustering Coefficient],"&gt;= "&amp;R15)-COUNTIF(Vertices[Clustering Coefficient],"&gt;="&amp;R16)</f>
        <v>10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13.125</v>
      </c>
      <c r="G16" s="38">
        <f>COUNTIF(Vertices[In-Degree],"&gt;= "&amp;F16)-COUNTIF(Vertices[In-Degree],"&gt;="&amp;F17)</f>
        <v>3</v>
      </c>
      <c r="H16" s="37">
        <f t="shared" si="3"/>
        <v>14.29166666666667</v>
      </c>
      <c r="I16" s="38">
        <f>COUNTIF(Vertices[Out-Degree],"&gt;= "&amp;H16)-COUNTIF(Vertices[Out-Degree],"&gt;="&amp;H17)</f>
        <v>0</v>
      </c>
      <c r="J16" s="37">
        <f t="shared" si="4"/>
        <v>1708.6424506666672</v>
      </c>
      <c r="K16" s="38">
        <f>COUNTIF(Vertices[Betweenness Centrality],"&gt;= "&amp;J16)-COUNTIF(Vertices[Betweenness Centrality],"&gt;="&amp;J17)</f>
        <v>2</v>
      </c>
      <c r="L16" s="37">
        <f t="shared" si="5"/>
        <v>0.0014692916666666652</v>
      </c>
      <c r="M16" s="38">
        <f>COUNTIF(Vertices[Closeness Centrality],"&gt;= "&amp;L16)-COUNTIF(Vertices[Closeness Centrality],"&gt;="&amp;L17)</f>
        <v>18</v>
      </c>
      <c r="N16" s="37">
        <f t="shared" si="6"/>
        <v>0.00566225</v>
      </c>
      <c r="O16" s="38">
        <f>COUNTIF(Vertices[Eigenvector Centrality],"&gt;= "&amp;N16)-COUNTIF(Vertices[Eigenvector Centrality],"&gt;="&amp;N17)</f>
        <v>2</v>
      </c>
      <c r="P16" s="37">
        <f t="shared" si="7"/>
        <v>1.753800666666667</v>
      </c>
      <c r="Q16" s="38">
        <f>COUNTIF(Vertices[PageRank],"&gt;= "&amp;P16)-COUNTIF(Vertices[PageRank],"&gt;="&amp;P17)</f>
        <v>1</v>
      </c>
      <c r="R16" s="37">
        <f t="shared" si="8"/>
        <v>0.29166666666666663</v>
      </c>
      <c r="S16" s="43">
        <f>COUNTIF(Vertices[Clustering Coefficient],"&gt;= "&amp;R16)-COUNTIF(Vertices[Clustering Coefficient],"&gt;="&amp;R17)</f>
        <v>8</v>
      </c>
      <c r="T16" s="37" t="e">
        <f ca="1" t="shared" si="9"/>
        <v>#REF!</v>
      </c>
      <c r="U16" s="38" t="e">
        <f ca="1" t="shared" si="0"/>
        <v>#REF!</v>
      </c>
    </row>
    <row r="17" spans="1:21" ht="15">
      <c r="A17" s="34" t="s">
        <v>154</v>
      </c>
      <c r="B17" s="34">
        <v>260</v>
      </c>
      <c r="D17" s="32">
        <f t="shared" si="1"/>
        <v>0</v>
      </c>
      <c r="E17" s="3">
        <f>COUNTIF(Vertices[Degree],"&gt;= "&amp;D17)-COUNTIF(Vertices[Degree],"&gt;="&amp;D18)</f>
        <v>0</v>
      </c>
      <c r="F17" s="39">
        <f t="shared" si="2"/>
        <v>14.0625</v>
      </c>
      <c r="G17" s="40">
        <f>COUNTIF(Vertices[In-Degree],"&gt;= "&amp;F17)-COUNTIF(Vertices[In-Degree],"&gt;="&amp;F18)</f>
        <v>0</v>
      </c>
      <c r="H17" s="39">
        <f t="shared" si="3"/>
        <v>15.312500000000004</v>
      </c>
      <c r="I17" s="40">
        <f>COUNTIF(Vertices[Out-Degree],"&gt;= "&amp;H17)-COUNTIF(Vertices[Out-Degree],"&gt;="&amp;H18)</f>
        <v>0</v>
      </c>
      <c r="J17" s="39">
        <f t="shared" si="4"/>
        <v>1830.6883400000006</v>
      </c>
      <c r="K17" s="40">
        <f>COUNTIF(Vertices[Betweenness Centrality],"&gt;= "&amp;J17)-COUNTIF(Vertices[Betweenness Centrality],"&gt;="&amp;J18)</f>
        <v>5</v>
      </c>
      <c r="L17" s="39">
        <f t="shared" si="5"/>
        <v>0.0014923124999999984</v>
      </c>
      <c r="M17" s="40">
        <f>COUNTIF(Vertices[Closeness Centrality],"&gt;= "&amp;L17)-COUNTIF(Vertices[Closeness Centrality],"&gt;="&amp;L18)</f>
        <v>16</v>
      </c>
      <c r="N17" s="39">
        <f t="shared" si="6"/>
        <v>0.006061125</v>
      </c>
      <c r="O17" s="40">
        <f>COUNTIF(Vertices[Eigenvector Centrality],"&gt;= "&amp;N17)-COUNTIF(Vertices[Eigenvector Centrality],"&gt;="&amp;N18)</f>
        <v>0</v>
      </c>
      <c r="P17" s="39">
        <f t="shared" si="7"/>
        <v>1.8640340000000004</v>
      </c>
      <c r="Q17" s="40">
        <f>COUNTIF(Vertices[PageRank],"&gt;= "&amp;P17)-COUNTIF(Vertices[PageRank],"&gt;="&amp;P18)</f>
        <v>0</v>
      </c>
      <c r="R17" s="39">
        <f t="shared" si="8"/>
        <v>0.31249999999999994</v>
      </c>
      <c r="S17" s="44">
        <f>COUNTIF(Vertices[Clustering Coefficient],"&gt;= "&amp;R17)-COUNTIF(Vertices[Clustering Coefficient],"&gt;="&amp;R18)</f>
        <v>4</v>
      </c>
      <c r="T17" s="39" t="e">
        <f ca="1" t="shared" si="9"/>
        <v>#REF!</v>
      </c>
      <c r="U17" s="40" t="e">
        <f ca="1" t="shared" si="0"/>
        <v>#REF!</v>
      </c>
    </row>
    <row r="18" spans="1:21" ht="15">
      <c r="A18" s="34" t="s">
        <v>155</v>
      </c>
      <c r="B18" s="34">
        <v>1892</v>
      </c>
      <c r="D18" s="32">
        <f t="shared" si="1"/>
        <v>0</v>
      </c>
      <c r="E18" s="3">
        <f>COUNTIF(Vertices[Degree],"&gt;= "&amp;D18)-COUNTIF(Vertices[Degree],"&gt;="&amp;D19)</f>
        <v>0</v>
      </c>
      <c r="F18" s="37">
        <f t="shared" si="2"/>
        <v>15</v>
      </c>
      <c r="G18" s="38">
        <f>COUNTIF(Vertices[In-Degree],"&gt;= "&amp;F18)-COUNTIF(Vertices[In-Degree],"&gt;="&amp;F19)</f>
        <v>2</v>
      </c>
      <c r="H18" s="37">
        <f t="shared" si="3"/>
        <v>16.333333333333336</v>
      </c>
      <c r="I18" s="38">
        <f>COUNTIF(Vertices[Out-Degree],"&gt;= "&amp;H18)-COUNTIF(Vertices[Out-Degree],"&gt;="&amp;H19)</f>
        <v>0</v>
      </c>
      <c r="J18" s="37">
        <f t="shared" si="4"/>
        <v>1952.734229333334</v>
      </c>
      <c r="K18" s="38">
        <f>COUNTIF(Vertices[Betweenness Centrality],"&gt;= "&amp;J18)-COUNTIF(Vertices[Betweenness Centrality],"&gt;="&amp;J19)</f>
        <v>0</v>
      </c>
      <c r="L18" s="37">
        <f t="shared" si="5"/>
        <v>0.0015153333333333316</v>
      </c>
      <c r="M18" s="38">
        <f>COUNTIF(Vertices[Closeness Centrality],"&gt;= "&amp;L18)-COUNTIF(Vertices[Closeness Centrality],"&gt;="&amp;L19)</f>
        <v>11</v>
      </c>
      <c r="N18" s="37">
        <f t="shared" si="6"/>
        <v>0.00646</v>
      </c>
      <c r="O18" s="38">
        <f>COUNTIF(Vertices[Eigenvector Centrality],"&gt;= "&amp;N18)-COUNTIF(Vertices[Eigenvector Centrality],"&gt;="&amp;N19)</f>
        <v>0</v>
      </c>
      <c r="P18" s="37">
        <f t="shared" si="7"/>
        <v>1.9742673333333338</v>
      </c>
      <c r="Q18" s="38">
        <f>COUNTIF(Vertices[PageRank],"&gt;= "&amp;P18)-COUNTIF(Vertices[PageRank],"&gt;="&amp;P19)</f>
        <v>0</v>
      </c>
      <c r="R18" s="37">
        <f t="shared" si="8"/>
        <v>0.33333333333333326</v>
      </c>
      <c r="S18" s="43">
        <f>COUNTIF(Vertices[Clustering Coefficient],"&gt;= "&amp;R18)-COUNTIF(Vertices[Clustering Coefficient],"&gt;="&amp;R19)</f>
        <v>14</v>
      </c>
      <c r="T18" s="37" t="e">
        <f ca="1" t="shared" si="9"/>
        <v>#REF!</v>
      </c>
      <c r="U18" s="38" t="e">
        <f ca="1" t="shared" si="0"/>
        <v>#REF!</v>
      </c>
    </row>
    <row r="19" spans="1:21" ht="15">
      <c r="A19" s="118"/>
      <c r="B19" s="118"/>
      <c r="D19" s="32">
        <f t="shared" si="1"/>
        <v>0</v>
      </c>
      <c r="E19" s="3">
        <f>COUNTIF(Vertices[Degree],"&gt;= "&amp;D19)-COUNTIF(Vertices[Degree],"&gt;="&amp;D20)</f>
        <v>0</v>
      </c>
      <c r="F19" s="39">
        <f t="shared" si="2"/>
        <v>15.9375</v>
      </c>
      <c r="G19" s="40">
        <f>COUNTIF(Vertices[In-Degree],"&gt;= "&amp;F19)-COUNTIF(Vertices[In-Degree],"&gt;="&amp;F20)</f>
        <v>2</v>
      </c>
      <c r="H19" s="39">
        <f t="shared" si="3"/>
        <v>17.354166666666668</v>
      </c>
      <c r="I19" s="40">
        <f>COUNTIF(Vertices[Out-Degree],"&gt;= "&amp;H19)-COUNTIF(Vertices[Out-Degree],"&gt;="&amp;H20)</f>
        <v>0</v>
      </c>
      <c r="J19" s="39">
        <f t="shared" si="4"/>
        <v>2074.7801186666675</v>
      </c>
      <c r="K19" s="40">
        <f>COUNTIF(Vertices[Betweenness Centrality],"&gt;= "&amp;J19)-COUNTIF(Vertices[Betweenness Centrality],"&gt;="&amp;J20)</f>
        <v>3</v>
      </c>
      <c r="L19" s="39">
        <f t="shared" si="5"/>
        <v>0.0015383541666666649</v>
      </c>
      <c r="M19" s="40">
        <f>COUNTIF(Vertices[Closeness Centrality],"&gt;= "&amp;L19)-COUNTIF(Vertices[Closeness Centrality],"&gt;="&amp;L20)</f>
        <v>7</v>
      </c>
      <c r="N19" s="39">
        <f t="shared" si="6"/>
        <v>0.0068588749999999995</v>
      </c>
      <c r="O19" s="40">
        <f>COUNTIF(Vertices[Eigenvector Centrality],"&gt;= "&amp;N19)-COUNTIF(Vertices[Eigenvector Centrality],"&gt;="&amp;N20)</f>
        <v>0</v>
      </c>
      <c r="P19" s="39">
        <f t="shared" si="7"/>
        <v>2.084500666666667</v>
      </c>
      <c r="Q19" s="40">
        <f>COUNTIF(Vertices[PageRank],"&gt;= "&amp;P19)-COUNTIF(Vertices[PageRank],"&gt;="&amp;P20)</f>
        <v>0</v>
      </c>
      <c r="R19" s="39">
        <f t="shared" si="8"/>
        <v>0.3541666666666666</v>
      </c>
      <c r="S19" s="44">
        <f>COUNTIF(Vertices[Clustering Coefficient],"&gt;= "&amp;R19)-COUNTIF(Vertices[Clustering Coefficient],"&gt;="&amp;R20)</f>
        <v>3</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16.875</v>
      </c>
      <c r="G20" s="38">
        <f>COUNTIF(Vertices[In-Degree],"&gt;= "&amp;F20)-COUNTIF(Vertices[In-Degree],"&gt;="&amp;F21)</f>
        <v>1</v>
      </c>
      <c r="H20" s="37">
        <f t="shared" si="3"/>
        <v>18.375</v>
      </c>
      <c r="I20" s="38">
        <f>COUNTIF(Vertices[Out-Degree],"&gt;= "&amp;H20)-COUNTIF(Vertices[Out-Degree],"&gt;="&amp;H21)</f>
        <v>2</v>
      </c>
      <c r="J20" s="37">
        <f t="shared" si="4"/>
        <v>2196.826008000001</v>
      </c>
      <c r="K20" s="38">
        <f>COUNTIF(Vertices[Betweenness Centrality],"&gt;= "&amp;J20)-COUNTIF(Vertices[Betweenness Centrality],"&gt;="&amp;J21)</f>
        <v>3</v>
      </c>
      <c r="L20" s="37">
        <f t="shared" si="5"/>
        <v>0.001561374999999998</v>
      </c>
      <c r="M20" s="38">
        <f>COUNTIF(Vertices[Closeness Centrality],"&gt;= "&amp;L20)-COUNTIF(Vertices[Closeness Centrality],"&gt;="&amp;L21)</f>
        <v>3</v>
      </c>
      <c r="N20" s="37">
        <f t="shared" si="6"/>
        <v>0.0072577499999999994</v>
      </c>
      <c r="O20" s="38">
        <f>COUNTIF(Vertices[Eigenvector Centrality],"&gt;= "&amp;N20)-COUNTIF(Vertices[Eigenvector Centrality],"&gt;="&amp;N21)</f>
        <v>3</v>
      </c>
      <c r="P20" s="37">
        <f t="shared" si="7"/>
        <v>2.1947340000000004</v>
      </c>
      <c r="Q20" s="38">
        <f>COUNTIF(Vertices[PageRank],"&gt;= "&amp;P20)-COUNTIF(Vertices[PageRank],"&gt;="&amp;P21)</f>
        <v>2</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157</v>
      </c>
      <c r="B21" s="34">
        <v>2.488609</v>
      </c>
      <c r="D21" s="32">
        <f t="shared" si="1"/>
        <v>0</v>
      </c>
      <c r="E21" s="3">
        <f>COUNTIF(Vertices[Degree],"&gt;= "&amp;D21)-COUNTIF(Vertices[Degree],"&gt;="&amp;D22)</f>
        <v>0</v>
      </c>
      <c r="F21" s="39">
        <f t="shared" si="2"/>
        <v>17.8125</v>
      </c>
      <c r="G21" s="40">
        <f>COUNTIF(Vertices[In-Degree],"&gt;= "&amp;F21)-COUNTIF(Vertices[In-Degree],"&gt;="&amp;F22)</f>
        <v>1</v>
      </c>
      <c r="H21" s="39">
        <f t="shared" si="3"/>
        <v>19.395833333333332</v>
      </c>
      <c r="I21" s="40">
        <f>COUNTIF(Vertices[Out-Degree],"&gt;= "&amp;H21)-COUNTIF(Vertices[Out-Degree],"&gt;="&amp;H22)</f>
        <v>1</v>
      </c>
      <c r="J21" s="39">
        <f t="shared" si="4"/>
        <v>2318.8718973333343</v>
      </c>
      <c r="K21" s="40">
        <f>COUNTIF(Vertices[Betweenness Centrality],"&gt;= "&amp;J21)-COUNTIF(Vertices[Betweenness Centrality],"&gt;="&amp;J22)</f>
        <v>0</v>
      </c>
      <c r="L21" s="39">
        <f t="shared" si="5"/>
        <v>0.0015843958333333313</v>
      </c>
      <c r="M21" s="40">
        <f>COUNTIF(Vertices[Closeness Centrality],"&gt;= "&amp;L21)-COUNTIF(Vertices[Closeness Centrality],"&gt;="&amp;L22)</f>
        <v>7</v>
      </c>
      <c r="N21" s="39">
        <f t="shared" si="6"/>
        <v>0.007656624999999999</v>
      </c>
      <c r="O21" s="40">
        <f>COUNTIF(Vertices[Eigenvector Centrality],"&gt;= "&amp;N21)-COUNTIF(Vertices[Eigenvector Centrality],"&gt;="&amp;N22)</f>
        <v>1</v>
      </c>
      <c r="P21" s="39">
        <f t="shared" si="7"/>
        <v>2.304967333333334</v>
      </c>
      <c r="Q21" s="40">
        <f>COUNTIF(Vertices[PageRank],"&gt;= "&amp;P21)-COUNTIF(Vertices[PageRank],"&gt;="&amp;P22)</f>
        <v>1</v>
      </c>
      <c r="R21" s="39">
        <f t="shared" si="8"/>
        <v>0.3958333333333332</v>
      </c>
      <c r="S21" s="44">
        <f>COUNTIF(Vertices[Clustering Coefficient],"&gt;= "&amp;R21)-COUNTIF(Vertices[Clustering Coefficient],"&gt;="&amp;R22)</f>
        <v>1</v>
      </c>
      <c r="T21" s="39" t="e">
        <f ca="1" t="shared" si="9"/>
        <v>#REF!</v>
      </c>
      <c r="U21" s="40" t="e">
        <f ca="1" t="shared" si="0"/>
        <v>#REF!</v>
      </c>
    </row>
    <row r="22" spans="1:21" ht="15">
      <c r="A22" s="118"/>
      <c r="B22" s="118"/>
      <c r="D22" s="32">
        <f t="shared" si="1"/>
        <v>0</v>
      </c>
      <c r="E22" s="3">
        <f>COUNTIF(Vertices[Degree],"&gt;= "&amp;D22)-COUNTIF(Vertices[Degree],"&gt;="&amp;D23)</f>
        <v>0</v>
      </c>
      <c r="F22" s="37">
        <f t="shared" si="2"/>
        <v>18.75</v>
      </c>
      <c r="G22" s="38">
        <f>COUNTIF(Vertices[In-Degree],"&gt;= "&amp;F22)-COUNTIF(Vertices[In-Degree],"&gt;="&amp;F23)</f>
        <v>0</v>
      </c>
      <c r="H22" s="37">
        <f t="shared" si="3"/>
        <v>20.416666666666664</v>
      </c>
      <c r="I22" s="38">
        <f>COUNTIF(Vertices[Out-Degree],"&gt;= "&amp;H22)-COUNTIF(Vertices[Out-Degree],"&gt;="&amp;H23)</f>
        <v>0</v>
      </c>
      <c r="J22" s="37">
        <f t="shared" si="4"/>
        <v>2440.917786666668</v>
      </c>
      <c r="K22" s="38">
        <f>COUNTIF(Vertices[Betweenness Centrality],"&gt;= "&amp;J22)-COUNTIF(Vertices[Betweenness Centrality],"&gt;="&amp;J23)</f>
        <v>0</v>
      </c>
      <c r="L22" s="37">
        <f t="shared" si="5"/>
        <v>0.0016074166666666645</v>
      </c>
      <c r="M22" s="38">
        <f>COUNTIF(Vertices[Closeness Centrality],"&gt;= "&amp;L22)-COUNTIF(Vertices[Closeness Centrality],"&gt;="&amp;L23)</f>
        <v>5</v>
      </c>
      <c r="N22" s="37">
        <f t="shared" si="6"/>
        <v>0.0080555</v>
      </c>
      <c r="O22" s="38">
        <f>COUNTIF(Vertices[Eigenvector Centrality],"&gt;= "&amp;N22)-COUNTIF(Vertices[Eigenvector Centrality],"&gt;="&amp;N23)</f>
        <v>0</v>
      </c>
      <c r="P22" s="37">
        <f t="shared" si="7"/>
        <v>2.415200666666667</v>
      </c>
      <c r="Q22" s="38">
        <f>COUNTIF(Vertices[PageRank],"&gt;= "&amp;P22)-COUNTIF(Vertices[PageRank],"&gt;="&amp;P23)</f>
        <v>1</v>
      </c>
      <c r="R22" s="37">
        <f t="shared" si="8"/>
        <v>0.4166666666666665</v>
      </c>
      <c r="S22" s="43">
        <f>COUNTIF(Vertices[Clustering Coefficient],"&gt;= "&amp;R22)-COUNTIF(Vertices[Clustering Coefficient],"&gt;="&amp;R23)</f>
        <v>7</v>
      </c>
      <c r="T22" s="37" t="e">
        <f ca="1" t="shared" si="9"/>
        <v>#REF!</v>
      </c>
      <c r="U22" s="38" t="e">
        <f ca="1" t="shared" si="0"/>
        <v>#REF!</v>
      </c>
    </row>
    <row r="23" spans="1:21" ht="15">
      <c r="A23" s="34" t="s">
        <v>158</v>
      </c>
      <c r="B23" s="34">
        <v>0.028096228096228096</v>
      </c>
      <c r="D23" s="32">
        <f t="shared" si="1"/>
        <v>0</v>
      </c>
      <c r="E23" s="3">
        <f>COUNTIF(Vertices[Degree],"&gt;= "&amp;D23)-COUNTIF(Vertices[Degree],"&gt;="&amp;D24)</f>
        <v>0</v>
      </c>
      <c r="F23" s="39">
        <f t="shared" si="2"/>
        <v>19.6875</v>
      </c>
      <c r="G23" s="40">
        <f>COUNTIF(Vertices[In-Degree],"&gt;= "&amp;F23)-COUNTIF(Vertices[In-Degree],"&gt;="&amp;F24)</f>
        <v>2</v>
      </c>
      <c r="H23" s="39">
        <f t="shared" si="3"/>
        <v>21.437499999999996</v>
      </c>
      <c r="I23" s="40">
        <f>COUNTIF(Vertices[Out-Degree],"&gt;= "&amp;H23)-COUNTIF(Vertices[Out-Degree],"&gt;="&amp;H24)</f>
        <v>1</v>
      </c>
      <c r="J23" s="39">
        <f t="shared" si="4"/>
        <v>2562.963676000001</v>
      </c>
      <c r="K23" s="40">
        <f>COUNTIF(Vertices[Betweenness Centrality],"&gt;= "&amp;J23)-COUNTIF(Vertices[Betweenness Centrality],"&gt;="&amp;J24)</f>
        <v>1</v>
      </c>
      <c r="L23" s="39">
        <f t="shared" si="5"/>
        <v>0.0016304374999999978</v>
      </c>
      <c r="M23" s="40">
        <f>COUNTIF(Vertices[Closeness Centrality],"&gt;= "&amp;L23)-COUNTIF(Vertices[Closeness Centrality],"&gt;="&amp;L24)</f>
        <v>1</v>
      </c>
      <c r="N23" s="39">
        <f t="shared" si="6"/>
        <v>0.008454375</v>
      </c>
      <c r="O23" s="40">
        <f>COUNTIF(Vertices[Eigenvector Centrality],"&gt;= "&amp;N23)-COUNTIF(Vertices[Eigenvector Centrality],"&gt;="&amp;N24)</f>
        <v>0</v>
      </c>
      <c r="P23" s="39">
        <f t="shared" si="7"/>
        <v>2.5254340000000006</v>
      </c>
      <c r="Q23" s="40">
        <f>COUNTIF(Vertices[PageRank],"&gt;= "&amp;P23)-COUNTIF(Vertices[PageRank],"&gt;="&amp;P24)</f>
        <v>1</v>
      </c>
      <c r="R23" s="39">
        <f t="shared" si="8"/>
        <v>0.43749999999999983</v>
      </c>
      <c r="S23" s="44">
        <f>COUNTIF(Vertices[Clustering Coefficient],"&gt;= "&amp;R23)-COUNTIF(Vertices[Clustering Coefficient],"&gt;="&amp;R24)</f>
        <v>2</v>
      </c>
      <c r="T23" s="39" t="e">
        <f ca="1" t="shared" si="9"/>
        <v>#REF!</v>
      </c>
      <c r="U23" s="40" t="e">
        <f ca="1" t="shared" si="0"/>
        <v>#REF!</v>
      </c>
    </row>
    <row r="24" spans="1:21" ht="15">
      <c r="A24" s="34" t="s">
        <v>4384</v>
      </c>
      <c r="B24" s="34">
        <v>0.24257</v>
      </c>
      <c r="D24" s="32">
        <f t="shared" si="1"/>
        <v>0</v>
      </c>
      <c r="E24" s="3">
        <f>COUNTIF(Vertices[Degree],"&gt;= "&amp;D24)-COUNTIF(Vertices[Degree],"&gt;="&amp;D25)</f>
        <v>0</v>
      </c>
      <c r="F24" s="37">
        <f t="shared" si="2"/>
        <v>20.625</v>
      </c>
      <c r="G24" s="38">
        <f>COUNTIF(Vertices[In-Degree],"&gt;= "&amp;F24)-COUNTIF(Vertices[In-Degree],"&gt;="&amp;F25)</f>
        <v>4</v>
      </c>
      <c r="H24" s="37">
        <f t="shared" si="3"/>
        <v>22.45833333333333</v>
      </c>
      <c r="I24" s="38">
        <f>COUNTIF(Vertices[Out-Degree],"&gt;= "&amp;H24)-COUNTIF(Vertices[Out-Degree],"&gt;="&amp;H25)</f>
        <v>0</v>
      </c>
      <c r="J24" s="37">
        <f t="shared" si="4"/>
        <v>2685.0095653333346</v>
      </c>
      <c r="K24" s="38">
        <f>COUNTIF(Vertices[Betweenness Centrality],"&gt;= "&amp;J24)-COUNTIF(Vertices[Betweenness Centrality],"&gt;="&amp;J25)</f>
        <v>1</v>
      </c>
      <c r="L24" s="37">
        <f t="shared" si="5"/>
        <v>0.001653458333333331</v>
      </c>
      <c r="M24" s="38">
        <f>COUNTIF(Vertices[Closeness Centrality],"&gt;= "&amp;L24)-COUNTIF(Vertices[Closeness Centrality],"&gt;="&amp;L25)</f>
        <v>7</v>
      </c>
      <c r="N24" s="37">
        <f t="shared" si="6"/>
        <v>0.00885325</v>
      </c>
      <c r="O24" s="38">
        <f>COUNTIF(Vertices[Eigenvector Centrality],"&gt;= "&amp;N24)-COUNTIF(Vertices[Eigenvector Centrality],"&gt;="&amp;N25)</f>
        <v>1</v>
      </c>
      <c r="P24" s="37">
        <f t="shared" si="7"/>
        <v>2.635667333333334</v>
      </c>
      <c r="Q24" s="38">
        <f>COUNTIF(Vertices[PageRank],"&gt;= "&amp;P24)-COUNTIF(Vertices[PageRank],"&gt;="&amp;P25)</f>
        <v>0</v>
      </c>
      <c r="R24" s="37">
        <f t="shared" si="8"/>
        <v>0.45833333333333315</v>
      </c>
      <c r="S24" s="43">
        <f>COUNTIF(Vertices[Clustering Coefficient],"&gt;= "&amp;R24)-COUNTIF(Vertices[Clustering Coefficient],"&gt;="&amp;R25)</f>
        <v>7</v>
      </c>
      <c r="T24" s="37" t="e">
        <f ca="1" t="shared" si="9"/>
        <v>#REF!</v>
      </c>
      <c r="U24" s="38" t="e">
        <f ca="1" t="shared" si="0"/>
        <v>#REF!</v>
      </c>
    </row>
    <row r="25" spans="1:21" ht="15">
      <c r="A25" s="118"/>
      <c r="B25" s="118"/>
      <c r="D25" s="32">
        <f t="shared" si="1"/>
        <v>0</v>
      </c>
      <c r="E25" s="3">
        <f>COUNTIF(Vertices[Degree],"&gt;= "&amp;D25)-COUNTIF(Vertices[Degree],"&gt;="&amp;D26)</f>
        <v>0</v>
      </c>
      <c r="F25" s="39">
        <f t="shared" si="2"/>
        <v>21.5625</v>
      </c>
      <c r="G25" s="40">
        <f>COUNTIF(Vertices[In-Degree],"&gt;= "&amp;F25)-COUNTIF(Vertices[In-Degree],"&gt;="&amp;F26)</f>
        <v>3</v>
      </c>
      <c r="H25" s="39">
        <f t="shared" si="3"/>
        <v>23.47916666666666</v>
      </c>
      <c r="I25" s="40">
        <f>COUNTIF(Vertices[Out-Degree],"&gt;= "&amp;H25)-COUNTIF(Vertices[Out-Degree],"&gt;="&amp;H26)</f>
        <v>0</v>
      </c>
      <c r="J25" s="39">
        <f t="shared" si="4"/>
        <v>2807.055454666668</v>
      </c>
      <c r="K25" s="40">
        <f>COUNTIF(Vertices[Betweenness Centrality],"&gt;= "&amp;J25)-COUNTIF(Vertices[Betweenness Centrality],"&gt;="&amp;J26)</f>
        <v>0</v>
      </c>
      <c r="L25" s="39">
        <f t="shared" si="5"/>
        <v>0.0016764791666666642</v>
      </c>
      <c r="M25" s="40">
        <f>COUNTIF(Vertices[Closeness Centrality],"&gt;= "&amp;L25)-COUNTIF(Vertices[Closeness Centrality],"&gt;="&amp;L26)</f>
        <v>3</v>
      </c>
      <c r="N25" s="39">
        <f t="shared" si="6"/>
        <v>0.009252125</v>
      </c>
      <c r="O25" s="40">
        <f>COUNTIF(Vertices[Eigenvector Centrality],"&gt;= "&amp;N25)-COUNTIF(Vertices[Eigenvector Centrality],"&gt;="&amp;N26)</f>
        <v>1</v>
      </c>
      <c r="P25" s="39">
        <f t="shared" si="7"/>
        <v>2.7459006666666674</v>
      </c>
      <c r="Q25" s="40">
        <f>COUNTIF(Vertices[PageRank],"&gt;= "&amp;P25)-COUNTIF(Vertices[PageRank],"&gt;="&amp;P26)</f>
        <v>1</v>
      </c>
      <c r="R25" s="39">
        <f t="shared" si="8"/>
        <v>0.47916666666666646</v>
      </c>
      <c r="S25" s="44">
        <f>COUNTIF(Vertices[Clustering Coefficient],"&gt;= "&amp;R25)-COUNTIF(Vertices[Clustering Coefficient],"&gt;="&amp;R26)</f>
        <v>1</v>
      </c>
      <c r="T25" s="39" t="e">
        <f ca="1" t="shared" si="9"/>
        <v>#REF!</v>
      </c>
      <c r="U25" s="40" t="e">
        <f ca="1" t="shared" si="0"/>
        <v>#REF!</v>
      </c>
    </row>
    <row r="26" spans="1:21" ht="15">
      <c r="A26" s="34" t="s">
        <v>4385</v>
      </c>
      <c r="B26" s="34" t="s">
        <v>4399</v>
      </c>
      <c r="D26" s="32">
        <f t="shared" si="1"/>
        <v>0</v>
      </c>
      <c r="E26" s="3">
        <f>COUNTIF(Vertices[Degree],"&gt;= "&amp;D26)-COUNTIF(Vertices[Degree],"&gt;="&amp;D28)</f>
        <v>0</v>
      </c>
      <c r="F26" s="37">
        <f t="shared" si="2"/>
        <v>22.5</v>
      </c>
      <c r="G26" s="38">
        <f>COUNTIF(Vertices[In-Degree],"&gt;= "&amp;F26)-COUNTIF(Vertices[In-Degree],"&gt;="&amp;F28)</f>
        <v>2</v>
      </c>
      <c r="H26" s="37">
        <f t="shared" si="3"/>
        <v>24.499999999999993</v>
      </c>
      <c r="I26" s="38">
        <f>COUNTIF(Vertices[Out-Degree],"&gt;= "&amp;H26)-COUNTIF(Vertices[Out-Degree],"&gt;="&amp;H28)</f>
        <v>1</v>
      </c>
      <c r="J26" s="37">
        <f t="shared" si="4"/>
        <v>2929.1013440000015</v>
      </c>
      <c r="K26" s="38">
        <f>COUNTIF(Vertices[Betweenness Centrality],"&gt;= "&amp;J26)-COUNTIF(Vertices[Betweenness Centrality],"&gt;="&amp;J28)</f>
        <v>2</v>
      </c>
      <c r="L26" s="37">
        <f t="shared" si="5"/>
        <v>0.0016994999999999975</v>
      </c>
      <c r="M26" s="38">
        <f>COUNTIF(Vertices[Closeness Centrality],"&gt;= "&amp;L26)-COUNTIF(Vertices[Closeness Centrality],"&gt;="&amp;L28)</f>
        <v>5</v>
      </c>
      <c r="N26" s="37">
        <f t="shared" si="6"/>
        <v>0.009651</v>
      </c>
      <c r="O26" s="38">
        <f>COUNTIF(Vertices[Eigenvector Centrality],"&gt;= "&amp;N26)-COUNTIF(Vertices[Eigenvector Centrality],"&gt;="&amp;N28)</f>
        <v>1</v>
      </c>
      <c r="P26" s="37">
        <f t="shared" si="7"/>
        <v>2.856134000000001</v>
      </c>
      <c r="Q26" s="38">
        <f>COUNTIF(Vertices[PageRank],"&gt;= "&amp;P26)-COUNTIF(Vertices[PageRank],"&gt;="&amp;P28)</f>
        <v>5</v>
      </c>
      <c r="R26" s="37">
        <f t="shared" si="8"/>
        <v>0.4999999999999998</v>
      </c>
      <c r="S26" s="43">
        <f>COUNTIF(Vertices[Clustering Coefficient],"&gt;= "&amp;R26)-COUNTIF(Vertices[Clustering Coefficient],"&gt;="&amp;R28)</f>
        <v>50</v>
      </c>
      <c r="T26" s="37" t="e">
        <f ca="1" t="shared" si="9"/>
        <v>#REF!</v>
      </c>
      <c r="U26" s="38" t="e">
        <f ca="1">COUNTIF(INDIRECT(DynamicFilterSourceColumnRange),"&gt;= "&amp;T26)-COUNTIF(INDIRECT(DynamicFilterSourceColumnRange),"&gt;="&amp;T28)</f>
        <v>#REF!</v>
      </c>
    </row>
    <row r="27" spans="1:21" ht="15">
      <c r="A27" s="118"/>
      <c r="B27" s="118"/>
      <c r="D27" s="32"/>
      <c r="E27" s="3">
        <f>COUNTIF(Vertices[Degree],"&gt;= "&amp;D27)-COUNTIF(Vertices[Degree],"&gt;="&amp;D28)</f>
        <v>0</v>
      </c>
      <c r="F27" s="62"/>
      <c r="G27" s="63">
        <f>COUNTIF(Vertices[In-Degree],"&gt;= "&amp;F27)-COUNTIF(Vertices[In-Degree],"&gt;="&amp;F28)</f>
        <v>-21</v>
      </c>
      <c r="H27" s="62"/>
      <c r="I27" s="63">
        <f>COUNTIF(Vertices[Out-Degree],"&gt;= "&amp;H27)-COUNTIF(Vertices[Out-Degree],"&gt;="&amp;H28)</f>
        <v>-42</v>
      </c>
      <c r="J27" s="62"/>
      <c r="K27" s="63">
        <f>COUNTIF(Vertices[Betweenness Centrality],"&gt;= "&amp;J27)-COUNTIF(Vertices[Betweenness Centrality],"&gt;="&amp;J28)</f>
        <v>-9</v>
      </c>
      <c r="L27" s="62"/>
      <c r="M27" s="63">
        <f>COUNTIF(Vertices[Closeness Centrality],"&gt;= "&amp;L27)-COUNTIF(Vertices[Closeness Centrality],"&gt;="&amp;L28)</f>
        <v>-51</v>
      </c>
      <c r="N27" s="62"/>
      <c r="O27" s="63">
        <f>COUNTIF(Vertices[Eigenvector Centrality],"&gt;= "&amp;N27)-COUNTIF(Vertices[Eigenvector Centrality],"&gt;="&amp;N28)</f>
        <v>-40</v>
      </c>
      <c r="P27" s="62"/>
      <c r="Q27" s="63">
        <f>COUNTIF(Vertices[Eigenvector Centrality],"&gt;= "&amp;P27)-COUNTIF(Vertices[Eigenvector Centrality],"&gt;="&amp;P28)</f>
        <v>0</v>
      </c>
      <c r="R27" s="62"/>
      <c r="S27" s="64">
        <f>COUNTIF(Vertices[Clustering Coefficient],"&gt;= "&amp;R27)-COUNTIF(Vertices[Clustering Coefficient],"&gt;="&amp;R28)</f>
        <v>-95</v>
      </c>
      <c r="T27" s="62"/>
      <c r="U27" s="63">
        <f ca="1">COUNTIF(Vertices[Clustering Coefficient],"&gt;= "&amp;T27)-COUNTIF(Vertices[Clustering Coefficient],"&gt;="&amp;T28)</f>
        <v>0</v>
      </c>
    </row>
    <row r="28" spans="1:21" ht="15">
      <c r="A28" s="34" t="s">
        <v>4386</v>
      </c>
      <c r="B28" s="34" t="s">
        <v>4510</v>
      </c>
      <c r="D28" s="32">
        <f>D26+($D$50-$D$2)/BinDivisor</f>
        <v>0</v>
      </c>
      <c r="E28" s="3">
        <f>COUNTIF(Vertices[Degree],"&gt;= "&amp;D28)-COUNTIF(Vertices[Degree],"&gt;="&amp;D42)</f>
        <v>0</v>
      </c>
      <c r="F28" s="39">
        <f>F26+($F$50-$F$2)/BinDivisor</f>
        <v>23.4375</v>
      </c>
      <c r="G28" s="40">
        <f>COUNTIF(Vertices[In-Degree],"&gt;= "&amp;F28)-COUNTIF(Vertices[In-Degree],"&gt;="&amp;F42)</f>
        <v>2</v>
      </c>
      <c r="H28" s="39">
        <f>H26+($H$50-$H$2)/BinDivisor</f>
        <v>25.520833333333325</v>
      </c>
      <c r="I28" s="40">
        <f>COUNTIF(Vertices[Out-Degree],"&gt;= "&amp;H28)-COUNTIF(Vertices[Out-Degree],"&gt;="&amp;H42)</f>
        <v>0</v>
      </c>
      <c r="J28" s="39">
        <f>J26+($J$50-$J$2)/BinDivisor</f>
        <v>3051.147233333335</v>
      </c>
      <c r="K28" s="40">
        <f>COUNTIF(Vertices[Betweenness Centrality],"&gt;= "&amp;J28)-COUNTIF(Vertices[Betweenness Centrality],"&gt;="&amp;J42)</f>
        <v>0</v>
      </c>
      <c r="L28" s="39">
        <f>L26+($L$50-$L$2)/BinDivisor</f>
        <v>0.0017225208333333307</v>
      </c>
      <c r="M28" s="40">
        <f>COUNTIF(Vertices[Closeness Centrality],"&gt;= "&amp;L28)-COUNTIF(Vertices[Closeness Centrality],"&gt;="&amp;L42)</f>
        <v>0</v>
      </c>
      <c r="N28" s="39">
        <f>N26+($N$50-$N$2)/BinDivisor</f>
        <v>0.010049875</v>
      </c>
      <c r="O28" s="40">
        <f>COUNTIF(Vertices[Eigenvector Centrality],"&gt;= "&amp;N28)-COUNTIF(Vertices[Eigenvector Centrality],"&gt;="&amp;N42)</f>
        <v>1</v>
      </c>
      <c r="P28" s="39">
        <f>P26+($P$50-$P$2)/BinDivisor</f>
        <v>2.9663673333333342</v>
      </c>
      <c r="Q28" s="40">
        <f>COUNTIF(Vertices[PageRank],"&gt;= "&amp;P28)-COUNTIF(Vertices[PageRank],"&gt;="&amp;P42)</f>
        <v>1</v>
      </c>
      <c r="R28" s="39">
        <f>R26+($R$50-$R$2)/BinDivisor</f>
        <v>0.5208333333333331</v>
      </c>
      <c r="S28" s="44">
        <f>COUNTIF(Vertices[Clustering Coefficient],"&gt;= "&amp;R28)-COUNTIF(Vertices[Clustering Coefficient],"&gt;="&amp;R42)</f>
        <v>1</v>
      </c>
      <c r="T28" s="39" t="e">
        <f ca="1">T26+($T$50-$T$2)/BinDivisor</f>
        <v>#REF!</v>
      </c>
      <c r="U28" s="40" t="e">
        <f ca="1">COUNTIF(INDIRECT(DynamicFilterSourceColumnRange),"&gt;= "&amp;T28)-COUNTIF(INDIRECT(DynamicFilterSourceColumnRange),"&gt;="&amp;T42)</f>
        <v>#REF!</v>
      </c>
    </row>
    <row r="29" spans="1:21" ht="15">
      <c r="A29" s="118"/>
      <c r="B29" s="118"/>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4387</v>
      </c>
      <c r="B30" s="34" t="s">
        <v>4462</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4388</v>
      </c>
      <c r="B31" s="34" t="s">
        <v>1245</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409.5">
      <c r="A32" s="34" t="s">
        <v>4389</v>
      </c>
      <c r="B32" s="52" t="s">
        <v>4463</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4390</v>
      </c>
      <c r="B33" s="34" t="s">
        <v>4464</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4391</v>
      </c>
      <c r="B34" s="34" t="s">
        <v>4465</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34" t="s">
        <v>4392</v>
      </c>
      <c r="B35" s="34" t="s">
        <v>4100</v>
      </c>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4393</v>
      </c>
      <c r="B36" s="34" t="s">
        <v>4100</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34" t="s">
        <v>4394</v>
      </c>
      <c r="B37" s="34" t="s">
        <v>4100</v>
      </c>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4395</v>
      </c>
      <c r="B38" s="34"/>
      <c r="D38" s="32"/>
      <c r="E38" s="3">
        <f>COUNTIF(Vertices[Degree],"&gt;= "&amp;D38)-COUNTIF(Vertices[Degree],"&gt;="&amp;D42)</f>
        <v>0</v>
      </c>
      <c r="F38" s="62"/>
      <c r="G38" s="63">
        <f>COUNTIF(Vertices[In-Degree],"&gt;= "&amp;F38)-COUNTIF(Vertices[In-Degree],"&gt;="&amp;F42)</f>
        <v>-19</v>
      </c>
      <c r="H38" s="62"/>
      <c r="I38" s="63">
        <f>COUNTIF(Vertices[Out-Degree],"&gt;= "&amp;H38)-COUNTIF(Vertices[Out-Degree],"&gt;="&amp;H42)</f>
        <v>-42</v>
      </c>
      <c r="J38" s="62"/>
      <c r="K38" s="63">
        <f>COUNTIF(Vertices[Betweenness Centrality],"&gt;= "&amp;J38)-COUNTIF(Vertices[Betweenness Centrality],"&gt;="&amp;J42)</f>
        <v>-9</v>
      </c>
      <c r="L38" s="62"/>
      <c r="M38" s="63">
        <f>COUNTIF(Vertices[Closeness Centrality],"&gt;= "&amp;L38)-COUNTIF(Vertices[Closeness Centrality],"&gt;="&amp;L42)</f>
        <v>-51</v>
      </c>
      <c r="N38" s="62"/>
      <c r="O38" s="63">
        <f>COUNTIF(Vertices[Eigenvector Centrality],"&gt;= "&amp;N38)-COUNTIF(Vertices[Eigenvector Centrality],"&gt;="&amp;N42)</f>
        <v>-39</v>
      </c>
      <c r="P38" s="62"/>
      <c r="Q38" s="63">
        <f>COUNTIF(Vertices[Eigenvector Centrality],"&gt;= "&amp;P38)-COUNTIF(Vertices[Eigenvector Centrality],"&gt;="&amp;P42)</f>
        <v>0</v>
      </c>
      <c r="R38" s="62"/>
      <c r="S38" s="64">
        <f>COUNTIF(Vertices[Clustering Coefficient],"&gt;= "&amp;R38)-COUNTIF(Vertices[Clustering Coefficient],"&gt;="&amp;R42)</f>
        <v>-94</v>
      </c>
      <c r="T38" s="62"/>
      <c r="U38" s="63">
        <f ca="1">COUNTIF(Vertices[Clustering Coefficient],"&gt;= "&amp;T38)-COUNTIF(Vertices[Clustering Coefficient],"&gt;="&amp;T42)</f>
        <v>0</v>
      </c>
    </row>
    <row r="39" spans="1:21" ht="15">
      <c r="A39" s="34" t="s">
        <v>21</v>
      </c>
      <c r="B39" s="34" t="s">
        <v>33</v>
      </c>
      <c r="D39" s="32"/>
      <c r="E39" s="3">
        <f>COUNTIF(Vertices[Degree],"&gt;= "&amp;D39)-COUNTIF(Vertices[Degree],"&gt;="&amp;D42)</f>
        <v>0</v>
      </c>
      <c r="F39" s="62"/>
      <c r="G39" s="63">
        <f>COUNTIF(Vertices[In-Degree],"&gt;= "&amp;F39)-COUNTIF(Vertices[In-Degree],"&gt;="&amp;F42)</f>
        <v>-19</v>
      </c>
      <c r="H39" s="62"/>
      <c r="I39" s="63">
        <f>COUNTIF(Vertices[Out-Degree],"&gt;= "&amp;H39)-COUNTIF(Vertices[Out-Degree],"&gt;="&amp;H42)</f>
        <v>-42</v>
      </c>
      <c r="J39" s="62"/>
      <c r="K39" s="63">
        <f>COUNTIF(Vertices[Betweenness Centrality],"&gt;= "&amp;J39)-COUNTIF(Vertices[Betweenness Centrality],"&gt;="&amp;J42)</f>
        <v>-9</v>
      </c>
      <c r="L39" s="62"/>
      <c r="M39" s="63">
        <f>COUNTIF(Vertices[Closeness Centrality],"&gt;= "&amp;L39)-COUNTIF(Vertices[Closeness Centrality],"&gt;="&amp;L42)</f>
        <v>-51</v>
      </c>
      <c r="N39" s="62"/>
      <c r="O39" s="63">
        <f>COUNTIF(Vertices[Eigenvector Centrality],"&gt;= "&amp;N39)-COUNTIF(Vertices[Eigenvector Centrality],"&gt;="&amp;N42)</f>
        <v>-39</v>
      </c>
      <c r="P39" s="62"/>
      <c r="Q39" s="63">
        <f>COUNTIF(Vertices[Eigenvector Centrality],"&gt;= "&amp;P39)-COUNTIF(Vertices[Eigenvector Centrality],"&gt;="&amp;P42)</f>
        <v>0</v>
      </c>
      <c r="R39" s="62"/>
      <c r="S39" s="64">
        <f>COUNTIF(Vertices[Clustering Coefficient],"&gt;= "&amp;R39)-COUNTIF(Vertices[Clustering Coefficient],"&gt;="&amp;R42)</f>
        <v>-94</v>
      </c>
      <c r="T39" s="62"/>
      <c r="U39" s="63">
        <f ca="1">COUNTIF(Vertices[Clustering Coefficient],"&gt;= "&amp;T39)-COUNTIF(Vertices[Clustering Coefficient],"&gt;="&amp;T42)</f>
        <v>0</v>
      </c>
    </row>
    <row r="40" spans="1:21" ht="15">
      <c r="A40" s="34" t="s">
        <v>4396</v>
      </c>
      <c r="B40" s="34" t="s">
        <v>32</v>
      </c>
      <c r="D40" s="32"/>
      <c r="E40" s="3">
        <f>COUNTIF(Vertices[Degree],"&gt;= "&amp;D40)-COUNTIF(Vertices[Degree],"&gt;="&amp;D42)</f>
        <v>0</v>
      </c>
      <c r="F40" s="62"/>
      <c r="G40" s="63">
        <f>COUNTIF(Vertices[In-Degree],"&gt;= "&amp;F40)-COUNTIF(Vertices[In-Degree],"&gt;="&amp;F42)</f>
        <v>-19</v>
      </c>
      <c r="H40" s="62"/>
      <c r="I40" s="63">
        <f>COUNTIF(Vertices[Out-Degree],"&gt;= "&amp;H40)-COUNTIF(Vertices[Out-Degree],"&gt;="&amp;H42)</f>
        <v>-42</v>
      </c>
      <c r="J40" s="62"/>
      <c r="K40" s="63">
        <f>COUNTIF(Vertices[Betweenness Centrality],"&gt;= "&amp;J40)-COUNTIF(Vertices[Betweenness Centrality],"&gt;="&amp;J42)</f>
        <v>-9</v>
      </c>
      <c r="L40" s="62"/>
      <c r="M40" s="63">
        <f>COUNTIF(Vertices[Closeness Centrality],"&gt;= "&amp;L40)-COUNTIF(Vertices[Closeness Centrality],"&gt;="&amp;L42)</f>
        <v>-51</v>
      </c>
      <c r="N40" s="62"/>
      <c r="O40" s="63">
        <f>COUNTIF(Vertices[Eigenvector Centrality],"&gt;= "&amp;N40)-COUNTIF(Vertices[Eigenvector Centrality],"&gt;="&amp;N42)</f>
        <v>-39</v>
      </c>
      <c r="P40" s="62"/>
      <c r="Q40" s="63">
        <f>COUNTIF(Vertices[Eigenvector Centrality],"&gt;= "&amp;P40)-COUNTIF(Vertices[Eigenvector Centrality],"&gt;="&amp;P42)</f>
        <v>0</v>
      </c>
      <c r="R40" s="62"/>
      <c r="S40" s="64">
        <f>COUNTIF(Vertices[Clustering Coefficient],"&gt;= "&amp;R40)-COUNTIF(Vertices[Clustering Coefficient],"&gt;="&amp;R42)</f>
        <v>-94</v>
      </c>
      <c r="T40" s="62"/>
      <c r="U40" s="63">
        <f ca="1">COUNTIF(Vertices[Clustering Coefficient],"&gt;= "&amp;T40)-COUNTIF(Vertices[Clustering Coefficient],"&gt;="&amp;T42)</f>
        <v>0</v>
      </c>
    </row>
    <row r="41" spans="1:21" ht="15">
      <c r="A41" s="34" t="s">
        <v>4397</v>
      </c>
      <c r="B41" s="34"/>
      <c r="D41" s="32"/>
      <c r="E41" s="3">
        <f>COUNTIF(Vertices[Degree],"&gt;= "&amp;D41)-COUNTIF(Vertices[Degree],"&gt;="&amp;D42)</f>
        <v>0</v>
      </c>
      <c r="F41" s="62"/>
      <c r="G41" s="63">
        <f>COUNTIF(Vertices[In-Degree],"&gt;= "&amp;F41)-COUNTIF(Vertices[In-Degree],"&gt;="&amp;F42)</f>
        <v>-19</v>
      </c>
      <c r="H41" s="62"/>
      <c r="I41" s="63">
        <f>COUNTIF(Vertices[Out-Degree],"&gt;= "&amp;H41)-COUNTIF(Vertices[Out-Degree],"&gt;="&amp;H42)</f>
        <v>-42</v>
      </c>
      <c r="J41" s="62"/>
      <c r="K41" s="63">
        <f>COUNTIF(Vertices[Betweenness Centrality],"&gt;= "&amp;J41)-COUNTIF(Vertices[Betweenness Centrality],"&gt;="&amp;J42)</f>
        <v>-9</v>
      </c>
      <c r="L41" s="62"/>
      <c r="M41" s="63">
        <f>COUNTIF(Vertices[Closeness Centrality],"&gt;= "&amp;L41)-COUNTIF(Vertices[Closeness Centrality],"&gt;="&amp;L42)</f>
        <v>-51</v>
      </c>
      <c r="N41" s="62"/>
      <c r="O41" s="63">
        <f>COUNTIF(Vertices[Eigenvector Centrality],"&gt;= "&amp;N41)-COUNTIF(Vertices[Eigenvector Centrality],"&gt;="&amp;N42)</f>
        <v>-39</v>
      </c>
      <c r="P41" s="62"/>
      <c r="Q41" s="63">
        <f>COUNTIF(Vertices[Eigenvector Centrality],"&gt;= "&amp;P41)-COUNTIF(Vertices[Eigenvector Centrality],"&gt;="&amp;P42)</f>
        <v>0</v>
      </c>
      <c r="R41" s="62"/>
      <c r="S41" s="64">
        <f>COUNTIF(Vertices[Clustering Coefficient],"&gt;= "&amp;R41)-COUNTIF(Vertices[Clustering Coefficient],"&gt;="&amp;R42)</f>
        <v>-94</v>
      </c>
      <c r="T41" s="62"/>
      <c r="U41" s="63">
        <f ca="1">COUNTIF(Vertices[Clustering Coefficient],"&gt;= "&amp;T41)-COUNTIF(Vertices[Clustering Coefficient],"&gt;="&amp;T42)</f>
        <v>0</v>
      </c>
    </row>
    <row r="42" spans="1:21" ht="15">
      <c r="A42" s="34" t="s">
        <v>4398</v>
      </c>
      <c r="B42" s="34"/>
      <c r="D42" s="32">
        <f>D28+($D$50-$D$2)/BinDivisor</f>
        <v>0</v>
      </c>
      <c r="E42" s="3">
        <f>COUNTIF(Vertices[Degree],"&gt;= "&amp;D42)-COUNTIF(Vertices[Degree],"&gt;="&amp;D43)</f>
        <v>0</v>
      </c>
      <c r="F42" s="37">
        <f>F28+($F$50-$F$2)/BinDivisor</f>
        <v>24.375</v>
      </c>
      <c r="G42" s="38">
        <f>COUNTIF(Vertices[In-Degree],"&gt;= "&amp;F42)-COUNTIF(Vertices[In-Degree],"&gt;="&amp;F43)</f>
        <v>2</v>
      </c>
      <c r="H42" s="37">
        <f>H28+($H$50-$H$2)/BinDivisor</f>
        <v>26.541666666666657</v>
      </c>
      <c r="I42" s="38">
        <f>COUNTIF(Vertices[Out-Degree],"&gt;= "&amp;H42)-COUNTIF(Vertices[Out-Degree],"&gt;="&amp;H43)</f>
        <v>0</v>
      </c>
      <c r="J42" s="37">
        <f>J28+($J$50-$J$2)/BinDivisor</f>
        <v>3173.1931226666684</v>
      </c>
      <c r="K42" s="38">
        <f>COUNTIF(Vertices[Betweenness Centrality],"&gt;= "&amp;J42)-COUNTIF(Vertices[Betweenness Centrality],"&gt;="&amp;J43)</f>
        <v>1</v>
      </c>
      <c r="L42" s="37">
        <f>L28+($L$50-$L$2)/BinDivisor</f>
        <v>0.001745541666666664</v>
      </c>
      <c r="M42" s="38">
        <f>COUNTIF(Vertices[Closeness Centrality],"&gt;= "&amp;L42)-COUNTIF(Vertices[Closeness Centrality],"&gt;="&amp;L43)</f>
        <v>1</v>
      </c>
      <c r="N42" s="37">
        <f>N28+($N$50-$N$2)/BinDivisor</f>
        <v>0.01044875</v>
      </c>
      <c r="O42" s="38">
        <f>COUNTIF(Vertices[Eigenvector Centrality],"&gt;= "&amp;N42)-COUNTIF(Vertices[Eigenvector Centrality],"&gt;="&amp;N43)</f>
        <v>1</v>
      </c>
      <c r="P42" s="37">
        <f>P28+($P$50-$P$2)/BinDivisor</f>
        <v>3.0766006666666676</v>
      </c>
      <c r="Q42" s="38">
        <f>COUNTIF(Vertices[PageRank],"&gt;= "&amp;P42)-COUNTIF(Vertices[PageRank],"&gt;="&amp;P43)</f>
        <v>1</v>
      </c>
      <c r="R42" s="37">
        <f>R28+($R$50-$R$2)/BinDivisor</f>
        <v>0.5416666666666665</v>
      </c>
      <c r="S42" s="43">
        <f>COUNTIF(Vertices[Clustering Coefficient],"&gt;= "&amp;R42)-COUNTIF(Vertices[Clustering Coefficient],"&gt;="&amp;R43)</f>
        <v>3</v>
      </c>
      <c r="T42" s="37" t="e">
        <f ca="1">T28+($T$50-$T$2)/BinDivisor</f>
        <v>#REF!</v>
      </c>
      <c r="U42" s="38" t="e">
        <f ca="1" t="shared" si="0"/>
        <v>#REF!</v>
      </c>
    </row>
    <row r="43" spans="4:21" ht="15">
      <c r="D43" s="32">
        <f aca="true" t="shared" si="10" ref="D43:D49">D42+($D$50-$D$2)/BinDivisor</f>
        <v>0</v>
      </c>
      <c r="E43" s="3">
        <f>COUNTIF(Vertices[Degree],"&gt;= "&amp;D43)-COUNTIF(Vertices[Degree],"&gt;="&amp;D44)</f>
        <v>0</v>
      </c>
      <c r="F43" s="39">
        <f aca="true" t="shared" si="11" ref="F43:F49">F42+($F$50-$F$2)/BinDivisor</f>
        <v>25.3125</v>
      </c>
      <c r="G43" s="40">
        <f>COUNTIF(Vertices[In-Degree],"&gt;= "&amp;F43)-COUNTIF(Vertices[In-Degree],"&gt;="&amp;F44)</f>
        <v>2</v>
      </c>
      <c r="H43" s="39">
        <f aca="true" t="shared" si="12" ref="H43:H49">H42+($H$50-$H$2)/BinDivisor</f>
        <v>27.56249999999999</v>
      </c>
      <c r="I43" s="40">
        <f>COUNTIF(Vertices[Out-Degree],"&gt;= "&amp;H43)-COUNTIF(Vertices[Out-Degree],"&gt;="&amp;H44)</f>
        <v>1</v>
      </c>
      <c r="J43" s="39">
        <f aca="true" t="shared" si="13" ref="J43:J49">J42+($J$50-$J$2)/BinDivisor</f>
        <v>3295.239012000002</v>
      </c>
      <c r="K43" s="40">
        <f>COUNTIF(Vertices[Betweenness Centrality],"&gt;= "&amp;J43)-COUNTIF(Vertices[Betweenness Centrality],"&gt;="&amp;J44)</f>
        <v>1</v>
      </c>
      <c r="L43" s="39">
        <f aca="true" t="shared" si="14" ref="L43:L49">L42+($L$50-$L$2)/BinDivisor</f>
        <v>0.0017685624999999971</v>
      </c>
      <c r="M43" s="40">
        <f>COUNTIF(Vertices[Closeness Centrality],"&gt;= "&amp;L43)-COUNTIF(Vertices[Closeness Centrality],"&gt;="&amp;L44)</f>
        <v>3</v>
      </c>
      <c r="N43" s="39">
        <f aca="true" t="shared" si="15" ref="N43:N49">N42+($N$50-$N$2)/BinDivisor</f>
        <v>0.010847625</v>
      </c>
      <c r="O43" s="40">
        <f>COUNTIF(Vertices[Eigenvector Centrality],"&gt;= "&amp;N43)-COUNTIF(Vertices[Eigenvector Centrality],"&gt;="&amp;N44)</f>
        <v>0</v>
      </c>
      <c r="P43" s="39">
        <f aca="true" t="shared" si="16" ref="P43:P49">P42+($P$50-$P$2)/BinDivisor</f>
        <v>3.186834000000001</v>
      </c>
      <c r="Q43" s="40">
        <f>COUNTIF(Vertices[PageRank],"&gt;= "&amp;P43)-COUNTIF(Vertices[PageRank],"&gt;="&amp;P44)</f>
        <v>5</v>
      </c>
      <c r="R43" s="39">
        <f aca="true" t="shared" si="17" ref="R43:R49">R42+($R$50-$R$2)/BinDivisor</f>
        <v>0.5624999999999999</v>
      </c>
      <c r="S43" s="44">
        <f>COUNTIF(Vertices[Clustering Coefficient],"&gt;= "&amp;R43)-COUNTIF(Vertices[Clustering Coefficient],"&gt;="&amp;R44)</f>
        <v>1</v>
      </c>
      <c r="T43" s="39" t="e">
        <f aca="true" t="shared" si="18" ref="T43:T49">T42+($T$50-$T$2)/BinDivisor</f>
        <v>#REF!</v>
      </c>
      <c r="U43" s="40" t="e">
        <f ca="1" t="shared" si="0"/>
        <v>#REF!</v>
      </c>
    </row>
    <row r="44" spans="4:21" ht="15">
      <c r="D44" s="32">
        <f t="shared" si="10"/>
        <v>0</v>
      </c>
      <c r="E44" s="3">
        <f>COUNTIF(Vertices[Degree],"&gt;= "&amp;D44)-COUNTIF(Vertices[Degree],"&gt;="&amp;D45)</f>
        <v>0</v>
      </c>
      <c r="F44" s="37">
        <f t="shared" si="11"/>
        <v>26.25</v>
      </c>
      <c r="G44" s="38">
        <f>COUNTIF(Vertices[In-Degree],"&gt;= "&amp;F44)-COUNTIF(Vertices[In-Degree],"&gt;="&amp;F45)</f>
        <v>1</v>
      </c>
      <c r="H44" s="37">
        <f t="shared" si="12"/>
        <v>28.58333333333332</v>
      </c>
      <c r="I44" s="38">
        <f>COUNTIF(Vertices[Out-Degree],"&gt;= "&amp;H44)-COUNTIF(Vertices[Out-Degree],"&gt;="&amp;H45)</f>
        <v>1</v>
      </c>
      <c r="J44" s="37">
        <f t="shared" si="13"/>
        <v>3417.2849013333353</v>
      </c>
      <c r="K44" s="38">
        <f>COUNTIF(Vertices[Betweenness Centrality],"&gt;= "&amp;J44)-COUNTIF(Vertices[Betweenness Centrality],"&gt;="&amp;J45)</f>
        <v>1</v>
      </c>
      <c r="L44" s="37">
        <f t="shared" si="14"/>
        <v>0.0017915833333333304</v>
      </c>
      <c r="M44" s="38">
        <f>COUNTIF(Vertices[Closeness Centrality],"&gt;= "&amp;L44)-COUNTIF(Vertices[Closeness Centrality],"&gt;="&amp;L45)</f>
        <v>1</v>
      </c>
      <c r="N44" s="37">
        <f t="shared" si="15"/>
        <v>0.0112465</v>
      </c>
      <c r="O44" s="38">
        <f>COUNTIF(Vertices[Eigenvector Centrality],"&gt;= "&amp;N44)-COUNTIF(Vertices[Eigenvector Centrality],"&gt;="&amp;N45)</f>
        <v>0</v>
      </c>
      <c r="P44" s="37">
        <f t="shared" si="16"/>
        <v>3.2970673333333345</v>
      </c>
      <c r="Q44" s="38">
        <f>COUNTIF(Vertices[PageRank],"&gt;= "&amp;P44)-COUNTIF(Vertices[PageRank],"&gt;="&amp;P45)</f>
        <v>2</v>
      </c>
      <c r="R44" s="37">
        <f t="shared" si="17"/>
        <v>0.5833333333333333</v>
      </c>
      <c r="S44" s="43">
        <f>COUNTIF(Vertices[Clustering Coefficient],"&gt;= "&amp;R44)-COUNTIF(Vertices[Clustering Coefficient],"&gt;="&amp;R45)</f>
        <v>3</v>
      </c>
      <c r="T44" s="37" t="e">
        <f ca="1" t="shared" si="18"/>
        <v>#REF!</v>
      </c>
      <c r="U44" s="38" t="e">
        <f ca="1" t="shared" si="0"/>
        <v>#REF!</v>
      </c>
    </row>
    <row r="45" spans="4:21" ht="15">
      <c r="D45" s="32">
        <f t="shared" si="10"/>
        <v>0</v>
      </c>
      <c r="E45" s="3">
        <f>COUNTIF(Vertices[Degree],"&gt;= "&amp;D45)-COUNTIF(Vertices[Degree],"&gt;="&amp;D46)</f>
        <v>0</v>
      </c>
      <c r="F45" s="39">
        <f t="shared" si="11"/>
        <v>27.1875</v>
      </c>
      <c r="G45" s="40">
        <f>COUNTIF(Vertices[In-Degree],"&gt;= "&amp;F45)-COUNTIF(Vertices[In-Degree],"&gt;="&amp;F46)</f>
        <v>3</v>
      </c>
      <c r="H45" s="39">
        <f t="shared" si="12"/>
        <v>29.604166666666654</v>
      </c>
      <c r="I45" s="40">
        <f>COUNTIF(Vertices[Out-Degree],"&gt;= "&amp;H45)-COUNTIF(Vertices[Out-Degree],"&gt;="&amp;H46)</f>
        <v>1</v>
      </c>
      <c r="J45" s="39">
        <f t="shared" si="13"/>
        <v>3539.3307906666687</v>
      </c>
      <c r="K45" s="40">
        <f>COUNTIF(Vertices[Betweenness Centrality],"&gt;= "&amp;J45)-COUNTIF(Vertices[Betweenness Centrality],"&gt;="&amp;J46)</f>
        <v>0</v>
      </c>
      <c r="L45" s="39">
        <f t="shared" si="14"/>
        <v>0.0018146041666666636</v>
      </c>
      <c r="M45" s="40">
        <f>COUNTIF(Vertices[Closeness Centrality],"&gt;= "&amp;L45)-COUNTIF(Vertices[Closeness Centrality],"&gt;="&amp;L46)</f>
        <v>1</v>
      </c>
      <c r="N45" s="39">
        <f t="shared" si="15"/>
        <v>0.011645375</v>
      </c>
      <c r="O45" s="40">
        <f>COUNTIF(Vertices[Eigenvector Centrality],"&gt;= "&amp;N45)-COUNTIF(Vertices[Eigenvector Centrality],"&gt;="&amp;N46)</f>
        <v>1</v>
      </c>
      <c r="P45" s="39">
        <f t="shared" si="16"/>
        <v>3.407300666666668</v>
      </c>
      <c r="Q45" s="40">
        <f>COUNTIF(Vertices[PageRank],"&gt;= "&amp;P45)-COUNTIF(Vertices[PageRank],"&gt;="&amp;P46)</f>
        <v>2</v>
      </c>
      <c r="R45" s="39">
        <f t="shared" si="17"/>
        <v>0.6041666666666666</v>
      </c>
      <c r="S45" s="44">
        <f>COUNTIF(Vertices[Clustering Coefficient],"&gt;= "&amp;R45)-COUNTIF(Vertices[Clustering Coefficient],"&gt;="&amp;R46)</f>
        <v>1</v>
      </c>
      <c r="T45" s="39" t="e">
        <f ca="1" t="shared" si="18"/>
        <v>#REF!</v>
      </c>
      <c r="U45" s="40" t="e">
        <f ca="1" t="shared" si="0"/>
        <v>#REF!</v>
      </c>
    </row>
    <row r="46" spans="4:21" ht="15">
      <c r="D46" s="32">
        <f t="shared" si="10"/>
        <v>0</v>
      </c>
      <c r="E46" s="3">
        <f>COUNTIF(Vertices[Degree],"&gt;= "&amp;D46)-COUNTIF(Vertices[Degree],"&gt;="&amp;D47)</f>
        <v>0</v>
      </c>
      <c r="F46" s="37">
        <f t="shared" si="11"/>
        <v>28.125</v>
      </c>
      <c r="G46" s="38">
        <f>COUNTIF(Vertices[In-Degree],"&gt;= "&amp;F46)-COUNTIF(Vertices[In-Degree],"&gt;="&amp;F47)</f>
        <v>2</v>
      </c>
      <c r="H46" s="37">
        <f t="shared" si="12"/>
        <v>30.624999999999986</v>
      </c>
      <c r="I46" s="38">
        <f>COUNTIF(Vertices[Out-Degree],"&gt;= "&amp;H46)-COUNTIF(Vertices[Out-Degree],"&gt;="&amp;H47)</f>
        <v>1</v>
      </c>
      <c r="J46" s="37">
        <f t="shared" si="13"/>
        <v>3661.376680000002</v>
      </c>
      <c r="K46" s="38">
        <f>COUNTIF(Vertices[Betweenness Centrality],"&gt;= "&amp;J46)-COUNTIF(Vertices[Betweenness Centrality],"&gt;="&amp;J47)</f>
        <v>1</v>
      </c>
      <c r="L46" s="37">
        <f t="shared" si="14"/>
        <v>0.0018376249999999968</v>
      </c>
      <c r="M46" s="38">
        <f>COUNTIF(Vertices[Closeness Centrality],"&gt;= "&amp;L46)-COUNTIF(Vertices[Closeness Centrality],"&gt;="&amp;L47)</f>
        <v>2</v>
      </c>
      <c r="N46" s="37">
        <f t="shared" si="15"/>
        <v>0.01204425</v>
      </c>
      <c r="O46" s="38">
        <f>COUNTIF(Vertices[Eigenvector Centrality],"&gt;= "&amp;N46)-COUNTIF(Vertices[Eigenvector Centrality],"&gt;="&amp;N47)</f>
        <v>1</v>
      </c>
      <c r="P46" s="37">
        <f t="shared" si="16"/>
        <v>3.5175340000000013</v>
      </c>
      <c r="Q46" s="38">
        <f>COUNTIF(Vertices[PageRank],"&gt;= "&amp;P46)-COUNTIF(Vertices[PageRank],"&gt;="&amp;P47)</f>
        <v>4</v>
      </c>
      <c r="R46" s="37">
        <f t="shared" si="17"/>
        <v>0.625</v>
      </c>
      <c r="S46" s="43">
        <f>COUNTIF(Vertices[Clustering Coefficient],"&gt;= "&amp;R46)-COUNTIF(Vertices[Clustering Coefficient],"&gt;="&amp;R47)</f>
        <v>2</v>
      </c>
      <c r="T46" s="37" t="e">
        <f ca="1" t="shared" si="18"/>
        <v>#REF!</v>
      </c>
      <c r="U46" s="38" t="e">
        <f ca="1" t="shared" si="0"/>
        <v>#REF!</v>
      </c>
    </row>
    <row r="47" spans="4:21" ht="15">
      <c r="D47" s="32">
        <f t="shared" si="10"/>
        <v>0</v>
      </c>
      <c r="E47" s="3">
        <f>COUNTIF(Vertices[Degree],"&gt;= "&amp;D47)-COUNTIF(Vertices[Degree],"&gt;="&amp;D48)</f>
        <v>0</v>
      </c>
      <c r="F47" s="39">
        <f t="shared" si="11"/>
        <v>29.0625</v>
      </c>
      <c r="G47" s="40">
        <f>COUNTIF(Vertices[In-Degree],"&gt;= "&amp;F47)-COUNTIF(Vertices[In-Degree],"&gt;="&amp;F48)</f>
        <v>0</v>
      </c>
      <c r="H47" s="39">
        <f t="shared" si="12"/>
        <v>31.645833333333318</v>
      </c>
      <c r="I47" s="40">
        <f>COUNTIF(Vertices[Out-Degree],"&gt;= "&amp;H47)-COUNTIF(Vertices[Out-Degree],"&gt;="&amp;H48)</f>
        <v>0</v>
      </c>
      <c r="J47" s="39">
        <f t="shared" si="13"/>
        <v>3783.4225693333356</v>
      </c>
      <c r="K47" s="40">
        <f>COUNTIF(Vertices[Betweenness Centrality],"&gt;= "&amp;J47)-COUNTIF(Vertices[Betweenness Centrality],"&gt;="&amp;J48)</f>
        <v>0</v>
      </c>
      <c r="L47" s="39">
        <f t="shared" si="14"/>
        <v>0.00186064583333333</v>
      </c>
      <c r="M47" s="40">
        <f>COUNTIF(Vertices[Closeness Centrality],"&gt;= "&amp;L47)-COUNTIF(Vertices[Closeness Centrality],"&gt;="&amp;L48)</f>
        <v>1</v>
      </c>
      <c r="N47" s="39">
        <f t="shared" si="15"/>
        <v>0.012443125</v>
      </c>
      <c r="O47" s="40">
        <f>COUNTIF(Vertices[Eigenvector Centrality],"&gt;= "&amp;N47)-COUNTIF(Vertices[Eigenvector Centrality],"&gt;="&amp;N48)</f>
        <v>2</v>
      </c>
      <c r="P47" s="39">
        <f t="shared" si="16"/>
        <v>3.6277673333333347</v>
      </c>
      <c r="Q47" s="40">
        <f>COUNTIF(Vertices[PageRank],"&gt;= "&amp;P47)-COUNTIF(Vertices[PageRank],"&gt;="&amp;P48)</f>
        <v>6</v>
      </c>
      <c r="R47" s="39">
        <f t="shared" si="17"/>
        <v>0.6458333333333334</v>
      </c>
      <c r="S47" s="44">
        <f>COUNTIF(Vertices[Clustering Coefficient],"&gt;= "&amp;R47)-COUNTIF(Vertices[Clustering Coefficient],"&gt;="&amp;R48)</f>
        <v>3</v>
      </c>
      <c r="T47" s="39" t="e">
        <f ca="1" t="shared" si="18"/>
        <v>#REF!</v>
      </c>
      <c r="U47" s="40" t="e">
        <f ca="1" t="shared" si="0"/>
        <v>#REF!</v>
      </c>
    </row>
    <row r="48" spans="4:21" ht="15">
      <c r="D48" s="32">
        <f t="shared" si="10"/>
        <v>0</v>
      </c>
      <c r="E48" s="3">
        <f>COUNTIF(Vertices[Degree],"&gt;= "&amp;D48)-COUNTIF(Vertices[Degree],"&gt;="&amp;D49)</f>
        <v>0</v>
      </c>
      <c r="F48" s="37">
        <f t="shared" si="11"/>
        <v>30</v>
      </c>
      <c r="G48" s="38">
        <f>COUNTIF(Vertices[In-Degree],"&gt;= "&amp;F48)-COUNTIF(Vertices[In-Degree],"&gt;="&amp;F49)</f>
        <v>2</v>
      </c>
      <c r="H48" s="37">
        <f t="shared" si="12"/>
        <v>32.66666666666665</v>
      </c>
      <c r="I48" s="38">
        <f>COUNTIF(Vertices[Out-Degree],"&gt;= "&amp;H48)-COUNTIF(Vertices[Out-Degree],"&gt;="&amp;H49)</f>
        <v>0</v>
      </c>
      <c r="J48" s="37">
        <f t="shared" si="13"/>
        <v>3905.468458666669</v>
      </c>
      <c r="K48" s="38">
        <f>COUNTIF(Vertices[Betweenness Centrality],"&gt;= "&amp;J48)-COUNTIF(Vertices[Betweenness Centrality],"&gt;="&amp;J49)</f>
        <v>0</v>
      </c>
      <c r="L48" s="37">
        <f t="shared" si="14"/>
        <v>0.0018836666666666633</v>
      </c>
      <c r="M48" s="38">
        <f>COUNTIF(Vertices[Closeness Centrality],"&gt;= "&amp;L48)-COUNTIF(Vertices[Closeness Centrality],"&gt;="&amp;L49)</f>
        <v>1</v>
      </c>
      <c r="N48" s="37">
        <f t="shared" si="15"/>
        <v>0.012842</v>
      </c>
      <c r="O48" s="38">
        <f>COUNTIF(Vertices[Eigenvector Centrality],"&gt;= "&amp;N48)-COUNTIF(Vertices[Eigenvector Centrality],"&gt;="&amp;N49)</f>
        <v>1</v>
      </c>
      <c r="P48" s="37">
        <f t="shared" si="16"/>
        <v>3.738000666666668</v>
      </c>
      <c r="Q48" s="38">
        <f>COUNTIF(Vertices[PageRank],"&gt;= "&amp;P48)-COUNTIF(Vertices[PageRank],"&gt;="&amp;P49)</f>
        <v>3</v>
      </c>
      <c r="R48" s="37">
        <f t="shared" si="17"/>
        <v>0.6666666666666667</v>
      </c>
      <c r="S48" s="43">
        <f>COUNTIF(Vertices[Clustering Coefficient],"&gt;= "&amp;R48)-COUNTIF(Vertices[Clustering Coefficient],"&gt;="&amp;R49)</f>
        <v>14</v>
      </c>
      <c r="T48" s="37" t="e">
        <f ca="1" t="shared" si="18"/>
        <v>#REF!</v>
      </c>
      <c r="U48" s="38" t="e">
        <f ca="1" t="shared" si="0"/>
        <v>#REF!</v>
      </c>
    </row>
    <row r="49" spans="4:21" ht="15">
      <c r="D49" s="32">
        <f t="shared" si="10"/>
        <v>0</v>
      </c>
      <c r="E49" s="3">
        <f>COUNTIF(Vertices[Degree],"&gt;= "&amp;D49)-COUNTIF(Vertices[Degree],"&gt;="&amp;#REF!)</f>
        <v>0</v>
      </c>
      <c r="F49" s="39">
        <f t="shared" si="11"/>
        <v>30.9375</v>
      </c>
      <c r="G49" s="40">
        <f>COUNTIF(Vertices[In-Degree],"&gt;= "&amp;F49)-COUNTIF(Vertices[In-Degree],"&gt;="&amp;#REF!)</f>
        <v>7</v>
      </c>
      <c r="H49" s="39">
        <f t="shared" si="12"/>
        <v>33.687499999999986</v>
      </c>
      <c r="I49" s="40">
        <f>COUNTIF(Vertices[Out-Degree],"&gt;= "&amp;H49)-COUNTIF(Vertices[Out-Degree],"&gt;="&amp;#REF!)</f>
        <v>38</v>
      </c>
      <c r="J49" s="39">
        <f t="shared" si="13"/>
        <v>4027.5143480000024</v>
      </c>
      <c r="K49" s="40">
        <f>COUNTIF(Vertices[Betweenness Centrality],"&gt;= "&amp;J49)-COUNTIF(Vertices[Betweenness Centrality],"&gt;="&amp;#REF!)</f>
        <v>5</v>
      </c>
      <c r="L49" s="39">
        <f t="shared" si="14"/>
        <v>0.0019066874999999965</v>
      </c>
      <c r="M49" s="40">
        <f>COUNTIF(Vertices[Closeness Centrality],"&gt;= "&amp;L49)-COUNTIF(Vertices[Closeness Centrality],"&gt;="&amp;#REF!)</f>
        <v>41</v>
      </c>
      <c r="N49" s="39">
        <f t="shared" si="15"/>
        <v>0.013240875</v>
      </c>
      <c r="O49" s="40">
        <f>COUNTIF(Vertices[Eigenvector Centrality],"&gt;= "&amp;N49)-COUNTIF(Vertices[Eigenvector Centrality],"&gt;="&amp;#REF!)</f>
        <v>33</v>
      </c>
      <c r="P49" s="39">
        <f t="shared" si="16"/>
        <v>3.8482340000000015</v>
      </c>
      <c r="Q49" s="40">
        <f>COUNTIF(Vertices[PageRank],"&gt;= "&amp;P49)-COUNTIF(Vertices[PageRank],"&gt;="&amp;#REF!)</f>
        <v>12</v>
      </c>
      <c r="R49" s="39">
        <f t="shared" si="17"/>
        <v>0.6875000000000001</v>
      </c>
      <c r="S49" s="44">
        <f>COUNTIF(Vertices[Clustering Coefficient],"&gt;= "&amp;R49)-COUNTIF(Vertices[Clustering Coefficient],"&gt;="&amp;#REF!)</f>
        <v>67</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45</v>
      </c>
      <c r="G50" s="42">
        <f>COUNTIF(Vertices[In-Degree],"&gt;= "&amp;F50)-COUNTIF(Vertices[In-Degree],"&gt;="&amp;#REF!)</f>
        <v>2</v>
      </c>
      <c r="H50" s="41">
        <f>MAX(Vertices[Out-Degree])</f>
        <v>49</v>
      </c>
      <c r="I50" s="42">
        <f>COUNTIF(Vertices[Out-Degree],"&gt;= "&amp;H50)-COUNTIF(Vertices[Out-Degree],"&gt;="&amp;#REF!)</f>
        <v>3</v>
      </c>
      <c r="J50" s="41">
        <f>MAX(Vertices[Betweenness Centrality])</f>
        <v>5858.202688</v>
      </c>
      <c r="K50" s="42">
        <f>COUNTIF(Vertices[Betweenness Centrality],"&gt;= "&amp;J50)-COUNTIF(Vertices[Betweenness Centrality],"&gt;="&amp;#REF!)</f>
        <v>1</v>
      </c>
      <c r="L50" s="41">
        <f>MAX(Vertices[Closeness Centrality])</f>
        <v>0.002252</v>
      </c>
      <c r="M50" s="42">
        <f>COUNTIF(Vertices[Closeness Centrality],"&gt;= "&amp;L50)-COUNTIF(Vertices[Closeness Centrality],"&gt;="&amp;#REF!)</f>
        <v>2</v>
      </c>
      <c r="N50" s="41">
        <f>MAX(Vertices[Eigenvector Centrality])</f>
        <v>0.019224</v>
      </c>
      <c r="O50" s="42">
        <f>COUNTIF(Vertices[Eigenvector Centrality],"&gt;= "&amp;N50)-COUNTIF(Vertices[Eigenvector Centrality],"&gt;="&amp;#REF!)</f>
        <v>1</v>
      </c>
      <c r="P50" s="41">
        <f>MAX(Vertices[PageRank])</f>
        <v>5.501734</v>
      </c>
      <c r="Q50" s="42">
        <f>COUNTIF(Vertices[PageRank],"&gt;= "&amp;P50)-COUNTIF(Vertices[PageRank],"&gt;="&amp;#REF!)</f>
        <v>1</v>
      </c>
      <c r="R50" s="41">
        <f>MAX(Vertices[Clustering Coefficient])</f>
        <v>1</v>
      </c>
      <c r="S50" s="45">
        <f>COUNTIF(Vertices[Clustering Coefficient],"&gt;= "&amp;R50)-COUNTIF(Vertices[Clustering Coefficient],"&gt;="&amp;#REF!)</f>
        <v>40</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45</v>
      </c>
    </row>
    <row r="82" spans="1:2" ht="15">
      <c r="A82" s="33" t="s">
        <v>90</v>
      </c>
      <c r="B82" s="47">
        <f>_xlfn.IFERROR(AVERAGE(Vertices[In-Degree]),NoMetricMessage)</f>
        <v>7.276923076923077</v>
      </c>
    </row>
    <row r="83" spans="1:2" ht="15">
      <c r="A83" s="33" t="s">
        <v>91</v>
      </c>
      <c r="B83" s="47">
        <f>_xlfn.IFERROR(MEDIAN(Vertices[In-Degree]),NoMetricMessage)</f>
        <v>3</v>
      </c>
    </row>
    <row r="94" spans="1:2" ht="15">
      <c r="A94" s="33" t="s">
        <v>94</v>
      </c>
      <c r="B94" s="46">
        <f>IF(COUNT(Vertices[Out-Degree])&gt;0,H2,NoMetricMessage)</f>
        <v>0</v>
      </c>
    </row>
    <row r="95" spans="1:2" ht="15">
      <c r="A95" s="33" t="s">
        <v>95</v>
      </c>
      <c r="B95" s="46">
        <f>IF(COUNT(Vertices[Out-Degree])&gt;0,H50,NoMetricMessage)</f>
        <v>49</v>
      </c>
    </row>
    <row r="96" spans="1:2" ht="15">
      <c r="A96" s="33" t="s">
        <v>96</v>
      </c>
      <c r="B96" s="47">
        <f>_xlfn.IFERROR(AVERAGE(Vertices[Out-Degree]),NoMetricMessage)</f>
        <v>7.276923076923077</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5858.202688</v>
      </c>
    </row>
    <row r="110" spans="1:2" ht="15">
      <c r="A110" s="33" t="s">
        <v>102</v>
      </c>
      <c r="B110" s="47">
        <f>_xlfn.IFERROR(AVERAGE(Vertices[Betweenness Centrality]),NoMetricMessage)</f>
        <v>388.0384615384618</v>
      </c>
    </row>
    <row r="111" spans="1:2" ht="15">
      <c r="A111" s="33" t="s">
        <v>103</v>
      </c>
      <c r="B111" s="47">
        <f>_xlfn.IFERROR(MEDIAN(Vertices[Betweenness Centrality]),NoMetricMessage)</f>
        <v>0.299465</v>
      </c>
    </row>
    <row r="122" spans="1:2" ht="15">
      <c r="A122" s="33" t="s">
        <v>106</v>
      </c>
      <c r="B122" s="47">
        <f>IF(COUNT(Vertices[Closeness Centrality])&gt;0,L2,NoMetricMessage)</f>
        <v>0.001147</v>
      </c>
    </row>
    <row r="123" spans="1:2" ht="15">
      <c r="A123" s="33" t="s">
        <v>107</v>
      </c>
      <c r="B123" s="47">
        <f>IF(COUNT(Vertices[Closeness Centrality])&gt;0,L50,NoMetricMessage)</f>
        <v>0.002252</v>
      </c>
    </row>
    <row r="124" spans="1:2" ht="15">
      <c r="A124" s="33" t="s">
        <v>108</v>
      </c>
      <c r="B124" s="47">
        <f>_xlfn.IFERROR(AVERAGE(Vertices[Closeness Centrality]),NoMetricMessage)</f>
        <v>0.0015769461538461553</v>
      </c>
    </row>
    <row r="125" spans="1:2" ht="15">
      <c r="A125" s="33" t="s">
        <v>109</v>
      </c>
      <c r="B125" s="47">
        <f>_xlfn.IFERROR(MEDIAN(Vertices[Closeness Centrality]),NoMetricMessage)</f>
        <v>0.001474</v>
      </c>
    </row>
    <row r="136" spans="1:2" ht="15">
      <c r="A136" s="33" t="s">
        <v>112</v>
      </c>
      <c r="B136" s="47">
        <f>IF(COUNT(Vertices[Eigenvector Centrality])&gt;0,N2,NoMetricMessage)</f>
        <v>7.8E-05</v>
      </c>
    </row>
    <row r="137" spans="1:2" ht="15">
      <c r="A137" s="33" t="s">
        <v>113</v>
      </c>
      <c r="B137" s="47">
        <f>IF(COUNT(Vertices[Eigenvector Centrality])&gt;0,N50,NoMetricMessage)</f>
        <v>0.019224</v>
      </c>
    </row>
    <row r="138" spans="1:2" ht="15">
      <c r="A138" s="33" t="s">
        <v>114</v>
      </c>
      <c r="B138" s="47">
        <f>_xlfn.IFERROR(AVERAGE(Vertices[Eigenvector Centrality]),NoMetricMessage)</f>
        <v>0.0038461615384615447</v>
      </c>
    </row>
    <row r="139" spans="1:2" ht="15">
      <c r="A139" s="33" t="s">
        <v>115</v>
      </c>
      <c r="B139" s="47">
        <f>_xlfn.IFERROR(MEDIAN(Vertices[Eigenvector Centrality]),NoMetricMessage)</f>
        <v>0.0012555</v>
      </c>
    </row>
    <row r="150" spans="1:2" ht="15">
      <c r="A150" s="33" t="s">
        <v>140</v>
      </c>
      <c r="B150" s="47">
        <f>IF(COUNT(Vertices[PageRank])&gt;0,P2,NoMetricMessage)</f>
        <v>0.210534</v>
      </c>
    </row>
    <row r="151" spans="1:2" ht="15">
      <c r="A151" s="33" t="s">
        <v>141</v>
      </c>
      <c r="B151" s="47">
        <f>IF(COUNT(Vertices[PageRank])&gt;0,P50,NoMetricMessage)</f>
        <v>5.501734</v>
      </c>
    </row>
    <row r="152" spans="1:2" ht="15">
      <c r="A152" s="33" t="s">
        <v>142</v>
      </c>
      <c r="B152" s="47">
        <f>_xlfn.IFERROR(AVERAGE(Vertices[PageRank]),NoMetricMessage)</f>
        <v>0.9999980846153851</v>
      </c>
    </row>
    <row r="153" spans="1:2" ht="15">
      <c r="A153" s="33" t="s">
        <v>143</v>
      </c>
      <c r="B153" s="47">
        <f>_xlfn.IFERROR(MEDIAN(Vertices[PageRank]),NoMetricMessage)</f>
        <v>0.3453185</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0.5023111818174901</v>
      </c>
    </row>
    <row r="167" spans="1:2" ht="15">
      <c r="A167" s="33" t="s">
        <v>121</v>
      </c>
      <c r="B167" s="47">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65" t="s">
        <v>197</v>
      </c>
    </row>
    <row r="10" spans="1:11" ht="15">
      <c r="A10"/>
      <c r="B10">
        <v>4</v>
      </c>
      <c r="D10" t="s">
        <v>63</v>
      </c>
      <c r="E10" t="s">
        <v>63</v>
      </c>
      <c r="H10" t="s">
        <v>75</v>
      </c>
      <c r="J10" t="s">
        <v>177</v>
      </c>
      <c r="K10" t="s">
        <v>198</v>
      </c>
    </row>
    <row r="11" spans="1:11" ht="15">
      <c r="A11"/>
      <c r="B11">
        <v>5</v>
      </c>
      <c r="D11" t="s">
        <v>46</v>
      </c>
      <c r="E11">
        <v>1</v>
      </c>
      <c r="H11" t="s">
        <v>76</v>
      </c>
      <c r="J11" t="s">
        <v>178</v>
      </c>
      <c r="K11" t="s">
        <v>199</v>
      </c>
    </row>
    <row r="12" spans="1:11" ht="15">
      <c r="A12"/>
      <c r="B12"/>
      <c r="D12" t="s">
        <v>64</v>
      </c>
      <c r="E12">
        <v>2</v>
      </c>
      <c r="H12">
        <v>0</v>
      </c>
      <c r="J12" t="s">
        <v>179</v>
      </c>
      <c r="K12" t="s">
        <v>200</v>
      </c>
    </row>
    <row r="13" spans="1:11" ht="15">
      <c r="A13"/>
      <c r="B13"/>
      <c r="D13">
        <v>1</v>
      </c>
      <c r="E13">
        <v>3</v>
      </c>
      <c r="H13">
        <v>1</v>
      </c>
      <c r="J13" t="s">
        <v>180</v>
      </c>
      <c r="K13" t="s">
        <v>201</v>
      </c>
    </row>
    <row r="14" spans="4:11" ht="15">
      <c r="D14">
        <v>2</v>
      </c>
      <c r="E14">
        <v>4</v>
      </c>
      <c r="H14">
        <v>2</v>
      </c>
      <c r="J14" t="s">
        <v>181</v>
      </c>
      <c r="K14" t="s">
        <v>202</v>
      </c>
    </row>
    <row r="15" spans="4:11" ht="15">
      <c r="D15">
        <v>3</v>
      </c>
      <c r="E15">
        <v>5</v>
      </c>
      <c r="H15">
        <v>3</v>
      </c>
      <c r="J15" t="s">
        <v>182</v>
      </c>
      <c r="K15" t="s">
        <v>203</v>
      </c>
    </row>
    <row r="16" spans="4:11" ht="15">
      <c r="D16">
        <v>4</v>
      </c>
      <c r="E16">
        <v>6</v>
      </c>
      <c r="H16">
        <v>4</v>
      </c>
      <c r="J16" t="s">
        <v>183</v>
      </c>
      <c r="K16" t="s">
        <v>204</v>
      </c>
    </row>
    <row r="17" spans="4:11" ht="15">
      <c r="D17">
        <v>5</v>
      </c>
      <c r="E17">
        <v>7</v>
      </c>
      <c r="H17">
        <v>5</v>
      </c>
      <c r="J17" t="s">
        <v>184</v>
      </c>
      <c r="K17" t="s">
        <v>205</v>
      </c>
    </row>
    <row r="18" spans="4:11" ht="15">
      <c r="D18">
        <v>6</v>
      </c>
      <c r="E18">
        <v>8</v>
      </c>
      <c r="H18">
        <v>6</v>
      </c>
      <c r="J18" t="s">
        <v>185</v>
      </c>
      <c r="K18" t="s">
        <v>206</v>
      </c>
    </row>
    <row r="19" spans="4:11" ht="15">
      <c r="D19">
        <v>7</v>
      </c>
      <c r="E19">
        <v>9</v>
      </c>
      <c r="H19">
        <v>7</v>
      </c>
      <c r="J19" t="s">
        <v>186</v>
      </c>
      <c r="K19" t="s">
        <v>207</v>
      </c>
    </row>
    <row r="20" spans="4:11" ht="15">
      <c r="D20">
        <v>8</v>
      </c>
      <c r="H20">
        <v>8</v>
      </c>
      <c r="J20" t="s">
        <v>187</v>
      </c>
      <c r="K20" t="s">
        <v>208</v>
      </c>
    </row>
    <row r="21" spans="4:11" ht="409.5">
      <c r="D21">
        <v>9</v>
      </c>
      <c r="H21">
        <v>9</v>
      </c>
      <c r="J21" t="s">
        <v>188</v>
      </c>
      <c r="K21" s="13" t="s">
        <v>4099</v>
      </c>
    </row>
    <row r="22" spans="4:11" ht="409.5">
      <c r="D22">
        <v>10</v>
      </c>
      <c r="J22" t="s">
        <v>189</v>
      </c>
      <c r="K22" s="65" t="s">
        <v>4509</v>
      </c>
    </row>
    <row r="23" spans="4:11" ht="409.5">
      <c r="D23">
        <v>11</v>
      </c>
      <c r="J23" t="s">
        <v>190</v>
      </c>
      <c r="K23" s="13" t="s">
        <v>4511</v>
      </c>
    </row>
    <row r="24" spans="10:11" ht="15">
      <c r="J24" t="s">
        <v>191</v>
      </c>
      <c r="K24">
        <v>19</v>
      </c>
    </row>
    <row r="25" spans="10:11" ht="15">
      <c r="J25" t="s">
        <v>209</v>
      </c>
      <c r="K25" t="s">
        <v>4508</v>
      </c>
    </row>
    <row r="26" spans="10:11" ht="409.5">
      <c r="J26" t="s">
        <v>210</v>
      </c>
      <c r="K26" s="13" t="s">
        <v>4459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2BB3A-2E45-4768-B3B3-B964C2AB0511}">
  <dimension ref="A1:G5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4112</v>
      </c>
      <c r="B1" s="13" t="s">
        <v>4351</v>
      </c>
      <c r="C1" s="13" t="s">
        <v>4355</v>
      </c>
      <c r="D1" s="13" t="s">
        <v>144</v>
      </c>
      <c r="E1" s="13" t="s">
        <v>4357</v>
      </c>
      <c r="F1" s="13" t="s">
        <v>4358</v>
      </c>
      <c r="G1" s="13" t="s">
        <v>4359</v>
      </c>
    </row>
    <row r="2" spans="1:7" ht="15">
      <c r="A2" s="80" t="s">
        <v>4113</v>
      </c>
      <c r="B2" s="80" t="s">
        <v>4352</v>
      </c>
      <c r="C2" s="113"/>
      <c r="D2" s="80"/>
      <c r="E2" s="80"/>
      <c r="F2" s="80"/>
      <c r="G2" s="80"/>
    </row>
    <row r="3" spans="1:7" ht="15">
      <c r="A3" s="80" t="s">
        <v>4114</v>
      </c>
      <c r="B3" s="80" t="s">
        <v>4353</v>
      </c>
      <c r="C3" s="113"/>
      <c r="D3" s="80"/>
      <c r="E3" s="80"/>
      <c r="F3" s="80"/>
      <c r="G3" s="80"/>
    </row>
    <row r="4" spans="1:7" ht="15">
      <c r="A4" s="80" t="s">
        <v>4115</v>
      </c>
      <c r="B4" s="80" t="s">
        <v>4354</v>
      </c>
      <c r="C4" s="113"/>
      <c r="D4" s="80"/>
      <c r="E4" s="80"/>
      <c r="F4" s="80"/>
      <c r="G4" s="80"/>
    </row>
    <row r="5" spans="1:7" ht="15">
      <c r="A5" s="80" t="s">
        <v>4116</v>
      </c>
      <c r="B5" s="80">
        <v>44</v>
      </c>
      <c r="C5" s="113">
        <v>0.01680672268907563</v>
      </c>
      <c r="D5" s="80"/>
      <c r="E5" s="80"/>
      <c r="F5" s="80"/>
      <c r="G5" s="80"/>
    </row>
    <row r="6" spans="1:7" ht="15">
      <c r="A6" s="80" t="s">
        <v>4117</v>
      </c>
      <c r="B6" s="80">
        <v>48</v>
      </c>
      <c r="C6" s="113">
        <v>0.018334606569900685</v>
      </c>
      <c r="D6" s="80"/>
      <c r="E6" s="80"/>
      <c r="F6" s="80"/>
      <c r="G6" s="80"/>
    </row>
    <row r="7" spans="1:7" ht="15">
      <c r="A7" s="80" t="s">
        <v>4118</v>
      </c>
      <c r="B7" s="80">
        <v>0</v>
      </c>
      <c r="C7" s="113">
        <v>0</v>
      </c>
      <c r="D7" s="80"/>
      <c r="E7" s="80"/>
      <c r="F7" s="80"/>
      <c r="G7" s="80"/>
    </row>
    <row r="8" spans="1:7" ht="15">
      <c r="A8" s="80" t="s">
        <v>4119</v>
      </c>
      <c r="B8" s="80">
        <v>2526</v>
      </c>
      <c r="C8" s="113">
        <v>0.9648586707410237</v>
      </c>
      <c r="D8" s="80"/>
      <c r="E8" s="80"/>
      <c r="F8" s="80"/>
      <c r="G8" s="80"/>
    </row>
    <row r="9" spans="1:7" ht="15">
      <c r="A9" s="80" t="s">
        <v>4120</v>
      </c>
      <c r="B9" s="80">
        <v>2618</v>
      </c>
      <c r="C9" s="113">
        <v>1</v>
      </c>
      <c r="D9" s="80"/>
      <c r="E9" s="80"/>
      <c r="F9" s="80"/>
      <c r="G9" s="80"/>
    </row>
    <row r="10" spans="1:7" ht="15">
      <c r="A10" s="112" t="s">
        <v>4122</v>
      </c>
      <c r="B10" s="80">
        <v>139</v>
      </c>
      <c r="C10" s="113">
        <v>0.025465568784252084</v>
      </c>
      <c r="D10" s="80" t="s">
        <v>4356</v>
      </c>
      <c r="E10" s="80" t="b">
        <v>0</v>
      </c>
      <c r="F10" s="80" t="b">
        <v>0</v>
      </c>
      <c r="G10" s="80" t="b">
        <v>0</v>
      </c>
    </row>
    <row r="11" spans="1:7" ht="15">
      <c r="A11" s="112" t="s">
        <v>4123</v>
      </c>
      <c r="B11" s="80">
        <v>128</v>
      </c>
      <c r="C11" s="113">
        <v>0.02315683115121154</v>
      </c>
      <c r="D11" s="80" t="s">
        <v>4356</v>
      </c>
      <c r="E11" s="80" t="b">
        <v>0</v>
      </c>
      <c r="F11" s="80" t="b">
        <v>0</v>
      </c>
      <c r="G11" s="80" t="b">
        <v>0</v>
      </c>
    </row>
    <row r="12" spans="1:7" ht="15">
      <c r="A12" s="112" t="s">
        <v>4125</v>
      </c>
      <c r="B12" s="80">
        <v>80</v>
      </c>
      <c r="C12" s="113">
        <v>0.019637691272083157</v>
      </c>
      <c r="D12" s="80" t="s">
        <v>4356</v>
      </c>
      <c r="E12" s="80" t="b">
        <v>0</v>
      </c>
      <c r="F12" s="80" t="b">
        <v>0</v>
      </c>
      <c r="G12" s="80" t="b">
        <v>0</v>
      </c>
    </row>
    <row r="13" spans="1:7" ht="15">
      <c r="A13" s="112" t="s">
        <v>4124</v>
      </c>
      <c r="B13" s="80">
        <v>75</v>
      </c>
      <c r="C13" s="113">
        <v>0.022253089199986517</v>
      </c>
      <c r="D13" s="80" t="s">
        <v>4356</v>
      </c>
      <c r="E13" s="80" t="b">
        <v>0</v>
      </c>
      <c r="F13" s="80" t="b">
        <v>0</v>
      </c>
      <c r="G13" s="80" t="b">
        <v>0</v>
      </c>
    </row>
    <row r="14" spans="1:7" ht="15">
      <c r="A14" s="112" t="s">
        <v>4127</v>
      </c>
      <c r="B14" s="80">
        <v>61</v>
      </c>
      <c r="C14" s="113">
        <v>0.01643095594881709</v>
      </c>
      <c r="D14" s="80" t="s">
        <v>4356</v>
      </c>
      <c r="E14" s="80" t="b">
        <v>0</v>
      </c>
      <c r="F14" s="80" t="b">
        <v>0</v>
      </c>
      <c r="G14" s="80" t="b">
        <v>0</v>
      </c>
    </row>
    <row r="15" spans="1:7" ht="15">
      <c r="A15" s="112" t="s">
        <v>4133</v>
      </c>
      <c r="B15" s="80">
        <v>59</v>
      </c>
      <c r="C15" s="113">
        <v>0.015266277281247619</v>
      </c>
      <c r="D15" s="80" t="s">
        <v>4356</v>
      </c>
      <c r="E15" s="80" t="b">
        <v>0</v>
      </c>
      <c r="F15" s="80" t="b">
        <v>0</v>
      </c>
      <c r="G15" s="80" t="b">
        <v>0</v>
      </c>
    </row>
    <row r="16" spans="1:7" ht="15">
      <c r="A16" s="112" t="s">
        <v>2874</v>
      </c>
      <c r="B16" s="80">
        <v>49</v>
      </c>
      <c r="C16" s="113">
        <v>0.01829673010676488</v>
      </c>
      <c r="D16" s="80" t="s">
        <v>4356</v>
      </c>
      <c r="E16" s="80" t="b">
        <v>0</v>
      </c>
      <c r="F16" s="80" t="b">
        <v>0</v>
      </c>
      <c r="G16" s="80" t="b">
        <v>0</v>
      </c>
    </row>
    <row r="17" spans="1:7" ht="15">
      <c r="A17" s="112" t="s">
        <v>2725</v>
      </c>
      <c r="B17" s="80">
        <v>42</v>
      </c>
      <c r="C17" s="113">
        <v>0.014688564038573337</v>
      </c>
      <c r="D17" s="80" t="s">
        <v>4356</v>
      </c>
      <c r="E17" s="80" t="b">
        <v>0</v>
      </c>
      <c r="F17" s="80" t="b">
        <v>0</v>
      </c>
      <c r="G17" s="80" t="b">
        <v>0</v>
      </c>
    </row>
    <row r="18" spans="1:7" ht="15">
      <c r="A18" s="112" t="s">
        <v>4134</v>
      </c>
      <c r="B18" s="80">
        <v>41</v>
      </c>
      <c r="C18" s="113">
        <v>0.013476252759537871</v>
      </c>
      <c r="D18" s="80" t="s">
        <v>4356</v>
      </c>
      <c r="E18" s="80" t="b">
        <v>0</v>
      </c>
      <c r="F18" s="80" t="b">
        <v>0</v>
      </c>
      <c r="G18" s="80" t="b">
        <v>0</v>
      </c>
    </row>
    <row r="19" spans="1:7" ht="15">
      <c r="A19" s="112" t="s">
        <v>4131</v>
      </c>
      <c r="B19" s="80">
        <v>41</v>
      </c>
      <c r="C19" s="113">
        <v>0.01530950886484408</v>
      </c>
      <c r="D19" s="80" t="s">
        <v>4356</v>
      </c>
      <c r="E19" s="80" t="b">
        <v>0</v>
      </c>
      <c r="F19" s="80" t="b">
        <v>0</v>
      </c>
      <c r="G19" s="80" t="b">
        <v>0</v>
      </c>
    </row>
    <row r="20" spans="1:7" ht="15">
      <c r="A20" s="112" t="s">
        <v>4126</v>
      </c>
      <c r="B20" s="80">
        <v>36</v>
      </c>
      <c r="C20" s="113">
        <v>0.015251800063066276</v>
      </c>
      <c r="D20" s="80" t="s">
        <v>4356</v>
      </c>
      <c r="E20" s="80" t="b">
        <v>0</v>
      </c>
      <c r="F20" s="80" t="b">
        <v>0</v>
      </c>
      <c r="G20" s="80" t="b">
        <v>0</v>
      </c>
    </row>
    <row r="21" spans="1:7" ht="15">
      <c r="A21" s="112" t="s">
        <v>4130</v>
      </c>
      <c r="B21" s="80">
        <v>35</v>
      </c>
      <c r="C21" s="113">
        <v>0.013069092933403484</v>
      </c>
      <c r="D21" s="80" t="s">
        <v>4356</v>
      </c>
      <c r="E21" s="80" t="b">
        <v>0</v>
      </c>
      <c r="F21" s="80" t="b">
        <v>0</v>
      </c>
      <c r="G21" s="80" t="b">
        <v>0</v>
      </c>
    </row>
    <row r="22" spans="1:7" ht="15">
      <c r="A22" s="112" t="s">
        <v>4129</v>
      </c>
      <c r="B22" s="80">
        <v>35</v>
      </c>
      <c r="C22" s="113">
        <v>0.01512242485257202</v>
      </c>
      <c r="D22" s="80" t="s">
        <v>4356</v>
      </c>
      <c r="E22" s="80" t="b">
        <v>0</v>
      </c>
      <c r="F22" s="80" t="b">
        <v>0</v>
      </c>
      <c r="G22" s="80" t="b">
        <v>0</v>
      </c>
    </row>
    <row r="23" spans="1:7" ht="15">
      <c r="A23" s="112" t="s">
        <v>4128</v>
      </c>
      <c r="B23" s="80">
        <v>30</v>
      </c>
      <c r="C23" s="113">
        <v>0.012236677819846166</v>
      </c>
      <c r="D23" s="80" t="s">
        <v>4356</v>
      </c>
      <c r="E23" s="80" t="b">
        <v>0</v>
      </c>
      <c r="F23" s="80" t="b">
        <v>0</v>
      </c>
      <c r="G23" s="80" t="b">
        <v>0</v>
      </c>
    </row>
    <row r="24" spans="1:7" ht="15">
      <c r="A24" s="112" t="s">
        <v>4136</v>
      </c>
      <c r="B24" s="80">
        <v>29</v>
      </c>
      <c r="C24" s="113">
        <v>0.012052714622709243</v>
      </c>
      <c r="D24" s="80" t="s">
        <v>4356</v>
      </c>
      <c r="E24" s="80" t="b">
        <v>0</v>
      </c>
      <c r="F24" s="80" t="b">
        <v>0</v>
      </c>
      <c r="G24" s="80" t="b">
        <v>0</v>
      </c>
    </row>
    <row r="25" spans="1:7" ht="15">
      <c r="A25" s="112" t="s">
        <v>4132</v>
      </c>
      <c r="B25" s="80">
        <v>24</v>
      </c>
      <c r="C25" s="113">
        <v>0.013516317762989958</v>
      </c>
      <c r="D25" s="80" t="s">
        <v>4356</v>
      </c>
      <c r="E25" s="80" t="b">
        <v>0</v>
      </c>
      <c r="F25" s="80" t="b">
        <v>0</v>
      </c>
      <c r="G25" s="80" t="b">
        <v>0</v>
      </c>
    </row>
    <row r="26" spans="1:7" ht="15">
      <c r="A26" s="112" t="s">
        <v>4140</v>
      </c>
      <c r="B26" s="80">
        <v>22</v>
      </c>
      <c r="C26" s="113">
        <v>0.009699110645110738</v>
      </c>
      <c r="D26" s="80" t="s">
        <v>4356</v>
      </c>
      <c r="E26" s="80" t="b">
        <v>0</v>
      </c>
      <c r="F26" s="80" t="b">
        <v>0</v>
      </c>
      <c r="G26" s="80" t="b">
        <v>0</v>
      </c>
    </row>
    <row r="27" spans="1:7" ht="15">
      <c r="A27" s="112" t="s">
        <v>4154</v>
      </c>
      <c r="B27" s="80">
        <v>18</v>
      </c>
      <c r="C27" s="113">
        <v>0.008655090128879715</v>
      </c>
      <c r="D27" s="80" t="s">
        <v>4356</v>
      </c>
      <c r="E27" s="80" t="b">
        <v>0</v>
      </c>
      <c r="F27" s="80" t="b">
        <v>0</v>
      </c>
      <c r="G27" s="80" t="b">
        <v>0</v>
      </c>
    </row>
    <row r="28" spans="1:7" ht="15">
      <c r="A28" s="112" t="s">
        <v>4150</v>
      </c>
      <c r="B28" s="80">
        <v>18</v>
      </c>
      <c r="C28" s="113">
        <v>0.01594147543500222</v>
      </c>
      <c r="D28" s="80" t="s">
        <v>4356</v>
      </c>
      <c r="E28" s="80" t="b">
        <v>0</v>
      </c>
      <c r="F28" s="80" t="b">
        <v>0</v>
      </c>
      <c r="G28" s="80" t="b">
        <v>0</v>
      </c>
    </row>
    <row r="29" spans="1:7" ht="15">
      <c r="A29" s="112" t="s">
        <v>4137</v>
      </c>
      <c r="B29" s="80">
        <v>16</v>
      </c>
      <c r="C29" s="113">
        <v>0.012072430382041593</v>
      </c>
      <c r="D29" s="80" t="s">
        <v>4356</v>
      </c>
      <c r="E29" s="80" t="b">
        <v>0</v>
      </c>
      <c r="F29" s="80" t="b">
        <v>0</v>
      </c>
      <c r="G29" s="80" t="b">
        <v>0</v>
      </c>
    </row>
    <row r="30" spans="1:7" ht="15">
      <c r="A30" s="112" t="s">
        <v>4153</v>
      </c>
      <c r="B30" s="80">
        <v>16</v>
      </c>
      <c r="C30" s="113">
        <v>0.011397099280940154</v>
      </c>
      <c r="D30" s="80" t="s">
        <v>4356</v>
      </c>
      <c r="E30" s="80" t="b">
        <v>0</v>
      </c>
      <c r="F30" s="80" t="b">
        <v>0</v>
      </c>
      <c r="G30" s="80" t="b">
        <v>0</v>
      </c>
    </row>
    <row r="31" spans="1:7" ht="15">
      <c r="A31" s="112" t="s">
        <v>4160</v>
      </c>
      <c r="B31" s="80">
        <v>16</v>
      </c>
      <c r="C31" s="113">
        <v>0.0078768903727875</v>
      </c>
      <c r="D31" s="80" t="s">
        <v>4356</v>
      </c>
      <c r="E31" s="80" t="b">
        <v>0</v>
      </c>
      <c r="F31" s="80" t="b">
        <v>0</v>
      </c>
      <c r="G31" s="80" t="b">
        <v>0</v>
      </c>
    </row>
    <row r="32" spans="1:7" ht="15">
      <c r="A32" s="112" t="s">
        <v>4165</v>
      </c>
      <c r="B32" s="80">
        <v>15</v>
      </c>
      <c r="C32" s="113">
        <v>0.0075676992079393495</v>
      </c>
      <c r="D32" s="80" t="s">
        <v>4356</v>
      </c>
      <c r="E32" s="80" t="b">
        <v>0</v>
      </c>
      <c r="F32" s="80" t="b">
        <v>0</v>
      </c>
      <c r="G32" s="80" t="b">
        <v>0</v>
      </c>
    </row>
    <row r="33" spans="1:7" ht="15">
      <c r="A33" s="112" t="s">
        <v>4121</v>
      </c>
      <c r="B33" s="80">
        <v>15</v>
      </c>
      <c r="C33" s="113">
        <v>0.008200822115221947</v>
      </c>
      <c r="D33" s="80" t="s">
        <v>4356</v>
      </c>
      <c r="E33" s="80" t="b">
        <v>1</v>
      </c>
      <c r="F33" s="80" t="b">
        <v>0</v>
      </c>
      <c r="G33" s="80" t="b">
        <v>0</v>
      </c>
    </row>
    <row r="34" spans="1:7" ht="15">
      <c r="A34" s="112" t="s">
        <v>4151</v>
      </c>
      <c r="B34" s="80">
        <v>15</v>
      </c>
      <c r="C34" s="113">
        <v>0.009017059505955613</v>
      </c>
      <c r="D34" s="80" t="s">
        <v>4356</v>
      </c>
      <c r="E34" s="80" t="b">
        <v>0</v>
      </c>
      <c r="F34" s="80" t="b">
        <v>0</v>
      </c>
      <c r="G34" s="80" t="b">
        <v>0</v>
      </c>
    </row>
    <row r="35" spans="1:7" ht="15">
      <c r="A35" s="112" t="s">
        <v>4159</v>
      </c>
      <c r="B35" s="80">
        <v>15</v>
      </c>
      <c r="C35" s="113">
        <v>0.009351244103826137</v>
      </c>
      <c r="D35" s="80" t="s">
        <v>4356</v>
      </c>
      <c r="E35" s="80" t="b">
        <v>0</v>
      </c>
      <c r="F35" s="80" t="b">
        <v>0</v>
      </c>
      <c r="G35" s="80" t="b">
        <v>0</v>
      </c>
    </row>
    <row r="36" spans="1:7" ht="15">
      <c r="A36" s="112" t="s">
        <v>4143</v>
      </c>
      <c r="B36" s="80">
        <v>13</v>
      </c>
      <c r="C36" s="113">
        <v>0.007107379166525688</v>
      </c>
      <c r="D36" s="80" t="s">
        <v>4356</v>
      </c>
      <c r="E36" s="80" t="b">
        <v>0</v>
      </c>
      <c r="F36" s="80" t="b">
        <v>0</v>
      </c>
      <c r="G36" s="80" t="b">
        <v>0</v>
      </c>
    </row>
    <row r="37" spans="1:7" ht="15">
      <c r="A37" s="112" t="s">
        <v>4147</v>
      </c>
      <c r="B37" s="80">
        <v>13</v>
      </c>
      <c r="C37" s="113">
        <v>0.0075557050370044</v>
      </c>
      <c r="D37" s="80" t="s">
        <v>4356</v>
      </c>
      <c r="E37" s="80" t="b">
        <v>0</v>
      </c>
      <c r="F37" s="80" t="b">
        <v>0</v>
      </c>
      <c r="G37" s="80" t="b">
        <v>0</v>
      </c>
    </row>
    <row r="38" spans="1:7" ht="15">
      <c r="A38" s="112" t="s">
        <v>4167</v>
      </c>
      <c r="B38" s="80">
        <v>12</v>
      </c>
      <c r="C38" s="113">
        <v>0.0065606576921775584</v>
      </c>
      <c r="D38" s="80" t="s">
        <v>4356</v>
      </c>
      <c r="E38" s="80" t="b">
        <v>0</v>
      </c>
      <c r="F38" s="80" t="b">
        <v>0</v>
      </c>
      <c r="G38" s="80" t="b">
        <v>0</v>
      </c>
    </row>
    <row r="39" spans="1:7" ht="15">
      <c r="A39" s="112" t="s">
        <v>4135</v>
      </c>
      <c r="B39" s="80">
        <v>12</v>
      </c>
      <c r="C39" s="113">
        <v>0.006758158881494979</v>
      </c>
      <c r="D39" s="80" t="s">
        <v>4356</v>
      </c>
      <c r="E39" s="80" t="b">
        <v>0</v>
      </c>
      <c r="F39" s="80" t="b">
        <v>0</v>
      </c>
      <c r="G39" s="80" t="b">
        <v>0</v>
      </c>
    </row>
    <row r="40" spans="1:7" ht="15">
      <c r="A40" s="112" t="s">
        <v>4158</v>
      </c>
      <c r="B40" s="80">
        <v>12</v>
      </c>
      <c r="C40" s="113">
        <v>0.0065606576921775584</v>
      </c>
      <c r="D40" s="80" t="s">
        <v>4356</v>
      </c>
      <c r="E40" s="80" t="b">
        <v>0</v>
      </c>
      <c r="F40" s="80" t="b">
        <v>0</v>
      </c>
      <c r="G40" s="80" t="b">
        <v>0</v>
      </c>
    </row>
    <row r="41" spans="1:7" ht="15">
      <c r="A41" s="112" t="s">
        <v>4144</v>
      </c>
      <c r="B41" s="80">
        <v>11</v>
      </c>
      <c r="C41" s="113">
        <v>0.00661251030436745</v>
      </c>
      <c r="D41" s="80" t="s">
        <v>4356</v>
      </c>
      <c r="E41" s="80" t="b">
        <v>0</v>
      </c>
      <c r="F41" s="80" t="b">
        <v>0</v>
      </c>
      <c r="G41" s="80" t="b">
        <v>0</v>
      </c>
    </row>
    <row r="42" spans="1:7" ht="15">
      <c r="A42" s="112" t="s">
        <v>4149</v>
      </c>
      <c r="B42" s="80">
        <v>11</v>
      </c>
      <c r="C42" s="113">
        <v>0.00661251030436745</v>
      </c>
      <c r="D42" s="80" t="s">
        <v>4356</v>
      </c>
      <c r="E42" s="80" t="b">
        <v>0</v>
      </c>
      <c r="F42" s="80" t="b">
        <v>0</v>
      </c>
      <c r="G42" s="80" t="b">
        <v>0</v>
      </c>
    </row>
    <row r="43" spans="1:7" ht="15">
      <c r="A43" s="112" t="s">
        <v>4166</v>
      </c>
      <c r="B43" s="80">
        <v>11</v>
      </c>
      <c r="C43" s="113">
        <v>0.006393288877465261</v>
      </c>
      <c r="D43" s="80" t="s">
        <v>4356</v>
      </c>
      <c r="E43" s="80" t="b">
        <v>0</v>
      </c>
      <c r="F43" s="80" t="b">
        <v>0</v>
      </c>
      <c r="G43" s="80" t="b">
        <v>0</v>
      </c>
    </row>
    <row r="44" spans="1:7" ht="15">
      <c r="A44" s="112" t="s">
        <v>4146</v>
      </c>
      <c r="B44" s="80">
        <v>11</v>
      </c>
      <c r="C44" s="113">
        <v>0.011184229644015782</v>
      </c>
      <c r="D44" s="80" t="s">
        <v>4356</v>
      </c>
      <c r="E44" s="80" t="b">
        <v>0</v>
      </c>
      <c r="F44" s="80" t="b">
        <v>0</v>
      </c>
      <c r="G44" s="80" t="b">
        <v>0</v>
      </c>
    </row>
    <row r="45" spans="1:7" ht="15">
      <c r="A45" s="112" t="s">
        <v>4162</v>
      </c>
      <c r="B45" s="80">
        <v>10</v>
      </c>
      <c r="C45" s="113">
        <v>0.010167481494559802</v>
      </c>
      <c r="D45" s="80" t="s">
        <v>4356</v>
      </c>
      <c r="E45" s="80" t="b">
        <v>0</v>
      </c>
      <c r="F45" s="80" t="b">
        <v>1</v>
      </c>
      <c r="G45" s="80" t="b">
        <v>0</v>
      </c>
    </row>
    <row r="46" spans="1:7" ht="15">
      <c r="A46" s="112" t="s">
        <v>4177</v>
      </c>
      <c r="B46" s="80">
        <v>9</v>
      </c>
      <c r="C46" s="113">
        <v>0.00797073771750111</v>
      </c>
      <c r="D46" s="80" t="s">
        <v>4356</v>
      </c>
      <c r="E46" s="80" t="b">
        <v>0</v>
      </c>
      <c r="F46" s="80" t="b">
        <v>0</v>
      </c>
      <c r="G46" s="80" t="b">
        <v>0</v>
      </c>
    </row>
    <row r="47" spans="1:7" ht="15">
      <c r="A47" s="112" t="s">
        <v>4175</v>
      </c>
      <c r="B47" s="80">
        <v>8</v>
      </c>
      <c r="C47" s="113">
        <v>0.004987330188707273</v>
      </c>
      <c r="D47" s="80" t="s">
        <v>4356</v>
      </c>
      <c r="E47" s="80" t="b">
        <v>0</v>
      </c>
      <c r="F47" s="80" t="b">
        <v>0</v>
      </c>
      <c r="G47" s="80" t="b">
        <v>0</v>
      </c>
    </row>
    <row r="48" spans="1:7" ht="15">
      <c r="A48" s="112" t="s">
        <v>4205</v>
      </c>
      <c r="B48" s="80">
        <v>8</v>
      </c>
      <c r="C48" s="113">
        <v>0.004987330188707273</v>
      </c>
      <c r="D48" s="80" t="s">
        <v>4356</v>
      </c>
      <c r="E48" s="80" t="b">
        <v>0</v>
      </c>
      <c r="F48" s="80" t="b">
        <v>0</v>
      </c>
      <c r="G48" s="80" t="b">
        <v>0</v>
      </c>
    </row>
    <row r="49" spans="1:7" ht="15">
      <c r="A49" s="112" t="s">
        <v>4191</v>
      </c>
      <c r="B49" s="80">
        <v>8</v>
      </c>
      <c r="C49" s="113">
        <v>0.005698549640470077</v>
      </c>
      <c r="D49" s="80" t="s">
        <v>4356</v>
      </c>
      <c r="E49" s="80" t="b">
        <v>0</v>
      </c>
      <c r="F49" s="80" t="b">
        <v>0</v>
      </c>
      <c r="G49" s="80" t="b">
        <v>0</v>
      </c>
    </row>
    <row r="50" spans="1:7" ht="15">
      <c r="A50" s="112" t="s">
        <v>4145</v>
      </c>
      <c r="B50" s="80">
        <v>8</v>
      </c>
      <c r="C50" s="113">
        <v>0.00708510019333432</v>
      </c>
      <c r="D50" s="80" t="s">
        <v>4356</v>
      </c>
      <c r="E50" s="80" t="b">
        <v>0</v>
      </c>
      <c r="F50" s="80" t="b">
        <v>0</v>
      </c>
      <c r="G50" s="80" t="b">
        <v>0</v>
      </c>
    </row>
    <row r="51" spans="1:7" ht="15">
      <c r="A51" s="112" t="s">
        <v>4171</v>
      </c>
      <c r="B51" s="80">
        <v>8</v>
      </c>
      <c r="C51" s="113">
        <v>0.008133985195647842</v>
      </c>
      <c r="D51" s="80" t="s">
        <v>4356</v>
      </c>
      <c r="E51" s="80" t="b">
        <v>0</v>
      </c>
      <c r="F51" s="80" t="b">
        <v>0</v>
      </c>
      <c r="G51" s="80" t="b">
        <v>0</v>
      </c>
    </row>
    <row r="52" spans="1:7" ht="15">
      <c r="A52" s="112" t="s">
        <v>4142</v>
      </c>
      <c r="B52" s="80">
        <v>7</v>
      </c>
      <c r="C52" s="113">
        <v>0.004986230935411317</v>
      </c>
      <c r="D52" s="80" t="s">
        <v>4356</v>
      </c>
      <c r="E52" s="80" t="b">
        <v>0</v>
      </c>
      <c r="F52" s="80" t="b">
        <v>0</v>
      </c>
      <c r="G52" s="80" t="b">
        <v>0</v>
      </c>
    </row>
    <row r="53" spans="1:7" ht="15">
      <c r="A53" s="112" t="s">
        <v>4216</v>
      </c>
      <c r="B53" s="80">
        <v>7</v>
      </c>
      <c r="C53" s="113">
        <v>0.00454071863151425</v>
      </c>
      <c r="D53" s="80" t="s">
        <v>4356</v>
      </c>
      <c r="E53" s="80" t="b">
        <v>0</v>
      </c>
      <c r="F53" s="80" t="b">
        <v>0</v>
      </c>
      <c r="G53" s="80" t="b">
        <v>0</v>
      </c>
    </row>
    <row r="54" spans="1:7" ht="15">
      <c r="A54" s="112" t="s">
        <v>4155</v>
      </c>
      <c r="B54" s="80">
        <v>7</v>
      </c>
      <c r="C54" s="113">
        <v>0.00454071863151425</v>
      </c>
      <c r="D54" s="80" t="s">
        <v>4356</v>
      </c>
      <c r="E54" s="80" t="b">
        <v>0</v>
      </c>
      <c r="F54" s="80" t="b">
        <v>0</v>
      </c>
      <c r="G54" s="80" t="b">
        <v>0</v>
      </c>
    </row>
    <row r="55" spans="1:7" ht="15">
      <c r="A55" s="112" t="s">
        <v>4170</v>
      </c>
      <c r="B55" s="80">
        <v>7</v>
      </c>
      <c r="C55" s="113">
        <v>0.00454071863151425</v>
      </c>
      <c r="D55" s="80" t="s">
        <v>4356</v>
      </c>
      <c r="E55" s="80" t="b">
        <v>0</v>
      </c>
      <c r="F55" s="80" t="b">
        <v>0</v>
      </c>
      <c r="G55" s="80" t="b">
        <v>0</v>
      </c>
    </row>
    <row r="56" spans="1:7" ht="15">
      <c r="A56" s="112" t="s">
        <v>4173</v>
      </c>
      <c r="B56" s="80">
        <v>7</v>
      </c>
      <c r="C56" s="113">
        <v>0.005662599074485575</v>
      </c>
      <c r="D56" s="80" t="s">
        <v>4356</v>
      </c>
      <c r="E56" s="80" t="b">
        <v>0</v>
      </c>
      <c r="F56" s="80" t="b">
        <v>0</v>
      </c>
      <c r="G56" s="80" t="b">
        <v>0</v>
      </c>
    </row>
    <row r="57" spans="1:7" ht="15">
      <c r="A57" s="112" t="s">
        <v>4164</v>
      </c>
      <c r="B57" s="80">
        <v>7</v>
      </c>
      <c r="C57" s="113">
        <v>0.0047448246974612415</v>
      </c>
      <c r="D57" s="80" t="s">
        <v>4356</v>
      </c>
      <c r="E57" s="80" t="b">
        <v>0</v>
      </c>
      <c r="F57" s="80" t="b">
        <v>0</v>
      </c>
      <c r="G57" s="80" t="b">
        <v>0</v>
      </c>
    </row>
    <row r="58" spans="1:7" ht="15">
      <c r="A58" s="112" t="s">
        <v>4223</v>
      </c>
      <c r="B58" s="80">
        <v>7</v>
      </c>
      <c r="C58" s="113">
        <v>0.005662599074485575</v>
      </c>
      <c r="D58" s="80" t="s">
        <v>4356</v>
      </c>
      <c r="E58" s="80" t="b">
        <v>0</v>
      </c>
      <c r="F58" s="80" t="b">
        <v>0</v>
      </c>
      <c r="G58" s="80" t="b">
        <v>0</v>
      </c>
    </row>
    <row r="59" spans="1:7" ht="15">
      <c r="A59" s="112" t="s">
        <v>4187</v>
      </c>
      <c r="B59" s="80">
        <v>7</v>
      </c>
      <c r="C59" s="113">
        <v>0.005662599074485575</v>
      </c>
      <c r="D59" s="80" t="s">
        <v>4356</v>
      </c>
      <c r="E59" s="80" t="b">
        <v>0</v>
      </c>
      <c r="F59" s="80" t="b">
        <v>0</v>
      </c>
      <c r="G59" s="80" t="b">
        <v>0</v>
      </c>
    </row>
    <row r="60" spans="1:7" ht="15">
      <c r="A60" s="112" t="s">
        <v>4195</v>
      </c>
      <c r="B60" s="80">
        <v>6</v>
      </c>
      <c r="C60" s="113">
        <v>0.004066992597823922</v>
      </c>
      <c r="D60" s="80" t="s">
        <v>4356</v>
      </c>
      <c r="E60" s="80" t="b">
        <v>0</v>
      </c>
      <c r="F60" s="80" t="b">
        <v>0</v>
      </c>
      <c r="G60" s="80" t="b">
        <v>0</v>
      </c>
    </row>
    <row r="61" spans="1:7" ht="15">
      <c r="A61" s="112" t="s">
        <v>4217</v>
      </c>
      <c r="B61" s="80">
        <v>6</v>
      </c>
      <c r="C61" s="113">
        <v>0.004066992597823922</v>
      </c>
      <c r="D61" s="80" t="s">
        <v>4356</v>
      </c>
      <c r="E61" s="80" t="b">
        <v>0</v>
      </c>
      <c r="F61" s="80" t="b">
        <v>0</v>
      </c>
      <c r="G61" s="80" t="b">
        <v>0</v>
      </c>
    </row>
    <row r="62" spans="1:7" ht="15">
      <c r="A62" s="112" t="s">
        <v>4254</v>
      </c>
      <c r="B62" s="80">
        <v>6</v>
      </c>
      <c r="C62" s="113">
        <v>0.005313825145000741</v>
      </c>
      <c r="D62" s="80" t="s">
        <v>4356</v>
      </c>
      <c r="E62" s="80" t="b">
        <v>0</v>
      </c>
      <c r="F62" s="80" t="b">
        <v>0</v>
      </c>
      <c r="G62" s="80" t="b">
        <v>0</v>
      </c>
    </row>
    <row r="63" spans="1:7" ht="15">
      <c r="A63" s="112" t="s">
        <v>4138</v>
      </c>
      <c r="B63" s="80">
        <v>6</v>
      </c>
      <c r="C63" s="113">
        <v>0.004527161393265598</v>
      </c>
      <c r="D63" s="80" t="s">
        <v>4356</v>
      </c>
      <c r="E63" s="80" t="b">
        <v>0</v>
      </c>
      <c r="F63" s="80" t="b">
        <v>0</v>
      </c>
      <c r="G63" s="80" t="b">
        <v>0</v>
      </c>
    </row>
    <row r="64" spans="1:7" ht="15">
      <c r="A64" s="112" t="s">
        <v>4157</v>
      </c>
      <c r="B64" s="80">
        <v>6</v>
      </c>
      <c r="C64" s="113">
        <v>0.005313825145000741</v>
      </c>
      <c r="D64" s="80" t="s">
        <v>4356</v>
      </c>
      <c r="E64" s="80" t="b">
        <v>0</v>
      </c>
      <c r="F64" s="80" t="b">
        <v>0</v>
      </c>
      <c r="G64" s="80" t="b">
        <v>0</v>
      </c>
    </row>
    <row r="65" spans="1:7" ht="15">
      <c r="A65" s="112" t="s">
        <v>4174</v>
      </c>
      <c r="B65" s="80">
        <v>6</v>
      </c>
      <c r="C65" s="113">
        <v>0.004527161393265598</v>
      </c>
      <c r="D65" s="80" t="s">
        <v>4356</v>
      </c>
      <c r="E65" s="80" t="b">
        <v>0</v>
      </c>
      <c r="F65" s="80" t="b">
        <v>0</v>
      </c>
      <c r="G65" s="80" t="b">
        <v>0</v>
      </c>
    </row>
    <row r="66" spans="1:7" ht="15">
      <c r="A66" s="112" t="s">
        <v>4225</v>
      </c>
      <c r="B66" s="80">
        <v>6</v>
      </c>
      <c r="C66" s="113">
        <v>0.004066992597823922</v>
      </c>
      <c r="D66" s="80" t="s">
        <v>4356</v>
      </c>
      <c r="E66" s="80" t="b">
        <v>0</v>
      </c>
      <c r="F66" s="80" t="b">
        <v>1</v>
      </c>
      <c r="G66" s="80" t="b">
        <v>0</v>
      </c>
    </row>
    <row r="67" spans="1:7" ht="15">
      <c r="A67" s="112" t="s">
        <v>4204</v>
      </c>
      <c r="B67" s="80">
        <v>6</v>
      </c>
      <c r="C67" s="113">
        <v>0.004527161393265598</v>
      </c>
      <c r="D67" s="80" t="s">
        <v>4356</v>
      </c>
      <c r="E67" s="80" t="b">
        <v>0</v>
      </c>
      <c r="F67" s="80" t="b">
        <v>0</v>
      </c>
      <c r="G67" s="80" t="b">
        <v>0</v>
      </c>
    </row>
    <row r="68" spans="1:7" ht="15">
      <c r="A68" s="112" t="s">
        <v>4214</v>
      </c>
      <c r="B68" s="80">
        <v>6</v>
      </c>
      <c r="C68" s="113">
        <v>0.004066992597823922</v>
      </c>
      <c r="D68" s="80" t="s">
        <v>4356</v>
      </c>
      <c r="E68" s="80" t="b">
        <v>0</v>
      </c>
      <c r="F68" s="80" t="b">
        <v>0</v>
      </c>
      <c r="G68" s="80" t="b">
        <v>0</v>
      </c>
    </row>
    <row r="69" spans="1:7" ht="15">
      <c r="A69" s="112" t="s">
        <v>4241</v>
      </c>
      <c r="B69" s="80">
        <v>5</v>
      </c>
      <c r="C69" s="113">
        <v>0.0037726344943879975</v>
      </c>
      <c r="D69" s="80" t="s">
        <v>4356</v>
      </c>
      <c r="E69" s="80" t="b">
        <v>0</v>
      </c>
      <c r="F69" s="80" t="b">
        <v>0</v>
      </c>
      <c r="G69" s="80" t="b">
        <v>0</v>
      </c>
    </row>
    <row r="70" spans="1:7" ht="15">
      <c r="A70" s="112" t="s">
        <v>4172</v>
      </c>
      <c r="B70" s="80">
        <v>5</v>
      </c>
      <c r="C70" s="113">
        <v>0.003561593525293798</v>
      </c>
      <c r="D70" s="80" t="s">
        <v>4356</v>
      </c>
      <c r="E70" s="80" t="b">
        <v>0</v>
      </c>
      <c r="F70" s="80" t="b">
        <v>0</v>
      </c>
      <c r="G70" s="80" t="b">
        <v>0</v>
      </c>
    </row>
    <row r="71" spans="1:7" ht="15">
      <c r="A71" s="112" t="s">
        <v>4250</v>
      </c>
      <c r="B71" s="80">
        <v>5</v>
      </c>
      <c r="C71" s="113">
        <v>0.003561593525293798</v>
      </c>
      <c r="D71" s="80" t="s">
        <v>4356</v>
      </c>
      <c r="E71" s="80" t="b">
        <v>0</v>
      </c>
      <c r="F71" s="80" t="b">
        <v>0</v>
      </c>
      <c r="G71" s="80" t="b">
        <v>0</v>
      </c>
    </row>
    <row r="72" spans="1:7" ht="15">
      <c r="A72" s="112" t="s">
        <v>4251</v>
      </c>
      <c r="B72" s="80">
        <v>5</v>
      </c>
      <c r="C72" s="113">
        <v>0.003561593525293798</v>
      </c>
      <c r="D72" s="80" t="s">
        <v>4356</v>
      </c>
      <c r="E72" s="80" t="b">
        <v>0</v>
      </c>
      <c r="F72" s="80" t="b">
        <v>0</v>
      </c>
      <c r="G72" s="80" t="b">
        <v>0</v>
      </c>
    </row>
    <row r="73" spans="1:7" ht="15">
      <c r="A73" s="112" t="s">
        <v>4182</v>
      </c>
      <c r="B73" s="80">
        <v>5</v>
      </c>
      <c r="C73" s="113">
        <v>0.003561593525293798</v>
      </c>
      <c r="D73" s="80" t="s">
        <v>4356</v>
      </c>
      <c r="E73" s="80" t="b">
        <v>0</v>
      </c>
      <c r="F73" s="80" t="b">
        <v>0</v>
      </c>
      <c r="G73" s="80" t="b">
        <v>0</v>
      </c>
    </row>
    <row r="74" spans="1:7" ht="15">
      <c r="A74" s="112" t="s">
        <v>4265</v>
      </c>
      <c r="B74" s="80">
        <v>5</v>
      </c>
      <c r="C74" s="113">
        <v>0.003561593525293798</v>
      </c>
      <c r="D74" s="80" t="s">
        <v>4356</v>
      </c>
      <c r="E74" s="80" t="b">
        <v>0</v>
      </c>
      <c r="F74" s="80" t="b">
        <v>0</v>
      </c>
      <c r="G74" s="80" t="b">
        <v>0</v>
      </c>
    </row>
    <row r="75" spans="1:7" ht="15">
      <c r="A75" s="112" t="s">
        <v>4188</v>
      </c>
      <c r="B75" s="80">
        <v>5</v>
      </c>
      <c r="C75" s="113">
        <v>0.0037726344943879975</v>
      </c>
      <c r="D75" s="80" t="s">
        <v>4356</v>
      </c>
      <c r="E75" s="80" t="b">
        <v>0</v>
      </c>
      <c r="F75" s="80" t="b">
        <v>0</v>
      </c>
      <c r="G75" s="80" t="b">
        <v>0</v>
      </c>
    </row>
    <row r="76" spans="1:7" ht="15">
      <c r="A76" s="112" t="s">
        <v>4222</v>
      </c>
      <c r="B76" s="80">
        <v>5</v>
      </c>
      <c r="C76" s="113">
        <v>0.0037726344943879975</v>
      </c>
      <c r="D76" s="80" t="s">
        <v>4356</v>
      </c>
      <c r="E76" s="80" t="b">
        <v>0</v>
      </c>
      <c r="F76" s="80" t="b">
        <v>0</v>
      </c>
      <c r="G76" s="80" t="b">
        <v>0</v>
      </c>
    </row>
    <row r="77" spans="1:7" ht="15">
      <c r="A77" s="112" t="s">
        <v>4168</v>
      </c>
      <c r="B77" s="80">
        <v>5</v>
      </c>
      <c r="C77" s="113">
        <v>0.0044281876208339494</v>
      </c>
      <c r="D77" s="80" t="s">
        <v>4356</v>
      </c>
      <c r="E77" s="80" t="b">
        <v>0</v>
      </c>
      <c r="F77" s="80" t="b">
        <v>0</v>
      </c>
      <c r="G77" s="80" t="b">
        <v>0</v>
      </c>
    </row>
    <row r="78" spans="1:7" ht="15">
      <c r="A78" s="112" t="s">
        <v>4181</v>
      </c>
      <c r="B78" s="80">
        <v>5</v>
      </c>
      <c r="C78" s="113">
        <v>0.0044281876208339494</v>
      </c>
      <c r="D78" s="80" t="s">
        <v>4356</v>
      </c>
      <c r="E78" s="80" t="b">
        <v>0</v>
      </c>
      <c r="F78" s="80" t="b">
        <v>0</v>
      </c>
      <c r="G78" s="80" t="b">
        <v>0</v>
      </c>
    </row>
    <row r="79" spans="1:7" ht="15">
      <c r="A79" s="112" t="s">
        <v>4267</v>
      </c>
      <c r="B79" s="80">
        <v>5</v>
      </c>
      <c r="C79" s="113">
        <v>0.0037726344943879975</v>
      </c>
      <c r="D79" s="80" t="s">
        <v>4356</v>
      </c>
      <c r="E79" s="80" t="b">
        <v>0</v>
      </c>
      <c r="F79" s="80" t="b">
        <v>0</v>
      </c>
      <c r="G79" s="80" t="b">
        <v>0</v>
      </c>
    </row>
    <row r="80" spans="1:7" ht="15">
      <c r="A80" s="112" t="s">
        <v>4269</v>
      </c>
      <c r="B80" s="80">
        <v>5</v>
      </c>
      <c r="C80" s="113">
        <v>0.005083740747279901</v>
      </c>
      <c r="D80" s="80" t="s">
        <v>4356</v>
      </c>
      <c r="E80" s="80" t="b">
        <v>0</v>
      </c>
      <c r="F80" s="80" t="b">
        <v>0</v>
      </c>
      <c r="G80" s="80" t="b">
        <v>0</v>
      </c>
    </row>
    <row r="81" spans="1:7" ht="15">
      <c r="A81" s="112" t="s">
        <v>4239</v>
      </c>
      <c r="B81" s="80">
        <v>4</v>
      </c>
      <c r="C81" s="113">
        <v>0.0030181075955103983</v>
      </c>
      <c r="D81" s="80" t="s">
        <v>4356</v>
      </c>
      <c r="E81" s="80" t="b">
        <v>0</v>
      </c>
      <c r="F81" s="80" t="b">
        <v>0</v>
      </c>
      <c r="G81" s="80" t="b">
        <v>0</v>
      </c>
    </row>
    <row r="82" spans="1:7" ht="15">
      <c r="A82" s="112" t="s">
        <v>4206</v>
      </c>
      <c r="B82" s="80">
        <v>4</v>
      </c>
      <c r="C82" s="113">
        <v>0.0030181075955103983</v>
      </c>
      <c r="D82" s="80" t="s">
        <v>4356</v>
      </c>
      <c r="E82" s="80" t="b">
        <v>0</v>
      </c>
      <c r="F82" s="80" t="b">
        <v>0</v>
      </c>
      <c r="G82" s="80" t="b">
        <v>0</v>
      </c>
    </row>
    <row r="83" spans="1:7" ht="15">
      <c r="A83" s="112" t="s">
        <v>4264</v>
      </c>
      <c r="B83" s="80">
        <v>4</v>
      </c>
      <c r="C83" s="113">
        <v>0.0030181075955103983</v>
      </c>
      <c r="D83" s="80" t="s">
        <v>4356</v>
      </c>
      <c r="E83" s="80" t="b">
        <v>0</v>
      </c>
      <c r="F83" s="80" t="b">
        <v>0</v>
      </c>
      <c r="G83" s="80" t="b">
        <v>0</v>
      </c>
    </row>
    <row r="84" spans="1:7" ht="15">
      <c r="A84" s="112" t="s">
        <v>4163</v>
      </c>
      <c r="B84" s="80">
        <v>4</v>
      </c>
      <c r="C84" s="113">
        <v>0.0030181075955103983</v>
      </c>
      <c r="D84" s="80" t="s">
        <v>4356</v>
      </c>
      <c r="E84" s="80" t="b">
        <v>0</v>
      </c>
      <c r="F84" s="80" t="b">
        <v>0</v>
      </c>
      <c r="G84" s="80" t="b">
        <v>0</v>
      </c>
    </row>
    <row r="85" spans="1:7" ht="15">
      <c r="A85" s="112" t="s">
        <v>4229</v>
      </c>
      <c r="B85" s="80">
        <v>4</v>
      </c>
      <c r="C85" s="113">
        <v>0.0030181075955103983</v>
      </c>
      <c r="D85" s="80" t="s">
        <v>4356</v>
      </c>
      <c r="E85" s="80" t="b">
        <v>1</v>
      </c>
      <c r="F85" s="80" t="b">
        <v>0</v>
      </c>
      <c r="G85" s="80" t="b">
        <v>0</v>
      </c>
    </row>
    <row r="86" spans="1:7" ht="15">
      <c r="A86" s="112" t="s">
        <v>4281</v>
      </c>
      <c r="B86" s="80">
        <v>4</v>
      </c>
      <c r="C86" s="113">
        <v>0.0030181075955103983</v>
      </c>
      <c r="D86" s="80" t="s">
        <v>4356</v>
      </c>
      <c r="E86" s="80" t="b">
        <v>0</v>
      </c>
      <c r="F86" s="80" t="b">
        <v>0</v>
      </c>
      <c r="G86" s="80" t="b">
        <v>0</v>
      </c>
    </row>
    <row r="87" spans="1:7" ht="15">
      <c r="A87" s="112" t="s">
        <v>4235</v>
      </c>
      <c r="B87" s="80">
        <v>4</v>
      </c>
      <c r="C87" s="113">
        <v>0.0030181075955103983</v>
      </c>
      <c r="D87" s="80" t="s">
        <v>4356</v>
      </c>
      <c r="E87" s="80" t="b">
        <v>0</v>
      </c>
      <c r="F87" s="80" t="b">
        <v>0</v>
      </c>
      <c r="G87" s="80" t="b">
        <v>0</v>
      </c>
    </row>
    <row r="88" spans="1:7" ht="15">
      <c r="A88" s="112" t="s">
        <v>4236</v>
      </c>
      <c r="B88" s="80">
        <v>4</v>
      </c>
      <c r="C88" s="113">
        <v>0.0030181075955103983</v>
      </c>
      <c r="D88" s="80" t="s">
        <v>4356</v>
      </c>
      <c r="E88" s="80" t="b">
        <v>0</v>
      </c>
      <c r="F88" s="80" t="b">
        <v>0</v>
      </c>
      <c r="G88" s="80" t="b">
        <v>0</v>
      </c>
    </row>
    <row r="89" spans="1:7" ht="15">
      <c r="A89" s="112" t="s">
        <v>4252</v>
      </c>
      <c r="B89" s="80">
        <v>4</v>
      </c>
      <c r="C89" s="113">
        <v>0.0030181075955103983</v>
      </c>
      <c r="D89" s="80" t="s">
        <v>4356</v>
      </c>
      <c r="E89" s="80" t="b">
        <v>0</v>
      </c>
      <c r="F89" s="80" t="b">
        <v>0</v>
      </c>
      <c r="G89" s="80" t="b">
        <v>0</v>
      </c>
    </row>
    <row r="90" spans="1:7" ht="15">
      <c r="A90" s="112" t="s">
        <v>4237</v>
      </c>
      <c r="B90" s="80">
        <v>4</v>
      </c>
      <c r="C90" s="113">
        <v>0.0030181075955103983</v>
      </c>
      <c r="D90" s="80" t="s">
        <v>4356</v>
      </c>
      <c r="E90" s="80" t="b">
        <v>0</v>
      </c>
      <c r="F90" s="80" t="b">
        <v>0</v>
      </c>
      <c r="G90" s="80" t="b">
        <v>0</v>
      </c>
    </row>
    <row r="91" spans="1:7" ht="15">
      <c r="A91" s="112" t="s">
        <v>4196</v>
      </c>
      <c r="B91" s="80">
        <v>4</v>
      </c>
      <c r="C91" s="113">
        <v>0.0030181075955103983</v>
      </c>
      <c r="D91" s="80" t="s">
        <v>4356</v>
      </c>
      <c r="E91" s="80" t="b">
        <v>0</v>
      </c>
      <c r="F91" s="80" t="b">
        <v>0</v>
      </c>
      <c r="G91" s="80" t="b">
        <v>0</v>
      </c>
    </row>
    <row r="92" spans="1:7" ht="15">
      <c r="A92" s="112" t="s">
        <v>4161</v>
      </c>
      <c r="B92" s="80">
        <v>4</v>
      </c>
      <c r="C92" s="113">
        <v>0.0030181075955103983</v>
      </c>
      <c r="D92" s="80" t="s">
        <v>4356</v>
      </c>
      <c r="E92" s="80" t="b">
        <v>0</v>
      </c>
      <c r="F92" s="80" t="b">
        <v>0</v>
      </c>
      <c r="G92" s="80" t="b">
        <v>0</v>
      </c>
    </row>
    <row r="93" spans="1:7" ht="15">
      <c r="A93" s="112" t="s">
        <v>4192</v>
      </c>
      <c r="B93" s="80">
        <v>4</v>
      </c>
      <c r="C93" s="113">
        <v>0.0030181075955103983</v>
      </c>
      <c r="D93" s="80" t="s">
        <v>4356</v>
      </c>
      <c r="E93" s="80" t="b">
        <v>0</v>
      </c>
      <c r="F93" s="80" t="b">
        <v>0</v>
      </c>
      <c r="G93" s="80" t="b">
        <v>0</v>
      </c>
    </row>
    <row r="94" spans="1:7" ht="15">
      <c r="A94" s="112" t="s">
        <v>4179</v>
      </c>
      <c r="B94" s="80">
        <v>4</v>
      </c>
      <c r="C94" s="113">
        <v>0.0030181075955103983</v>
      </c>
      <c r="D94" s="80" t="s">
        <v>4356</v>
      </c>
      <c r="E94" s="80" t="b">
        <v>0</v>
      </c>
      <c r="F94" s="80" t="b">
        <v>0</v>
      </c>
      <c r="G94" s="80" t="b">
        <v>0</v>
      </c>
    </row>
    <row r="95" spans="1:7" ht="15">
      <c r="A95" s="112" t="s">
        <v>4186</v>
      </c>
      <c r="B95" s="80">
        <v>4</v>
      </c>
      <c r="C95" s="113">
        <v>0.00354255009666716</v>
      </c>
      <c r="D95" s="80" t="s">
        <v>4356</v>
      </c>
      <c r="E95" s="80" t="b">
        <v>0</v>
      </c>
      <c r="F95" s="80" t="b">
        <v>1</v>
      </c>
      <c r="G95" s="80" t="b">
        <v>0</v>
      </c>
    </row>
    <row r="96" spans="1:7" ht="15">
      <c r="A96" s="112" t="s">
        <v>4284</v>
      </c>
      <c r="B96" s="80">
        <v>4</v>
      </c>
      <c r="C96" s="113">
        <v>0.00354255009666716</v>
      </c>
      <c r="D96" s="80" t="s">
        <v>4356</v>
      </c>
      <c r="E96" s="80" t="b">
        <v>0</v>
      </c>
      <c r="F96" s="80" t="b">
        <v>1</v>
      </c>
      <c r="G96" s="80" t="b">
        <v>0</v>
      </c>
    </row>
    <row r="97" spans="1:7" ht="15">
      <c r="A97" s="112" t="s">
        <v>4285</v>
      </c>
      <c r="B97" s="80">
        <v>4</v>
      </c>
      <c r="C97" s="113">
        <v>0.0030181075955103983</v>
      </c>
      <c r="D97" s="80" t="s">
        <v>4356</v>
      </c>
      <c r="E97" s="80" t="b">
        <v>0</v>
      </c>
      <c r="F97" s="80" t="b">
        <v>0</v>
      </c>
      <c r="G97" s="80" t="b">
        <v>0</v>
      </c>
    </row>
    <row r="98" spans="1:7" ht="15">
      <c r="A98" s="112" t="s">
        <v>4212</v>
      </c>
      <c r="B98" s="80">
        <v>4</v>
      </c>
      <c r="C98" s="113">
        <v>0.004066992597823921</v>
      </c>
      <c r="D98" s="80" t="s">
        <v>4356</v>
      </c>
      <c r="E98" s="80" t="b">
        <v>0</v>
      </c>
      <c r="F98" s="80" t="b">
        <v>0</v>
      </c>
      <c r="G98" s="80" t="b">
        <v>0</v>
      </c>
    </row>
    <row r="99" spans="1:7" ht="15">
      <c r="A99" s="112" t="s">
        <v>4213</v>
      </c>
      <c r="B99" s="80">
        <v>4</v>
      </c>
      <c r="C99" s="113">
        <v>0.004066992597823921</v>
      </c>
      <c r="D99" s="80" t="s">
        <v>4356</v>
      </c>
      <c r="E99" s="80" t="b">
        <v>0</v>
      </c>
      <c r="F99" s="80" t="b">
        <v>0</v>
      </c>
      <c r="G99" s="80" t="b">
        <v>0</v>
      </c>
    </row>
    <row r="100" spans="1:7" ht="15">
      <c r="A100" s="112" t="s">
        <v>4233</v>
      </c>
      <c r="B100" s="80">
        <v>4</v>
      </c>
      <c r="C100" s="113">
        <v>0.0032357708997060425</v>
      </c>
      <c r="D100" s="80" t="s">
        <v>4356</v>
      </c>
      <c r="E100" s="80" t="b">
        <v>0</v>
      </c>
      <c r="F100" s="80" t="b">
        <v>0</v>
      </c>
      <c r="G100" s="80" t="b">
        <v>0</v>
      </c>
    </row>
    <row r="101" spans="1:7" ht="15">
      <c r="A101" s="112" t="s">
        <v>4287</v>
      </c>
      <c r="B101" s="80">
        <v>4</v>
      </c>
      <c r="C101" s="113">
        <v>0.004066992597823921</v>
      </c>
      <c r="D101" s="80" t="s">
        <v>4356</v>
      </c>
      <c r="E101" s="80" t="b">
        <v>0</v>
      </c>
      <c r="F101" s="80" t="b">
        <v>0</v>
      </c>
      <c r="G101" s="80" t="b">
        <v>0</v>
      </c>
    </row>
    <row r="102" spans="1:7" ht="15">
      <c r="A102" s="112" t="s">
        <v>4289</v>
      </c>
      <c r="B102" s="80">
        <v>4</v>
      </c>
      <c r="C102" s="113">
        <v>0.004066992597823921</v>
      </c>
      <c r="D102" s="80" t="s">
        <v>4356</v>
      </c>
      <c r="E102" s="80" t="b">
        <v>0</v>
      </c>
      <c r="F102" s="80" t="b">
        <v>0</v>
      </c>
      <c r="G102" s="80" t="b">
        <v>0</v>
      </c>
    </row>
    <row r="103" spans="1:7" ht="15">
      <c r="A103" s="112" t="s">
        <v>4290</v>
      </c>
      <c r="B103" s="80">
        <v>4</v>
      </c>
      <c r="C103" s="113">
        <v>0.004066992597823921</v>
      </c>
      <c r="D103" s="80" t="s">
        <v>4356</v>
      </c>
      <c r="E103" s="80" t="b">
        <v>0</v>
      </c>
      <c r="F103" s="80" t="b">
        <v>0</v>
      </c>
      <c r="G103" s="80" t="b">
        <v>0</v>
      </c>
    </row>
    <row r="104" spans="1:7" ht="15">
      <c r="A104" s="112" t="s">
        <v>4291</v>
      </c>
      <c r="B104" s="80">
        <v>4</v>
      </c>
      <c r="C104" s="113">
        <v>0.004066992597823921</v>
      </c>
      <c r="D104" s="80" t="s">
        <v>4356</v>
      </c>
      <c r="E104" s="80" t="b">
        <v>0</v>
      </c>
      <c r="F104" s="80" t="b">
        <v>0</v>
      </c>
      <c r="G104" s="80" t="b">
        <v>0</v>
      </c>
    </row>
    <row r="105" spans="1:7" ht="15">
      <c r="A105" s="112" t="s">
        <v>4294</v>
      </c>
      <c r="B105" s="80">
        <v>4</v>
      </c>
      <c r="C105" s="113">
        <v>0.004066992597823921</v>
      </c>
      <c r="D105" s="80" t="s">
        <v>4356</v>
      </c>
      <c r="E105" s="80" t="b">
        <v>0</v>
      </c>
      <c r="F105" s="80" t="b">
        <v>0</v>
      </c>
      <c r="G105" s="80" t="b">
        <v>0</v>
      </c>
    </row>
    <row r="106" spans="1:7" ht="15">
      <c r="A106" s="112" t="s">
        <v>4270</v>
      </c>
      <c r="B106" s="80">
        <v>4</v>
      </c>
      <c r="C106" s="113">
        <v>0.004066992597823921</v>
      </c>
      <c r="D106" s="80" t="s">
        <v>4356</v>
      </c>
      <c r="E106" s="80" t="b">
        <v>0</v>
      </c>
      <c r="F106" s="80" t="b">
        <v>0</v>
      </c>
      <c r="G106" s="80" t="b">
        <v>0</v>
      </c>
    </row>
    <row r="107" spans="1:7" ht="15">
      <c r="A107" s="112" t="s">
        <v>4272</v>
      </c>
      <c r="B107" s="80">
        <v>3</v>
      </c>
      <c r="C107" s="113">
        <v>0.0024268281747795322</v>
      </c>
      <c r="D107" s="80" t="s">
        <v>4356</v>
      </c>
      <c r="E107" s="80" t="b">
        <v>0</v>
      </c>
      <c r="F107" s="80" t="b">
        <v>0</v>
      </c>
      <c r="G107" s="80" t="b">
        <v>0</v>
      </c>
    </row>
    <row r="108" spans="1:7" ht="15">
      <c r="A108" s="112" t="s">
        <v>4295</v>
      </c>
      <c r="B108" s="80">
        <v>3</v>
      </c>
      <c r="C108" s="113">
        <v>0.0024268281747795322</v>
      </c>
      <c r="D108" s="80" t="s">
        <v>4356</v>
      </c>
      <c r="E108" s="80" t="b">
        <v>0</v>
      </c>
      <c r="F108" s="80" t="b">
        <v>0</v>
      </c>
      <c r="G108" s="80" t="b">
        <v>0</v>
      </c>
    </row>
    <row r="109" spans="1:7" ht="15">
      <c r="A109" s="112" t="s">
        <v>4189</v>
      </c>
      <c r="B109" s="80">
        <v>3</v>
      </c>
      <c r="C109" s="113">
        <v>0.0024268281747795322</v>
      </c>
      <c r="D109" s="80" t="s">
        <v>4356</v>
      </c>
      <c r="E109" s="80" t="b">
        <v>0</v>
      </c>
      <c r="F109" s="80" t="b">
        <v>0</v>
      </c>
      <c r="G109" s="80" t="b">
        <v>0</v>
      </c>
    </row>
    <row r="110" spans="1:7" ht="15">
      <c r="A110" s="112" t="s">
        <v>4297</v>
      </c>
      <c r="B110" s="80">
        <v>3</v>
      </c>
      <c r="C110" s="113">
        <v>0.0024268281747795322</v>
      </c>
      <c r="D110" s="80" t="s">
        <v>4356</v>
      </c>
      <c r="E110" s="80" t="b">
        <v>0</v>
      </c>
      <c r="F110" s="80" t="b">
        <v>0</v>
      </c>
      <c r="G110" s="80" t="b">
        <v>0</v>
      </c>
    </row>
    <row r="111" spans="1:7" ht="15">
      <c r="A111" s="112" t="s">
        <v>4203</v>
      </c>
      <c r="B111" s="80">
        <v>3</v>
      </c>
      <c r="C111" s="113">
        <v>0.0024268281747795322</v>
      </c>
      <c r="D111" s="80" t="s">
        <v>4356</v>
      </c>
      <c r="E111" s="80" t="b">
        <v>0</v>
      </c>
      <c r="F111" s="80" t="b">
        <v>0</v>
      </c>
      <c r="G111" s="80" t="b">
        <v>0</v>
      </c>
    </row>
    <row r="112" spans="1:7" ht="15">
      <c r="A112" s="112" t="s">
        <v>4298</v>
      </c>
      <c r="B112" s="80">
        <v>3</v>
      </c>
      <c r="C112" s="113">
        <v>0.0024268281747795322</v>
      </c>
      <c r="D112" s="80" t="s">
        <v>4356</v>
      </c>
      <c r="E112" s="80" t="b">
        <v>0</v>
      </c>
      <c r="F112" s="80" t="b">
        <v>0</v>
      </c>
      <c r="G112" s="80" t="b">
        <v>0</v>
      </c>
    </row>
    <row r="113" spans="1:7" ht="15">
      <c r="A113" s="112" t="s">
        <v>4232</v>
      </c>
      <c r="B113" s="80">
        <v>3</v>
      </c>
      <c r="C113" s="113">
        <v>0.0024268281747795322</v>
      </c>
      <c r="D113" s="80" t="s">
        <v>4356</v>
      </c>
      <c r="E113" s="80" t="b">
        <v>0</v>
      </c>
      <c r="F113" s="80" t="b">
        <v>0</v>
      </c>
      <c r="G113" s="80" t="b">
        <v>0</v>
      </c>
    </row>
    <row r="114" spans="1:7" ht="15">
      <c r="A114" s="112" t="s">
        <v>4248</v>
      </c>
      <c r="B114" s="80">
        <v>3</v>
      </c>
      <c r="C114" s="113">
        <v>0.0024268281747795322</v>
      </c>
      <c r="D114" s="80" t="s">
        <v>4356</v>
      </c>
      <c r="E114" s="80" t="b">
        <v>0</v>
      </c>
      <c r="F114" s="80" t="b">
        <v>0</v>
      </c>
      <c r="G114" s="80" t="b">
        <v>0</v>
      </c>
    </row>
    <row r="115" spans="1:7" ht="15">
      <c r="A115" s="112" t="s">
        <v>4148</v>
      </c>
      <c r="B115" s="80">
        <v>3</v>
      </c>
      <c r="C115" s="113">
        <v>0.0024268281747795322</v>
      </c>
      <c r="D115" s="80" t="s">
        <v>4356</v>
      </c>
      <c r="E115" s="80" t="b">
        <v>0</v>
      </c>
      <c r="F115" s="80" t="b">
        <v>0</v>
      </c>
      <c r="G115" s="80" t="b">
        <v>0</v>
      </c>
    </row>
    <row r="116" spans="1:7" ht="15">
      <c r="A116" s="112" t="s">
        <v>4228</v>
      </c>
      <c r="B116" s="80">
        <v>3</v>
      </c>
      <c r="C116" s="113">
        <v>0.0026569125725003705</v>
      </c>
      <c r="D116" s="80" t="s">
        <v>4356</v>
      </c>
      <c r="E116" s="80" t="b">
        <v>0</v>
      </c>
      <c r="F116" s="80" t="b">
        <v>0</v>
      </c>
      <c r="G116" s="80" t="b">
        <v>0</v>
      </c>
    </row>
    <row r="117" spans="1:7" ht="15">
      <c r="A117" s="112" t="s">
        <v>4302</v>
      </c>
      <c r="B117" s="80">
        <v>3</v>
      </c>
      <c r="C117" s="113">
        <v>0.003050244448367941</v>
      </c>
      <c r="D117" s="80" t="s">
        <v>4356</v>
      </c>
      <c r="E117" s="80" t="b">
        <v>0</v>
      </c>
      <c r="F117" s="80" t="b">
        <v>0</v>
      </c>
      <c r="G117" s="80" t="b">
        <v>0</v>
      </c>
    </row>
    <row r="118" spans="1:7" ht="15">
      <c r="A118" s="112" t="s">
        <v>4260</v>
      </c>
      <c r="B118" s="80">
        <v>3</v>
      </c>
      <c r="C118" s="113">
        <v>0.0026569125725003705</v>
      </c>
      <c r="D118" s="80" t="s">
        <v>4356</v>
      </c>
      <c r="E118" s="80" t="b">
        <v>0</v>
      </c>
      <c r="F118" s="80" t="b">
        <v>0</v>
      </c>
      <c r="G118" s="80" t="b">
        <v>0</v>
      </c>
    </row>
    <row r="119" spans="1:7" ht="15">
      <c r="A119" s="112" t="s">
        <v>4156</v>
      </c>
      <c r="B119" s="80">
        <v>3</v>
      </c>
      <c r="C119" s="113">
        <v>0.0024268281747795322</v>
      </c>
      <c r="D119" s="80" t="s">
        <v>4356</v>
      </c>
      <c r="E119" s="80" t="b">
        <v>0</v>
      </c>
      <c r="F119" s="80" t="b">
        <v>0</v>
      </c>
      <c r="G119" s="80" t="b">
        <v>0</v>
      </c>
    </row>
    <row r="120" spans="1:7" ht="15">
      <c r="A120" s="112" t="s">
        <v>4183</v>
      </c>
      <c r="B120" s="80">
        <v>3</v>
      </c>
      <c r="C120" s="113">
        <v>0.0024268281747795322</v>
      </c>
      <c r="D120" s="80" t="s">
        <v>4356</v>
      </c>
      <c r="E120" s="80" t="b">
        <v>0</v>
      </c>
      <c r="F120" s="80" t="b">
        <v>0</v>
      </c>
      <c r="G120" s="80" t="b">
        <v>0</v>
      </c>
    </row>
    <row r="121" spans="1:7" ht="15">
      <c r="A121" s="112" t="s">
        <v>4194</v>
      </c>
      <c r="B121" s="80">
        <v>3</v>
      </c>
      <c r="C121" s="113">
        <v>0.0024268281747795322</v>
      </c>
      <c r="D121" s="80" t="s">
        <v>4356</v>
      </c>
      <c r="E121" s="80" t="b">
        <v>0</v>
      </c>
      <c r="F121" s="80" t="b">
        <v>0</v>
      </c>
      <c r="G121" s="80" t="b">
        <v>0</v>
      </c>
    </row>
    <row r="122" spans="1:7" ht="15">
      <c r="A122" s="112" t="s">
        <v>4221</v>
      </c>
      <c r="B122" s="80">
        <v>3</v>
      </c>
      <c r="C122" s="113">
        <v>0.003050244448367941</v>
      </c>
      <c r="D122" s="80" t="s">
        <v>4356</v>
      </c>
      <c r="E122" s="80" t="b">
        <v>0</v>
      </c>
      <c r="F122" s="80" t="b">
        <v>0</v>
      </c>
      <c r="G122" s="80" t="b">
        <v>0</v>
      </c>
    </row>
    <row r="123" spans="1:7" ht="15">
      <c r="A123" s="112" t="s">
        <v>4178</v>
      </c>
      <c r="B123" s="80">
        <v>3</v>
      </c>
      <c r="C123" s="113">
        <v>0.0024268281747795322</v>
      </c>
      <c r="D123" s="80" t="s">
        <v>4356</v>
      </c>
      <c r="E123" s="80" t="b">
        <v>0</v>
      </c>
      <c r="F123" s="80" t="b">
        <v>0</v>
      </c>
      <c r="G123" s="80" t="b">
        <v>0</v>
      </c>
    </row>
    <row r="124" spans="1:7" ht="15">
      <c r="A124" s="112" t="s">
        <v>4220</v>
      </c>
      <c r="B124" s="80">
        <v>3</v>
      </c>
      <c r="C124" s="113">
        <v>0.0026569125725003705</v>
      </c>
      <c r="D124" s="80" t="s">
        <v>4356</v>
      </c>
      <c r="E124" s="80" t="b">
        <v>0</v>
      </c>
      <c r="F124" s="80" t="b">
        <v>0</v>
      </c>
      <c r="G124" s="80" t="b">
        <v>0</v>
      </c>
    </row>
    <row r="125" spans="1:7" ht="15">
      <c r="A125" s="112" t="s">
        <v>4207</v>
      </c>
      <c r="B125" s="80">
        <v>3</v>
      </c>
      <c r="C125" s="113">
        <v>0.0024268281747795322</v>
      </c>
      <c r="D125" s="80" t="s">
        <v>4356</v>
      </c>
      <c r="E125" s="80" t="b">
        <v>0</v>
      </c>
      <c r="F125" s="80" t="b">
        <v>0</v>
      </c>
      <c r="G125" s="80" t="b">
        <v>0</v>
      </c>
    </row>
    <row r="126" spans="1:7" ht="15">
      <c r="A126" s="112" t="s">
        <v>4238</v>
      </c>
      <c r="B126" s="80">
        <v>3</v>
      </c>
      <c r="C126" s="113">
        <v>0.0024268281747795322</v>
      </c>
      <c r="D126" s="80" t="s">
        <v>4356</v>
      </c>
      <c r="E126" s="80" t="b">
        <v>0</v>
      </c>
      <c r="F126" s="80" t="b">
        <v>0</v>
      </c>
      <c r="G126" s="80" t="b">
        <v>0</v>
      </c>
    </row>
    <row r="127" spans="1:7" ht="15">
      <c r="A127" s="112" t="s">
        <v>4202</v>
      </c>
      <c r="B127" s="80">
        <v>3</v>
      </c>
      <c r="C127" s="113">
        <v>0.0026569125725003705</v>
      </c>
      <c r="D127" s="80" t="s">
        <v>4356</v>
      </c>
      <c r="E127" s="80" t="b">
        <v>0</v>
      </c>
      <c r="F127" s="80" t="b">
        <v>0</v>
      </c>
      <c r="G127" s="80" t="b">
        <v>0</v>
      </c>
    </row>
    <row r="128" spans="1:7" ht="15">
      <c r="A128" s="112" t="s">
        <v>4303</v>
      </c>
      <c r="B128" s="80">
        <v>3</v>
      </c>
      <c r="C128" s="113">
        <v>0.003050244448367941</v>
      </c>
      <c r="D128" s="80" t="s">
        <v>4356</v>
      </c>
      <c r="E128" s="80" t="b">
        <v>1</v>
      </c>
      <c r="F128" s="80" t="b">
        <v>0</v>
      </c>
      <c r="G128" s="80" t="b">
        <v>0</v>
      </c>
    </row>
    <row r="129" spans="1:7" ht="15">
      <c r="A129" s="112" t="s">
        <v>4139</v>
      </c>
      <c r="B129" s="80">
        <v>3</v>
      </c>
      <c r="C129" s="113">
        <v>0.003050244448367941</v>
      </c>
      <c r="D129" s="80" t="s">
        <v>4356</v>
      </c>
      <c r="E129" s="80" t="b">
        <v>0</v>
      </c>
      <c r="F129" s="80" t="b">
        <v>0</v>
      </c>
      <c r="G129" s="80" t="b">
        <v>0</v>
      </c>
    </row>
    <row r="130" spans="1:7" ht="15">
      <c r="A130" s="112" t="s">
        <v>4199</v>
      </c>
      <c r="B130" s="80">
        <v>3</v>
      </c>
      <c r="C130" s="113">
        <v>0.0026569125725003705</v>
      </c>
      <c r="D130" s="80" t="s">
        <v>4356</v>
      </c>
      <c r="E130" s="80" t="b">
        <v>0</v>
      </c>
      <c r="F130" s="80" t="b">
        <v>0</v>
      </c>
      <c r="G130" s="80" t="b">
        <v>0</v>
      </c>
    </row>
    <row r="131" spans="1:7" ht="15">
      <c r="A131" s="112" t="s">
        <v>4304</v>
      </c>
      <c r="B131" s="80">
        <v>3</v>
      </c>
      <c r="C131" s="113">
        <v>0.0024268281747795322</v>
      </c>
      <c r="D131" s="80" t="s">
        <v>4356</v>
      </c>
      <c r="E131" s="80" t="b">
        <v>0</v>
      </c>
      <c r="F131" s="80" t="b">
        <v>0</v>
      </c>
      <c r="G131" s="80" t="b">
        <v>0</v>
      </c>
    </row>
    <row r="132" spans="1:7" ht="15">
      <c r="A132" s="112" t="s">
        <v>4305</v>
      </c>
      <c r="B132" s="80">
        <v>3</v>
      </c>
      <c r="C132" s="113">
        <v>0.0024268281747795322</v>
      </c>
      <c r="D132" s="80" t="s">
        <v>4356</v>
      </c>
      <c r="E132" s="80" t="b">
        <v>0</v>
      </c>
      <c r="F132" s="80" t="b">
        <v>0</v>
      </c>
      <c r="G132" s="80" t="b">
        <v>0</v>
      </c>
    </row>
    <row r="133" spans="1:7" ht="15">
      <c r="A133" s="112" t="s">
        <v>4306</v>
      </c>
      <c r="B133" s="80">
        <v>3</v>
      </c>
      <c r="C133" s="113">
        <v>0.0024268281747795322</v>
      </c>
      <c r="D133" s="80" t="s">
        <v>4356</v>
      </c>
      <c r="E133" s="80" t="b">
        <v>0</v>
      </c>
      <c r="F133" s="80" t="b">
        <v>0</v>
      </c>
      <c r="G133" s="80" t="b">
        <v>0</v>
      </c>
    </row>
    <row r="134" spans="1:7" ht="15">
      <c r="A134" s="112" t="s">
        <v>4227</v>
      </c>
      <c r="B134" s="80">
        <v>3</v>
      </c>
      <c r="C134" s="113">
        <v>0.0024268281747795322</v>
      </c>
      <c r="D134" s="80" t="s">
        <v>4356</v>
      </c>
      <c r="E134" s="80" t="b">
        <v>0</v>
      </c>
      <c r="F134" s="80" t="b">
        <v>0</v>
      </c>
      <c r="G134" s="80" t="b">
        <v>0</v>
      </c>
    </row>
    <row r="135" spans="1:7" ht="15">
      <c r="A135" s="112" t="s">
        <v>4307</v>
      </c>
      <c r="B135" s="80">
        <v>3</v>
      </c>
      <c r="C135" s="113">
        <v>0.003050244448367941</v>
      </c>
      <c r="D135" s="80" t="s">
        <v>4356</v>
      </c>
      <c r="E135" s="80" t="b">
        <v>0</v>
      </c>
      <c r="F135" s="80" t="b">
        <v>0</v>
      </c>
      <c r="G135" s="80" t="b">
        <v>0</v>
      </c>
    </row>
    <row r="136" spans="1:7" ht="15">
      <c r="A136" s="112" t="s">
        <v>4262</v>
      </c>
      <c r="B136" s="80">
        <v>3</v>
      </c>
      <c r="C136" s="113">
        <v>0.003050244448367941</v>
      </c>
      <c r="D136" s="80" t="s">
        <v>4356</v>
      </c>
      <c r="E136" s="80" t="b">
        <v>0</v>
      </c>
      <c r="F136" s="80" t="b">
        <v>0</v>
      </c>
      <c r="G136" s="80" t="b">
        <v>0</v>
      </c>
    </row>
    <row r="137" spans="1:7" ht="15">
      <c r="A137" s="112" t="s">
        <v>4249</v>
      </c>
      <c r="B137" s="80">
        <v>3</v>
      </c>
      <c r="C137" s="113">
        <v>0.003050244448367941</v>
      </c>
      <c r="D137" s="80" t="s">
        <v>4356</v>
      </c>
      <c r="E137" s="80" t="b">
        <v>0</v>
      </c>
      <c r="F137" s="80" t="b">
        <v>0</v>
      </c>
      <c r="G137" s="80" t="b">
        <v>0</v>
      </c>
    </row>
    <row r="138" spans="1:7" ht="15">
      <c r="A138" s="112" t="s">
        <v>4283</v>
      </c>
      <c r="B138" s="80">
        <v>3</v>
      </c>
      <c r="C138" s="113">
        <v>0.0026569125725003705</v>
      </c>
      <c r="D138" s="80" t="s">
        <v>4356</v>
      </c>
      <c r="E138" s="80" t="b">
        <v>0</v>
      </c>
      <c r="F138" s="80" t="b">
        <v>0</v>
      </c>
      <c r="G138" s="80" t="b">
        <v>0</v>
      </c>
    </row>
    <row r="139" spans="1:7" ht="15">
      <c r="A139" s="112" t="s">
        <v>4261</v>
      </c>
      <c r="B139" s="80">
        <v>3</v>
      </c>
      <c r="C139" s="113">
        <v>0.003050244448367941</v>
      </c>
      <c r="D139" s="80" t="s">
        <v>4356</v>
      </c>
      <c r="E139" s="80" t="b">
        <v>0</v>
      </c>
      <c r="F139" s="80" t="b">
        <v>0</v>
      </c>
      <c r="G139" s="80" t="b">
        <v>0</v>
      </c>
    </row>
    <row r="140" spans="1:7" ht="15">
      <c r="A140" s="112" t="s">
        <v>4230</v>
      </c>
      <c r="B140" s="80">
        <v>3</v>
      </c>
      <c r="C140" s="113">
        <v>0.0026569125725003705</v>
      </c>
      <c r="D140" s="80" t="s">
        <v>4356</v>
      </c>
      <c r="E140" s="80" t="b">
        <v>0</v>
      </c>
      <c r="F140" s="80" t="b">
        <v>0</v>
      </c>
      <c r="G140" s="80" t="b">
        <v>0</v>
      </c>
    </row>
    <row r="141" spans="1:7" ht="15">
      <c r="A141" s="112" t="s">
        <v>4180</v>
      </c>
      <c r="B141" s="80">
        <v>3</v>
      </c>
      <c r="C141" s="113">
        <v>0.0026569125725003705</v>
      </c>
      <c r="D141" s="80" t="s">
        <v>4356</v>
      </c>
      <c r="E141" s="80" t="b">
        <v>0</v>
      </c>
      <c r="F141" s="80" t="b">
        <v>0</v>
      </c>
      <c r="G141" s="80" t="b">
        <v>0</v>
      </c>
    </row>
    <row r="142" spans="1:7" ht="15">
      <c r="A142" s="112" t="s">
        <v>4226</v>
      </c>
      <c r="B142" s="80">
        <v>3</v>
      </c>
      <c r="C142" s="113">
        <v>0.0024268281747795322</v>
      </c>
      <c r="D142" s="80" t="s">
        <v>4356</v>
      </c>
      <c r="E142" s="80" t="b">
        <v>0</v>
      </c>
      <c r="F142" s="80" t="b">
        <v>0</v>
      </c>
      <c r="G142" s="80" t="b">
        <v>0</v>
      </c>
    </row>
    <row r="143" spans="1:7" ht="15">
      <c r="A143" s="112" t="s">
        <v>4256</v>
      </c>
      <c r="B143" s="80">
        <v>3</v>
      </c>
      <c r="C143" s="113">
        <v>0.0024268281747795322</v>
      </c>
      <c r="D143" s="80" t="s">
        <v>4356</v>
      </c>
      <c r="E143" s="80" t="b">
        <v>0</v>
      </c>
      <c r="F143" s="80" t="b">
        <v>0</v>
      </c>
      <c r="G143" s="80" t="b">
        <v>0</v>
      </c>
    </row>
    <row r="144" spans="1:7" ht="15">
      <c r="A144" s="112" t="s">
        <v>4276</v>
      </c>
      <c r="B144" s="80">
        <v>3</v>
      </c>
      <c r="C144" s="113">
        <v>0.0024268281747795322</v>
      </c>
      <c r="D144" s="80" t="s">
        <v>4356</v>
      </c>
      <c r="E144" s="80" t="b">
        <v>0</v>
      </c>
      <c r="F144" s="80" t="b">
        <v>0</v>
      </c>
      <c r="G144" s="80" t="b">
        <v>0</v>
      </c>
    </row>
    <row r="145" spans="1:7" ht="15">
      <c r="A145" s="112" t="s">
        <v>4275</v>
      </c>
      <c r="B145" s="80">
        <v>3</v>
      </c>
      <c r="C145" s="113">
        <v>0.0024268281747795322</v>
      </c>
      <c r="D145" s="80" t="s">
        <v>4356</v>
      </c>
      <c r="E145" s="80" t="b">
        <v>0</v>
      </c>
      <c r="F145" s="80" t="b">
        <v>0</v>
      </c>
      <c r="G145" s="80" t="b">
        <v>0</v>
      </c>
    </row>
    <row r="146" spans="1:7" ht="15">
      <c r="A146" s="112" t="s">
        <v>4309</v>
      </c>
      <c r="B146" s="80">
        <v>3</v>
      </c>
      <c r="C146" s="113">
        <v>0.0024268281747795322</v>
      </c>
      <c r="D146" s="80" t="s">
        <v>4356</v>
      </c>
      <c r="E146" s="80" t="b">
        <v>0</v>
      </c>
      <c r="F146" s="80" t="b">
        <v>0</v>
      </c>
      <c r="G146" s="80" t="b">
        <v>0</v>
      </c>
    </row>
    <row r="147" spans="1:7" ht="15">
      <c r="A147" s="112" t="s">
        <v>4242</v>
      </c>
      <c r="B147" s="80">
        <v>3</v>
      </c>
      <c r="C147" s="113">
        <v>0.0024268281747795322</v>
      </c>
      <c r="D147" s="80" t="s">
        <v>4356</v>
      </c>
      <c r="E147" s="80" t="b">
        <v>0</v>
      </c>
      <c r="F147" s="80" t="b">
        <v>0</v>
      </c>
      <c r="G147" s="80" t="b">
        <v>0</v>
      </c>
    </row>
    <row r="148" spans="1:7" ht="15">
      <c r="A148" s="112" t="s">
        <v>4208</v>
      </c>
      <c r="B148" s="80">
        <v>3</v>
      </c>
      <c r="C148" s="113">
        <v>0.003050244448367941</v>
      </c>
      <c r="D148" s="80" t="s">
        <v>4356</v>
      </c>
      <c r="E148" s="80" t="b">
        <v>0</v>
      </c>
      <c r="F148" s="80" t="b">
        <v>0</v>
      </c>
      <c r="G148" s="80" t="b">
        <v>0</v>
      </c>
    </row>
    <row r="149" spans="1:7" ht="15">
      <c r="A149" s="112" t="s">
        <v>4279</v>
      </c>
      <c r="B149" s="80">
        <v>3</v>
      </c>
      <c r="C149" s="113">
        <v>0.003050244448367941</v>
      </c>
      <c r="D149" s="80" t="s">
        <v>4356</v>
      </c>
      <c r="E149" s="80" t="b">
        <v>0</v>
      </c>
      <c r="F149" s="80" t="b">
        <v>1</v>
      </c>
      <c r="G149" s="80" t="b">
        <v>0</v>
      </c>
    </row>
    <row r="150" spans="1:7" ht="15">
      <c r="A150" s="112" t="s">
        <v>4288</v>
      </c>
      <c r="B150" s="80">
        <v>3</v>
      </c>
      <c r="C150" s="113">
        <v>0.0026569125725003705</v>
      </c>
      <c r="D150" s="80" t="s">
        <v>4356</v>
      </c>
      <c r="E150" s="80" t="b">
        <v>0</v>
      </c>
      <c r="F150" s="80" t="b">
        <v>0</v>
      </c>
      <c r="G150" s="80" t="b">
        <v>0</v>
      </c>
    </row>
    <row r="151" spans="1:7" ht="15">
      <c r="A151" s="112" t="s">
        <v>4310</v>
      </c>
      <c r="B151" s="80">
        <v>3</v>
      </c>
      <c r="C151" s="113">
        <v>0.003050244448367941</v>
      </c>
      <c r="D151" s="80" t="s">
        <v>4356</v>
      </c>
      <c r="E151" s="80" t="b">
        <v>0</v>
      </c>
      <c r="F151" s="80" t="b">
        <v>0</v>
      </c>
      <c r="G151" s="80" t="b">
        <v>0</v>
      </c>
    </row>
    <row r="152" spans="1:7" ht="15">
      <c r="A152" s="112" t="s">
        <v>4311</v>
      </c>
      <c r="B152" s="80">
        <v>3</v>
      </c>
      <c r="C152" s="113">
        <v>0.003050244448367941</v>
      </c>
      <c r="D152" s="80" t="s">
        <v>4356</v>
      </c>
      <c r="E152" s="80" t="b">
        <v>0</v>
      </c>
      <c r="F152" s="80" t="b">
        <v>0</v>
      </c>
      <c r="G152" s="80" t="b">
        <v>0</v>
      </c>
    </row>
    <row r="153" spans="1:7" ht="15">
      <c r="A153" s="112" t="s">
        <v>4286</v>
      </c>
      <c r="B153" s="80">
        <v>3</v>
      </c>
      <c r="C153" s="113">
        <v>0.0024268281747795322</v>
      </c>
      <c r="D153" s="80" t="s">
        <v>4356</v>
      </c>
      <c r="E153" s="80" t="b">
        <v>0</v>
      </c>
      <c r="F153" s="80" t="b">
        <v>0</v>
      </c>
      <c r="G153" s="80" t="b">
        <v>0</v>
      </c>
    </row>
    <row r="154" spans="1:7" ht="15">
      <c r="A154" s="112" t="s">
        <v>4197</v>
      </c>
      <c r="B154" s="80">
        <v>3</v>
      </c>
      <c r="C154" s="113">
        <v>0.003050244448367941</v>
      </c>
      <c r="D154" s="80" t="s">
        <v>4356</v>
      </c>
      <c r="E154" s="80" t="b">
        <v>0</v>
      </c>
      <c r="F154" s="80" t="b">
        <v>0</v>
      </c>
      <c r="G154" s="80" t="b">
        <v>0</v>
      </c>
    </row>
    <row r="155" spans="1:7" ht="15">
      <c r="A155" s="112" t="s">
        <v>4198</v>
      </c>
      <c r="B155" s="80">
        <v>3</v>
      </c>
      <c r="C155" s="113">
        <v>0.003050244448367941</v>
      </c>
      <c r="D155" s="80" t="s">
        <v>4356</v>
      </c>
      <c r="E155" s="80" t="b">
        <v>0</v>
      </c>
      <c r="F155" s="80" t="b">
        <v>0</v>
      </c>
      <c r="G155" s="80" t="b">
        <v>0</v>
      </c>
    </row>
    <row r="156" spans="1:7" ht="15">
      <c r="A156" s="112" t="s">
        <v>4210</v>
      </c>
      <c r="B156" s="80">
        <v>3</v>
      </c>
      <c r="C156" s="113">
        <v>0.003050244448367941</v>
      </c>
      <c r="D156" s="80" t="s">
        <v>4356</v>
      </c>
      <c r="E156" s="80" t="b">
        <v>0</v>
      </c>
      <c r="F156" s="80" t="b">
        <v>0</v>
      </c>
      <c r="G156" s="80" t="b">
        <v>0</v>
      </c>
    </row>
    <row r="157" spans="1:7" ht="15">
      <c r="A157" s="112" t="s">
        <v>4313</v>
      </c>
      <c r="B157" s="80">
        <v>2</v>
      </c>
      <c r="C157" s="113">
        <v>0.00177127504833358</v>
      </c>
      <c r="D157" s="80" t="s">
        <v>4356</v>
      </c>
      <c r="E157" s="80" t="b">
        <v>0</v>
      </c>
      <c r="F157" s="80" t="b">
        <v>0</v>
      </c>
      <c r="G157" s="80" t="b">
        <v>0</v>
      </c>
    </row>
    <row r="158" spans="1:7" ht="15">
      <c r="A158" s="112" t="s">
        <v>4296</v>
      </c>
      <c r="B158" s="80">
        <v>2</v>
      </c>
      <c r="C158" s="113">
        <v>0.00177127504833358</v>
      </c>
      <c r="D158" s="80" t="s">
        <v>4356</v>
      </c>
      <c r="E158" s="80" t="b">
        <v>0</v>
      </c>
      <c r="F158" s="80" t="b">
        <v>0</v>
      </c>
      <c r="G158" s="80" t="b">
        <v>0</v>
      </c>
    </row>
    <row r="159" spans="1:7" ht="15">
      <c r="A159" s="112" t="s">
        <v>4314</v>
      </c>
      <c r="B159" s="80">
        <v>2</v>
      </c>
      <c r="C159" s="113">
        <v>0.00177127504833358</v>
      </c>
      <c r="D159" s="80" t="s">
        <v>4356</v>
      </c>
      <c r="E159" s="80" t="b">
        <v>0</v>
      </c>
      <c r="F159" s="80" t="b">
        <v>0</v>
      </c>
      <c r="G159" s="80" t="b">
        <v>0</v>
      </c>
    </row>
    <row r="160" spans="1:7" ht="15">
      <c r="A160" s="112" t="s">
        <v>4240</v>
      </c>
      <c r="B160" s="80">
        <v>2</v>
      </c>
      <c r="C160" s="113">
        <v>0.00177127504833358</v>
      </c>
      <c r="D160" s="80" t="s">
        <v>4356</v>
      </c>
      <c r="E160" s="80" t="b">
        <v>0</v>
      </c>
      <c r="F160" s="80" t="b">
        <v>0</v>
      </c>
      <c r="G160" s="80" t="b">
        <v>0</v>
      </c>
    </row>
    <row r="161" spans="1:7" ht="15">
      <c r="A161" s="112" t="s">
        <v>4152</v>
      </c>
      <c r="B161" s="80">
        <v>2</v>
      </c>
      <c r="C161" s="113">
        <v>0.00177127504833358</v>
      </c>
      <c r="D161" s="80" t="s">
        <v>4356</v>
      </c>
      <c r="E161" s="80" t="b">
        <v>0</v>
      </c>
      <c r="F161" s="80" t="b">
        <v>0</v>
      </c>
      <c r="G161" s="80" t="b">
        <v>0</v>
      </c>
    </row>
    <row r="162" spans="1:7" ht="15">
      <c r="A162" s="112" t="s">
        <v>4315</v>
      </c>
      <c r="B162" s="80">
        <v>2</v>
      </c>
      <c r="C162" s="113">
        <v>0.00177127504833358</v>
      </c>
      <c r="D162" s="80" t="s">
        <v>4356</v>
      </c>
      <c r="E162" s="80" t="b">
        <v>0</v>
      </c>
      <c r="F162" s="80" t="b">
        <v>0</v>
      </c>
      <c r="G162" s="80" t="b">
        <v>0</v>
      </c>
    </row>
    <row r="163" spans="1:7" ht="15">
      <c r="A163" s="112" t="s">
        <v>4316</v>
      </c>
      <c r="B163" s="80">
        <v>2</v>
      </c>
      <c r="C163" s="113">
        <v>0.00177127504833358</v>
      </c>
      <c r="D163" s="80" t="s">
        <v>4356</v>
      </c>
      <c r="E163" s="80" t="b">
        <v>0</v>
      </c>
      <c r="F163" s="80" t="b">
        <v>0</v>
      </c>
      <c r="G163" s="80" t="b">
        <v>0</v>
      </c>
    </row>
    <row r="164" spans="1:7" ht="15">
      <c r="A164" s="112" t="s">
        <v>4317</v>
      </c>
      <c r="B164" s="80">
        <v>2</v>
      </c>
      <c r="C164" s="113">
        <v>0.0020334962989119604</v>
      </c>
      <c r="D164" s="80" t="s">
        <v>4356</v>
      </c>
      <c r="E164" s="80" t="b">
        <v>0</v>
      </c>
      <c r="F164" s="80" t="b">
        <v>0</v>
      </c>
      <c r="G164" s="80" t="b">
        <v>0</v>
      </c>
    </row>
    <row r="165" spans="1:7" ht="15">
      <c r="A165" s="112" t="s">
        <v>4259</v>
      </c>
      <c r="B165" s="80">
        <v>2</v>
      </c>
      <c r="C165" s="113">
        <v>0.00177127504833358</v>
      </c>
      <c r="D165" s="80" t="s">
        <v>4356</v>
      </c>
      <c r="E165" s="80" t="b">
        <v>0</v>
      </c>
      <c r="F165" s="80" t="b">
        <v>0</v>
      </c>
      <c r="G165" s="80" t="b">
        <v>0</v>
      </c>
    </row>
    <row r="166" spans="1:7" ht="15">
      <c r="A166" s="112" t="s">
        <v>4246</v>
      </c>
      <c r="B166" s="80">
        <v>2</v>
      </c>
      <c r="C166" s="113">
        <v>0.00177127504833358</v>
      </c>
      <c r="D166" s="80" t="s">
        <v>4356</v>
      </c>
      <c r="E166" s="80" t="b">
        <v>0</v>
      </c>
      <c r="F166" s="80" t="b">
        <v>0</v>
      </c>
      <c r="G166" s="80" t="b">
        <v>0</v>
      </c>
    </row>
    <row r="167" spans="1:7" ht="15">
      <c r="A167" s="112" t="s">
        <v>4211</v>
      </c>
      <c r="B167" s="80">
        <v>2</v>
      </c>
      <c r="C167" s="113">
        <v>0.00177127504833358</v>
      </c>
      <c r="D167" s="80" t="s">
        <v>4356</v>
      </c>
      <c r="E167" s="80" t="b">
        <v>0</v>
      </c>
      <c r="F167" s="80" t="b">
        <v>0</v>
      </c>
      <c r="G167" s="80" t="b">
        <v>0</v>
      </c>
    </row>
    <row r="168" spans="1:7" ht="15">
      <c r="A168" s="112" t="s">
        <v>4318</v>
      </c>
      <c r="B168" s="80">
        <v>2</v>
      </c>
      <c r="C168" s="113">
        <v>0.00177127504833358</v>
      </c>
      <c r="D168" s="80" t="s">
        <v>4356</v>
      </c>
      <c r="E168" s="80" t="b">
        <v>0</v>
      </c>
      <c r="F168" s="80" t="b">
        <v>0</v>
      </c>
      <c r="G168" s="80" t="b">
        <v>0</v>
      </c>
    </row>
    <row r="169" spans="1:7" ht="15">
      <c r="A169" s="112" t="s">
        <v>4245</v>
      </c>
      <c r="B169" s="80">
        <v>2</v>
      </c>
      <c r="C169" s="113">
        <v>0.00177127504833358</v>
      </c>
      <c r="D169" s="80" t="s">
        <v>4356</v>
      </c>
      <c r="E169" s="80" t="b">
        <v>0</v>
      </c>
      <c r="F169" s="80" t="b">
        <v>0</v>
      </c>
      <c r="G169" s="80" t="b">
        <v>0</v>
      </c>
    </row>
    <row r="170" spans="1:7" ht="15">
      <c r="A170" s="112" t="s">
        <v>4280</v>
      </c>
      <c r="B170" s="80">
        <v>2</v>
      </c>
      <c r="C170" s="113">
        <v>0.00177127504833358</v>
      </c>
      <c r="D170" s="80" t="s">
        <v>4356</v>
      </c>
      <c r="E170" s="80" t="b">
        <v>0</v>
      </c>
      <c r="F170" s="80" t="b">
        <v>0</v>
      </c>
      <c r="G170" s="80" t="b">
        <v>0</v>
      </c>
    </row>
    <row r="171" spans="1:7" ht="15">
      <c r="A171" s="112" t="s">
        <v>4301</v>
      </c>
      <c r="B171" s="80">
        <v>2</v>
      </c>
      <c r="C171" s="113">
        <v>0.0020334962989119604</v>
      </c>
      <c r="D171" s="80" t="s">
        <v>4356</v>
      </c>
      <c r="E171" s="80" t="b">
        <v>0</v>
      </c>
      <c r="F171" s="80" t="b">
        <v>0</v>
      </c>
      <c r="G171" s="80" t="b">
        <v>0</v>
      </c>
    </row>
    <row r="172" spans="1:7" ht="15">
      <c r="A172" s="112" t="s">
        <v>4218</v>
      </c>
      <c r="B172" s="80">
        <v>2</v>
      </c>
      <c r="C172" s="113">
        <v>0.00177127504833358</v>
      </c>
      <c r="D172" s="80" t="s">
        <v>4356</v>
      </c>
      <c r="E172" s="80" t="b">
        <v>0</v>
      </c>
      <c r="F172" s="80" t="b">
        <v>0</v>
      </c>
      <c r="G172" s="80" t="b">
        <v>0</v>
      </c>
    </row>
    <row r="173" spans="1:7" ht="15">
      <c r="A173" s="112" t="s">
        <v>4219</v>
      </c>
      <c r="B173" s="80">
        <v>2</v>
      </c>
      <c r="C173" s="113">
        <v>0.00177127504833358</v>
      </c>
      <c r="D173" s="80" t="s">
        <v>4356</v>
      </c>
      <c r="E173" s="80" t="b">
        <v>0</v>
      </c>
      <c r="F173" s="80" t="b">
        <v>0</v>
      </c>
      <c r="G173" s="80" t="b">
        <v>0</v>
      </c>
    </row>
    <row r="174" spans="1:7" ht="15">
      <c r="A174" s="112" t="s">
        <v>4253</v>
      </c>
      <c r="B174" s="80">
        <v>2</v>
      </c>
      <c r="C174" s="113">
        <v>0.00177127504833358</v>
      </c>
      <c r="D174" s="80" t="s">
        <v>4356</v>
      </c>
      <c r="E174" s="80" t="b">
        <v>0</v>
      </c>
      <c r="F174" s="80" t="b">
        <v>0</v>
      </c>
      <c r="G174" s="80" t="b">
        <v>0</v>
      </c>
    </row>
    <row r="175" spans="1:7" ht="15">
      <c r="A175" s="112" t="s">
        <v>4319</v>
      </c>
      <c r="B175" s="80">
        <v>2</v>
      </c>
      <c r="C175" s="113">
        <v>0.00177127504833358</v>
      </c>
      <c r="D175" s="80" t="s">
        <v>4356</v>
      </c>
      <c r="E175" s="80" t="b">
        <v>0</v>
      </c>
      <c r="F175" s="80" t="b">
        <v>0</v>
      </c>
      <c r="G175" s="80" t="b">
        <v>0</v>
      </c>
    </row>
    <row r="176" spans="1:7" ht="15">
      <c r="A176" s="112" t="s">
        <v>4300</v>
      </c>
      <c r="B176" s="80">
        <v>2</v>
      </c>
      <c r="C176" s="113">
        <v>0.00177127504833358</v>
      </c>
      <c r="D176" s="80" t="s">
        <v>4356</v>
      </c>
      <c r="E176" s="80" t="b">
        <v>0</v>
      </c>
      <c r="F176" s="80" t="b">
        <v>0</v>
      </c>
      <c r="G176" s="80" t="b">
        <v>0</v>
      </c>
    </row>
    <row r="177" spans="1:7" ht="15">
      <c r="A177" s="112" t="s">
        <v>4320</v>
      </c>
      <c r="B177" s="80">
        <v>2</v>
      </c>
      <c r="C177" s="113">
        <v>0.00177127504833358</v>
      </c>
      <c r="D177" s="80" t="s">
        <v>4356</v>
      </c>
      <c r="E177" s="80" t="b">
        <v>0</v>
      </c>
      <c r="F177" s="80" t="b">
        <v>0</v>
      </c>
      <c r="G177" s="80" t="b">
        <v>0</v>
      </c>
    </row>
    <row r="178" spans="1:7" ht="15">
      <c r="A178" s="112" t="s">
        <v>4321</v>
      </c>
      <c r="B178" s="80">
        <v>2</v>
      </c>
      <c r="C178" s="113">
        <v>0.0020334962989119604</v>
      </c>
      <c r="D178" s="80" t="s">
        <v>4356</v>
      </c>
      <c r="E178" s="80" t="b">
        <v>0</v>
      </c>
      <c r="F178" s="80" t="b">
        <v>0</v>
      </c>
      <c r="G178" s="80" t="b">
        <v>0</v>
      </c>
    </row>
    <row r="179" spans="1:7" ht="15">
      <c r="A179" s="112" t="s">
        <v>4322</v>
      </c>
      <c r="B179" s="80">
        <v>2</v>
      </c>
      <c r="C179" s="113">
        <v>0.0020334962989119604</v>
      </c>
      <c r="D179" s="80" t="s">
        <v>4356</v>
      </c>
      <c r="E179" s="80" t="b">
        <v>0</v>
      </c>
      <c r="F179" s="80" t="b">
        <v>0</v>
      </c>
      <c r="G179" s="80" t="b">
        <v>0</v>
      </c>
    </row>
    <row r="180" spans="1:7" ht="15">
      <c r="A180" s="112" t="s">
        <v>4273</v>
      </c>
      <c r="B180" s="80">
        <v>2</v>
      </c>
      <c r="C180" s="113">
        <v>0.00177127504833358</v>
      </c>
      <c r="D180" s="80" t="s">
        <v>4356</v>
      </c>
      <c r="E180" s="80" t="b">
        <v>0</v>
      </c>
      <c r="F180" s="80" t="b">
        <v>0</v>
      </c>
      <c r="G180" s="80" t="b">
        <v>0</v>
      </c>
    </row>
    <row r="181" spans="1:7" ht="15">
      <c r="A181" s="112" t="s">
        <v>4323</v>
      </c>
      <c r="B181" s="80">
        <v>2</v>
      </c>
      <c r="C181" s="113">
        <v>0.00177127504833358</v>
      </c>
      <c r="D181" s="80" t="s">
        <v>4356</v>
      </c>
      <c r="E181" s="80" t="b">
        <v>0</v>
      </c>
      <c r="F181" s="80" t="b">
        <v>0</v>
      </c>
      <c r="G181" s="80" t="b">
        <v>0</v>
      </c>
    </row>
    <row r="182" spans="1:7" ht="15">
      <c r="A182" s="112" t="s">
        <v>4324</v>
      </c>
      <c r="B182" s="80">
        <v>2</v>
      </c>
      <c r="C182" s="113">
        <v>0.00177127504833358</v>
      </c>
      <c r="D182" s="80" t="s">
        <v>4356</v>
      </c>
      <c r="E182" s="80" t="b">
        <v>0</v>
      </c>
      <c r="F182" s="80" t="b">
        <v>0</v>
      </c>
      <c r="G182" s="80" t="b">
        <v>0</v>
      </c>
    </row>
    <row r="183" spans="1:7" ht="15">
      <c r="A183" s="112" t="s">
        <v>4271</v>
      </c>
      <c r="B183" s="80">
        <v>2</v>
      </c>
      <c r="C183" s="113">
        <v>0.00177127504833358</v>
      </c>
      <c r="D183" s="80" t="s">
        <v>4356</v>
      </c>
      <c r="E183" s="80" t="b">
        <v>0</v>
      </c>
      <c r="F183" s="80" t="b">
        <v>0</v>
      </c>
      <c r="G183" s="80" t="b">
        <v>0</v>
      </c>
    </row>
    <row r="184" spans="1:7" ht="15">
      <c r="A184" s="112" t="s">
        <v>4274</v>
      </c>
      <c r="B184" s="80">
        <v>2</v>
      </c>
      <c r="C184" s="113">
        <v>0.00177127504833358</v>
      </c>
      <c r="D184" s="80" t="s">
        <v>4356</v>
      </c>
      <c r="E184" s="80" t="b">
        <v>0</v>
      </c>
      <c r="F184" s="80" t="b">
        <v>0</v>
      </c>
      <c r="G184" s="80" t="b">
        <v>0</v>
      </c>
    </row>
    <row r="185" spans="1:7" ht="15">
      <c r="A185" s="112" t="s">
        <v>4277</v>
      </c>
      <c r="B185" s="80">
        <v>2</v>
      </c>
      <c r="C185" s="113">
        <v>0.00177127504833358</v>
      </c>
      <c r="D185" s="80" t="s">
        <v>4356</v>
      </c>
      <c r="E185" s="80" t="b">
        <v>0</v>
      </c>
      <c r="F185" s="80" t="b">
        <v>0</v>
      </c>
      <c r="G185" s="80" t="b">
        <v>0</v>
      </c>
    </row>
    <row r="186" spans="1:7" ht="15">
      <c r="A186" s="112" t="s">
        <v>4200</v>
      </c>
      <c r="B186" s="80">
        <v>2</v>
      </c>
      <c r="C186" s="113">
        <v>0.00177127504833358</v>
      </c>
      <c r="D186" s="80" t="s">
        <v>4356</v>
      </c>
      <c r="E186" s="80" t="b">
        <v>0</v>
      </c>
      <c r="F186" s="80" t="b">
        <v>0</v>
      </c>
      <c r="G186" s="80" t="b">
        <v>0</v>
      </c>
    </row>
    <row r="187" spans="1:7" ht="15">
      <c r="A187" s="112" t="s">
        <v>4325</v>
      </c>
      <c r="B187" s="80">
        <v>2</v>
      </c>
      <c r="C187" s="113">
        <v>0.0020334962989119604</v>
      </c>
      <c r="D187" s="80" t="s">
        <v>4356</v>
      </c>
      <c r="E187" s="80" t="b">
        <v>0</v>
      </c>
      <c r="F187" s="80" t="b">
        <v>0</v>
      </c>
      <c r="G187" s="80" t="b">
        <v>0</v>
      </c>
    </row>
    <row r="188" spans="1:7" ht="15">
      <c r="A188" s="112" t="s">
        <v>4326</v>
      </c>
      <c r="B188" s="80">
        <v>2</v>
      </c>
      <c r="C188" s="113">
        <v>0.00177127504833358</v>
      </c>
      <c r="D188" s="80" t="s">
        <v>4356</v>
      </c>
      <c r="E188" s="80" t="b">
        <v>0</v>
      </c>
      <c r="F188" s="80" t="b">
        <v>0</v>
      </c>
      <c r="G188" s="80" t="b">
        <v>0</v>
      </c>
    </row>
    <row r="189" spans="1:7" ht="15">
      <c r="A189" s="112" t="s">
        <v>4327</v>
      </c>
      <c r="B189" s="80">
        <v>2</v>
      </c>
      <c r="C189" s="113">
        <v>0.0020334962989119604</v>
      </c>
      <c r="D189" s="80" t="s">
        <v>4356</v>
      </c>
      <c r="E189" s="80" t="b">
        <v>0</v>
      </c>
      <c r="F189" s="80" t="b">
        <v>0</v>
      </c>
      <c r="G189" s="80" t="b">
        <v>0</v>
      </c>
    </row>
    <row r="190" spans="1:7" ht="15">
      <c r="A190" s="112" t="s">
        <v>4231</v>
      </c>
      <c r="B190" s="80">
        <v>2</v>
      </c>
      <c r="C190" s="113">
        <v>0.00177127504833358</v>
      </c>
      <c r="D190" s="80" t="s">
        <v>4356</v>
      </c>
      <c r="E190" s="80" t="b">
        <v>0</v>
      </c>
      <c r="F190" s="80" t="b">
        <v>0</v>
      </c>
      <c r="G190" s="80" t="b">
        <v>0</v>
      </c>
    </row>
    <row r="191" spans="1:7" ht="15">
      <c r="A191" s="112" t="s">
        <v>4328</v>
      </c>
      <c r="B191" s="80">
        <v>2</v>
      </c>
      <c r="C191" s="113">
        <v>0.00177127504833358</v>
      </c>
      <c r="D191" s="80" t="s">
        <v>4356</v>
      </c>
      <c r="E191" s="80" t="b">
        <v>0</v>
      </c>
      <c r="F191" s="80" t="b">
        <v>0</v>
      </c>
      <c r="G191" s="80" t="b">
        <v>0</v>
      </c>
    </row>
    <row r="192" spans="1:7" ht="15">
      <c r="A192" s="112" t="s">
        <v>4185</v>
      </c>
      <c r="B192" s="80">
        <v>2</v>
      </c>
      <c r="C192" s="113">
        <v>0.0020334962989119604</v>
      </c>
      <c r="D192" s="80" t="s">
        <v>4356</v>
      </c>
      <c r="E192" s="80" t="b">
        <v>0</v>
      </c>
      <c r="F192" s="80" t="b">
        <v>0</v>
      </c>
      <c r="G192" s="80" t="b">
        <v>0</v>
      </c>
    </row>
    <row r="193" spans="1:7" ht="15">
      <c r="A193" s="112" t="s">
        <v>4141</v>
      </c>
      <c r="B193" s="80">
        <v>2</v>
      </c>
      <c r="C193" s="113">
        <v>0.00177127504833358</v>
      </c>
      <c r="D193" s="80" t="s">
        <v>4356</v>
      </c>
      <c r="E193" s="80" t="b">
        <v>0</v>
      </c>
      <c r="F193" s="80" t="b">
        <v>0</v>
      </c>
      <c r="G193" s="80" t="b">
        <v>0</v>
      </c>
    </row>
    <row r="194" spans="1:7" ht="15">
      <c r="A194" s="112" t="s">
        <v>4278</v>
      </c>
      <c r="B194" s="80">
        <v>2</v>
      </c>
      <c r="C194" s="113">
        <v>0.0020334962989119604</v>
      </c>
      <c r="D194" s="80" t="s">
        <v>4356</v>
      </c>
      <c r="E194" s="80" t="b">
        <v>0</v>
      </c>
      <c r="F194" s="80" t="b">
        <v>0</v>
      </c>
      <c r="G194" s="80" t="b">
        <v>0</v>
      </c>
    </row>
    <row r="195" spans="1:7" ht="15">
      <c r="A195" s="112" t="s">
        <v>4257</v>
      </c>
      <c r="B195" s="80">
        <v>2</v>
      </c>
      <c r="C195" s="113">
        <v>0.00177127504833358</v>
      </c>
      <c r="D195" s="80" t="s">
        <v>4356</v>
      </c>
      <c r="E195" s="80" t="b">
        <v>1</v>
      </c>
      <c r="F195" s="80" t="b">
        <v>0</v>
      </c>
      <c r="G195" s="80" t="b">
        <v>0</v>
      </c>
    </row>
    <row r="196" spans="1:7" ht="15">
      <c r="A196" s="112" t="s">
        <v>4258</v>
      </c>
      <c r="B196" s="80">
        <v>2</v>
      </c>
      <c r="C196" s="113">
        <v>0.00177127504833358</v>
      </c>
      <c r="D196" s="80" t="s">
        <v>4356</v>
      </c>
      <c r="E196" s="80" t="b">
        <v>1</v>
      </c>
      <c r="F196" s="80" t="b">
        <v>0</v>
      </c>
      <c r="G196" s="80" t="b">
        <v>0</v>
      </c>
    </row>
    <row r="197" spans="1:7" ht="15">
      <c r="A197" s="112" t="s">
        <v>4209</v>
      </c>
      <c r="B197" s="80">
        <v>2</v>
      </c>
      <c r="C197" s="113">
        <v>0.00177127504833358</v>
      </c>
      <c r="D197" s="80" t="s">
        <v>4356</v>
      </c>
      <c r="E197" s="80" t="b">
        <v>0</v>
      </c>
      <c r="F197" s="80" t="b">
        <v>0</v>
      </c>
      <c r="G197" s="80" t="b">
        <v>0</v>
      </c>
    </row>
    <row r="198" spans="1:7" ht="15">
      <c r="A198" s="112" t="s">
        <v>4190</v>
      </c>
      <c r="B198" s="80">
        <v>2</v>
      </c>
      <c r="C198" s="113">
        <v>0.00177127504833358</v>
      </c>
      <c r="D198" s="80" t="s">
        <v>4356</v>
      </c>
      <c r="E198" s="80" t="b">
        <v>0</v>
      </c>
      <c r="F198" s="80" t="b">
        <v>0</v>
      </c>
      <c r="G198" s="80" t="b">
        <v>0</v>
      </c>
    </row>
    <row r="199" spans="1:7" ht="15">
      <c r="A199" s="112" t="s">
        <v>4184</v>
      </c>
      <c r="B199" s="80">
        <v>2</v>
      </c>
      <c r="C199" s="113">
        <v>0.00177127504833358</v>
      </c>
      <c r="D199" s="80" t="s">
        <v>4356</v>
      </c>
      <c r="E199" s="80" t="b">
        <v>0</v>
      </c>
      <c r="F199" s="80" t="b">
        <v>0</v>
      </c>
      <c r="G199" s="80" t="b">
        <v>0</v>
      </c>
    </row>
    <row r="200" spans="1:7" ht="15">
      <c r="A200" s="112" t="s">
        <v>4329</v>
      </c>
      <c r="B200" s="80">
        <v>2</v>
      </c>
      <c r="C200" s="113">
        <v>0.0020334962989119604</v>
      </c>
      <c r="D200" s="80" t="s">
        <v>4356</v>
      </c>
      <c r="E200" s="80" t="b">
        <v>0</v>
      </c>
      <c r="F200" s="80" t="b">
        <v>0</v>
      </c>
      <c r="G200" s="80" t="b">
        <v>0</v>
      </c>
    </row>
    <row r="201" spans="1:7" ht="15">
      <c r="A201" s="112" t="s">
        <v>4330</v>
      </c>
      <c r="B201" s="80">
        <v>2</v>
      </c>
      <c r="C201" s="113">
        <v>0.00177127504833358</v>
      </c>
      <c r="D201" s="80" t="s">
        <v>4356</v>
      </c>
      <c r="E201" s="80" t="b">
        <v>0</v>
      </c>
      <c r="F201" s="80" t="b">
        <v>0</v>
      </c>
      <c r="G201" s="80" t="b">
        <v>0</v>
      </c>
    </row>
    <row r="202" spans="1:7" ht="15">
      <c r="A202" s="112" t="s">
        <v>4299</v>
      </c>
      <c r="B202" s="80">
        <v>2</v>
      </c>
      <c r="C202" s="113">
        <v>0.0020334962989119604</v>
      </c>
      <c r="D202" s="80" t="s">
        <v>4356</v>
      </c>
      <c r="E202" s="80" t="b">
        <v>0</v>
      </c>
      <c r="F202" s="80" t="b">
        <v>0</v>
      </c>
      <c r="G202" s="80" t="b">
        <v>0</v>
      </c>
    </row>
    <row r="203" spans="1:7" ht="15">
      <c r="A203" s="112" t="s">
        <v>4268</v>
      </c>
      <c r="B203" s="80">
        <v>2</v>
      </c>
      <c r="C203" s="113">
        <v>0.00177127504833358</v>
      </c>
      <c r="D203" s="80" t="s">
        <v>4356</v>
      </c>
      <c r="E203" s="80" t="b">
        <v>0</v>
      </c>
      <c r="F203" s="80" t="b">
        <v>1</v>
      </c>
      <c r="G203" s="80" t="b">
        <v>0</v>
      </c>
    </row>
    <row r="204" spans="1:7" ht="15">
      <c r="A204" s="112" t="s">
        <v>4331</v>
      </c>
      <c r="B204" s="80">
        <v>2</v>
      </c>
      <c r="C204" s="113">
        <v>0.00177127504833358</v>
      </c>
      <c r="D204" s="80" t="s">
        <v>4356</v>
      </c>
      <c r="E204" s="80" t="b">
        <v>0</v>
      </c>
      <c r="F204" s="80" t="b">
        <v>0</v>
      </c>
      <c r="G204" s="80" t="b">
        <v>0</v>
      </c>
    </row>
    <row r="205" spans="1:7" ht="15">
      <c r="A205" s="112" t="s">
        <v>4266</v>
      </c>
      <c r="B205" s="80">
        <v>2</v>
      </c>
      <c r="C205" s="113">
        <v>0.00177127504833358</v>
      </c>
      <c r="D205" s="80" t="s">
        <v>4356</v>
      </c>
      <c r="E205" s="80" t="b">
        <v>0</v>
      </c>
      <c r="F205" s="80" t="b">
        <v>0</v>
      </c>
      <c r="G205" s="80" t="b">
        <v>0</v>
      </c>
    </row>
    <row r="206" spans="1:7" ht="15">
      <c r="A206" s="112" t="s">
        <v>4308</v>
      </c>
      <c r="B206" s="80">
        <v>2</v>
      </c>
      <c r="C206" s="113">
        <v>0.0020334962989119604</v>
      </c>
      <c r="D206" s="80" t="s">
        <v>4356</v>
      </c>
      <c r="E206" s="80" t="b">
        <v>0</v>
      </c>
      <c r="F206" s="80" t="b">
        <v>0</v>
      </c>
      <c r="G206" s="80" t="b">
        <v>0</v>
      </c>
    </row>
    <row r="207" spans="1:7" ht="15">
      <c r="A207" s="112" t="s">
        <v>4193</v>
      </c>
      <c r="B207" s="80">
        <v>2</v>
      </c>
      <c r="C207" s="113">
        <v>0.00177127504833358</v>
      </c>
      <c r="D207" s="80" t="s">
        <v>4356</v>
      </c>
      <c r="E207" s="80" t="b">
        <v>0</v>
      </c>
      <c r="F207" s="80" t="b">
        <v>0</v>
      </c>
      <c r="G207" s="80" t="b">
        <v>0</v>
      </c>
    </row>
    <row r="208" spans="1:7" ht="15">
      <c r="A208" s="112" t="s">
        <v>4244</v>
      </c>
      <c r="B208" s="80">
        <v>2</v>
      </c>
      <c r="C208" s="113">
        <v>0.0020334962989119604</v>
      </c>
      <c r="D208" s="80" t="s">
        <v>4356</v>
      </c>
      <c r="E208" s="80" t="b">
        <v>0</v>
      </c>
      <c r="F208" s="80" t="b">
        <v>0</v>
      </c>
      <c r="G208" s="80" t="b">
        <v>0</v>
      </c>
    </row>
    <row r="209" spans="1:7" ht="15">
      <c r="A209" s="112" t="s">
        <v>4332</v>
      </c>
      <c r="B209" s="80">
        <v>2</v>
      </c>
      <c r="C209" s="113">
        <v>0.00177127504833358</v>
      </c>
      <c r="D209" s="80" t="s">
        <v>4356</v>
      </c>
      <c r="E209" s="80" t="b">
        <v>0</v>
      </c>
      <c r="F209" s="80" t="b">
        <v>0</v>
      </c>
      <c r="G209" s="80" t="b">
        <v>0</v>
      </c>
    </row>
    <row r="210" spans="1:7" ht="15">
      <c r="A210" s="112" t="s">
        <v>4333</v>
      </c>
      <c r="B210" s="80">
        <v>2</v>
      </c>
      <c r="C210" s="113">
        <v>0.00177127504833358</v>
      </c>
      <c r="D210" s="80" t="s">
        <v>4356</v>
      </c>
      <c r="E210" s="80" t="b">
        <v>0</v>
      </c>
      <c r="F210" s="80" t="b">
        <v>0</v>
      </c>
      <c r="G210" s="80" t="b">
        <v>0</v>
      </c>
    </row>
    <row r="211" spans="1:7" ht="15">
      <c r="A211" s="112" t="s">
        <v>4334</v>
      </c>
      <c r="B211" s="80">
        <v>2</v>
      </c>
      <c r="C211" s="113">
        <v>0.00177127504833358</v>
      </c>
      <c r="D211" s="80" t="s">
        <v>4356</v>
      </c>
      <c r="E211" s="80" t="b">
        <v>0</v>
      </c>
      <c r="F211" s="80" t="b">
        <v>0</v>
      </c>
      <c r="G211" s="80" t="b">
        <v>0</v>
      </c>
    </row>
    <row r="212" spans="1:7" ht="15">
      <c r="A212" s="112" t="s">
        <v>4234</v>
      </c>
      <c r="B212" s="80">
        <v>2</v>
      </c>
      <c r="C212" s="113">
        <v>0.00177127504833358</v>
      </c>
      <c r="D212" s="80" t="s">
        <v>4356</v>
      </c>
      <c r="E212" s="80" t="b">
        <v>0</v>
      </c>
      <c r="F212" s="80" t="b">
        <v>0</v>
      </c>
      <c r="G212" s="80" t="b">
        <v>0</v>
      </c>
    </row>
    <row r="213" spans="1:7" ht="15">
      <c r="A213" s="112" t="s">
        <v>4247</v>
      </c>
      <c r="B213" s="80">
        <v>2</v>
      </c>
      <c r="C213" s="113">
        <v>0.00177127504833358</v>
      </c>
      <c r="D213" s="80" t="s">
        <v>4356</v>
      </c>
      <c r="E213" s="80" t="b">
        <v>0</v>
      </c>
      <c r="F213" s="80" t="b">
        <v>0</v>
      </c>
      <c r="G213" s="80" t="b">
        <v>0</v>
      </c>
    </row>
    <row r="214" spans="1:7" ht="15">
      <c r="A214" s="112" t="s">
        <v>4255</v>
      </c>
      <c r="B214" s="80">
        <v>2</v>
      </c>
      <c r="C214" s="113">
        <v>0.0020334962989119604</v>
      </c>
      <c r="D214" s="80" t="s">
        <v>4356</v>
      </c>
      <c r="E214" s="80" t="b">
        <v>0</v>
      </c>
      <c r="F214" s="80" t="b">
        <v>0</v>
      </c>
      <c r="G214" s="80" t="b">
        <v>0</v>
      </c>
    </row>
    <row r="215" spans="1:7" ht="15">
      <c r="A215" s="112" t="s">
        <v>4335</v>
      </c>
      <c r="B215" s="80">
        <v>2</v>
      </c>
      <c r="C215" s="113">
        <v>0.0020334962989119604</v>
      </c>
      <c r="D215" s="80" t="s">
        <v>4356</v>
      </c>
      <c r="E215" s="80" t="b">
        <v>0</v>
      </c>
      <c r="F215" s="80" t="b">
        <v>0</v>
      </c>
      <c r="G215" s="80" t="b">
        <v>0</v>
      </c>
    </row>
    <row r="216" spans="1:7" ht="15">
      <c r="A216" s="112" t="s">
        <v>4176</v>
      </c>
      <c r="B216" s="80">
        <v>2</v>
      </c>
      <c r="C216" s="113">
        <v>0.00177127504833358</v>
      </c>
      <c r="D216" s="80" t="s">
        <v>4356</v>
      </c>
      <c r="E216" s="80" t="b">
        <v>0</v>
      </c>
      <c r="F216" s="80" t="b">
        <v>0</v>
      </c>
      <c r="G216" s="80" t="b">
        <v>0</v>
      </c>
    </row>
    <row r="217" spans="1:7" ht="15">
      <c r="A217" s="112" t="s">
        <v>4336</v>
      </c>
      <c r="B217" s="80">
        <v>2</v>
      </c>
      <c r="C217" s="113">
        <v>0.0020334962989119604</v>
      </c>
      <c r="D217" s="80" t="s">
        <v>4356</v>
      </c>
      <c r="E217" s="80" t="b">
        <v>0</v>
      </c>
      <c r="F217" s="80" t="b">
        <v>0</v>
      </c>
      <c r="G217" s="80" t="b">
        <v>0</v>
      </c>
    </row>
    <row r="218" spans="1:7" ht="15">
      <c r="A218" s="112" t="s">
        <v>4243</v>
      </c>
      <c r="B218" s="80">
        <v>2</v>
      </c>
      <c r="C218" s="113">
        <v>0.00177127504833358</v>
      </c>
      <c r="D218" s="80" t="s">
        <v>4356</v>
      </c>
      <c r="E218" s="80" t="b">
        <v>0</v>
      </c>
      <c r="F218" s="80" t="b">
        <v>0</v>
      </c>
      <c r="G218" s="80" t="b">
        <v>0</v>
      </c>
    </row>
    <row r="219" spans="1:7" ht="15">
      <c r="A219" s="112" t="s">
        <v>4169</v>
      </c>
      <c r="B219" s="80">
        <v>2</v>
      </c>
      <c r="C219" s="113">
        <v>0.00177127504833358</v>
      </c>
      <c r="D219" s="80" t="s">
        <v>4356</v>
      </c>
      <c r="E219" s="80" t="b">
        <v>0</v>
      </c>
      <c r="F219" s="80" t="b">
        <v>0</v>
      </c>
      <c r="G219" s="80" t="b">
        <v>0</v>
      </c>
    </row>
    <row r="220" spans="1:7" ht="15">
      <c r="A220" s="112" t="s">
        <v>4215</v>
      </c>
      <c r="B220" s="80">
        <v>2</v>
      </c>
      <c r="C220" s="113">
        <v>0.00177127504833358</v>
      </c>
      <c r="D220" s="80" t="s">
        <v>4356</v>
      </c>
      <c r="E220" s="80" t="b">
        <v>0</v>
      </c>
      <c r="F220" s="80" t="b">
        <v>0</v>
      </c>
      <c r="G220" s="80" t="b">
        <v>0</v>
      </c>
    </row>
    <row r="221" spans="1:7" ht="15">
      <c r="A221" s="112" t="s">
        <v>4337</v>
      </c>
      <c r="B221" s="80">
        <v>2</v>
      </c>
      <c r="C221" s="113">
        <v>0.00177127504833358</v>
      </c>
      <c r="D221" s="80" t="s">
        <v>4356</v>
      </c>
      <c r="E221" s="80" t="b">
        <v>0</v>
      </c>
      <c r="F221" s="80" t="b">
        <v>0</v>
      </c>
      <c r="G221" s="80" t="b">
        <v>0</v>
      </c>
    </row>
    <row r="222" spans="1:7" ht="15">
      <c r="A222" s="112" t="s">
        <v>4338</v>
      </c>
      <c r="B222" s="80">
        <v>2</v>
      </c>
      <c r="C222" s="113">
        <v>0.0020334962989119604</v>
      </c>
      <c r="D222" s="80" t="s">
        <v>4356</v>
      </c>
      <c r="E222" s="80" t="b">
        <v>0</v>
      </c>
      <c r="F222" s="80" t="b">
        <v>0</v>
      </c>
      <c r="G222" s="80" t="b">
        <v>0</v>
      </c>
    </row>
    <row r="223" spans="1:7" ht="15">
      <c r="A223" s="112" t="s">
        <v>4263</v>
      </c>
      <c r="B223" s="80">
        <v>2</v>
      </c>
      <c r="C223" s="113">
        <v>0.00177127504833358</v>
      </c>
      <c r="D223" s="80" t="s">
        <v>4356</v>
      </c>
      <c r="E223" s="80" t="b">
        <v>0</v>
      </c>
      <c r="F223" s="80" t="b">
        <v>0</v>
      </c>
      <c r="G223" s="80" t="b">
        <v>0</v>
      </c>
    </row>
    <row r="224" spans="1:7" ht="15">
      <c r="A224" s="112" t="s">
        <v>4282</v>
      </c>
      <c r="B224" s="80">
        <v>2</v>
      </c>
      <c r="C224" s="113">
        <v>0.0020334962989119604</v>
      </c>
      <c r="D224" s="80" t="s">
        <v>4356</v>
      </c>
      <c r="E224" s="80" t="b">
        <v>0</v>
      </c>
      <c r="F224" s="80" t="b">
        <v>0</v>
      </c>
      <c r="G224" s="80" t="b">
        <v>0</v>
      </c>
    </row>
    <row r="225" spans="1:7" ht="15">
      <c r="A225" s="112" t="s">
        <v>4339</v>
      </c>
      <c r="B225" s="80">
        <v>2</v>
      </c>
      <c r="C225" s="113">
        <v>0.0020334962989119604</v>
      </c>
      <c r="D225" s="80" t="s">
        <v>4356</v>
      </c>
      <c r="E225" s="80" t="b">
        <v>0</v>
      </c>
      <c r="F225" s="80" t="b">
        <v>0</v>
      </c>
      <c r="G225" s="80" t="b">
        <v>0</v>
      </c>
    </row>
    <row r="226" spans="1:7" ht="15">
      <c r="A226" s="112" t="s">
        <v>4340</v>
      </c>
      <c r="B226" s="80">
        <v>2</v>
      </c>
      <c r="C226" s="113">
        <v>0.0020334962989119604</v>
      </c>
      <c r="D226" s="80" t="s">
        <v>4356</v>
      </c>
      <c r="E226" s="80" t="b">
        <v>0</v>
      </c>
      <c r="F226" s="80" t="b">
        <v>0</v>
      </c>
      <c r="G226" s="80" t="b">
        <v>0</v>
      </c>
    </row>
    <row r="227" spans="1:7" ht="15">
      <c r="A227" s="112" t="s">
        <v>4341</v>
      </c>
      <c r="B227" s="80">
        <v>2</v>
      </c>
      <c r="C227" s="113">
        <v>0.00177127504833358</v>
      </c>
      <c r="D227" s="80" t="s">
        <v>4356</v>
      </c>
      <c r="E227" s="80" t="b">
        <v>0</v>
      </c>
      <c r="F227" s="80" t="b">
        <v>0</v>
      </c>
      <c r="G227" s="80" t="b">
        <v>0</v>
      </c>
    </row>
    <row r="228" spans="1:7" ht="15">
      <c r="A228" s="112" t="s">
        <v>4342</v>
      </c>
      <c r="B228" s="80">
        <v>2</v>
      </c>
      <c r="C228" s="113">
        <v>0.0020334962989119604</v>
      </c>
      <c r="D228" s="80" t="s">
        <v>4356</v>
      </c>
      <c r="E228" s="80" t="b">
        <v>0</v>
      </c>
      <c r="F228" s="80" t="b">
        <v>1</v>
      </c>
      <c r="G228" s="80" t="b">
        <v>0</v>
      </c>
    </row>
    <row r="229" spans="1:7" ht="15">
      <c r="A229" s="112" t="s">
        <v>4343</v>
      </c>
      <c r="B229" s="80">
        <v>2</v>
      </c>
      <c r="C229" s="113">
        <v>0.00177127504833358</v>
      </c>
      <c r="D229" s="80" t="s">
        <v>4356</v>
      </c>
      <c r="E229" s="80" t="b">
        <v>0</v>
      </c>
      <c r="F229" s="80" t="b">
        <v>0</v>
      </c>
      <c r="G229" s="80" t="b">
        <v>0</v>
      </c>
    </row>
    <row r="230" spans="1:7" ht="15">
      <c r="A230" s="112" t="s">
        <v>4344</v>
      </c>
      <c r="B230" s="80">
        <v>2</v>
      </c>
      <c r="C230" s="113">
        <v>0.0020334962989119604</v>
      </c>
      <c r="D230" s="80" t="s">
        <v>4356</v>
      </c>
      <c r="E230" s="80" t="b">
        <v>0</v>
      </c>
      <c r="F230" s="80" t="b">
        <v>1</v>
      </c>
      <c r="G230" s="80" t="b">
        <v>0</v>
      </c>
    </row>
    <row r="231" spans="1:7" ht="15">
      <c r="A231" s="112" t="s">
        <v>4345</v>
      </c>
      <c r="B231" s="80">
        <v>2</v>
      </c>
      <c r="C231" s="113">
        <v>0.0020334962989119604</v>
      </c>
      <c r="D231" s="80" t="s">
        <v>4356</v>
      </c>
      <c r="E231" s="80" t="b">
        <v>0</v>
      </c>
      <c r="F231" s="80" t="b">
        <v>0</v>
      </c>
      <c r="G231" s="80" t="b">
        <v>0</v>
      </c>
    </row>
    <row r="232" spans="1:7" ht="15">
      <c r="A232" s="112" t="s">
        <v>4201</v>
      </c>
      <c r="B232" s="80">
        <v>2</v>
      </c>
      <c r="C232" s="113">
        <v>0.00177127504833358</v>
      </c>
      <c r="D232" s="80" t="s">
        <v>4356</v>
      </c>
      <c r="E232" s="80" t="b">
        <v>0</v>
      </c>
      <c r="F232" s="80" t="b">
        <v>0</v>
      </c>
      <c r="G232" s="80" t="b">
        <v>0</v>
      </c>
    </row>
    <row r="233" spans="1:7" ht="15">
      <c r="A233" s="112" t="s">
        <v>4346</v>
      </c>
      <c r="B233" s="80">
        <v>2</v>
      </c>
      <c r="C233" s="113">
        <v>0.0020334962989119604</v>
      </c>
      <c r="D233" s="80" t="s">
        <v>4356</v>
      </c>
      <c r="E233" s="80" t="b">
        <v>0</v>
      </c>
      <c r="F233" s="80" t="b">
        <v>0</v>
      </c>
      <c r="G233" s="80" t="b">
        <v>0</v>
      </c>
    </row>
    <row r="234" spans="1:7" ht="15">
      <c r="A234" s="112" t="s">
        <v>4347</v>
      </c>
      <c r="B234" s="80">
        <v>2</v>
      </c>
      <c r="C234" s="113">
        <v>0.0020334962989119604</v>
      </c>
      <c r="D234" s="80" t="s">
        <v>4356</v>
      </c>
      <c r="E234" s="80" t="b">
        <v>0</v>
      </c>
      <c r="F234" s="80" t="b">
        <v>0</v>
      </c>
      <c r="G234" s="80" t="b">
        <v>0</v>
      </c>
    </row>
    <row r="235" spans="1:7" ht="15">
      <c r="A235" s="112" t="s">
        <v>4348</v>
      </c>
      <c r="B235" s="80">
        <v>2</v>
      </c>
      <c r="C235" s="113">
        <v>0.0020334962989119604</v>
      </c>
      <c r="D235" s="80" t="s">
        <v>4356</v>
      </c>
      <c r="E235" s="80" t="b">
        <v>0</v>
      </c>
      <c r="F235" s="80" t="b">
        <v>0</v>
      </c>
      <c r="G235" s="80" t="b">
        <v>0</v>
      </c>
    </row>
    <row r="236" spans="1:7" ht="15">
      <c r="A236" s="112" t="s">
        <v>4312</v>
      </c>
      <c r="B236" s="80">
        <v>2</v>
      </c>
      <c r="C236" s="113">
        <v>0.0020334962989119604</v>
      </c>
      <c r="D236" s="80" t="s">
        <v>4356</v>
      </c>
      <c r="E236" s="80" t="b">
        <v>0</v>
      </c>
      <c r="F236" s="80" t="b">
        <v>0</v>
      </c>
      <c r="G236" s="80" t="b">
        <v>0</v>
      </c>
    </row>
    <row r="237" spans="1:7" ht="15">
      <c r="A237" s="112" t="s">
        <v>4292</v>
      </c>
      <c r="B237" s="80">
        <v>2</v>
      </c>
      <c r="C237" s="113">
        <v>0.0020334962989119604</v>
      </c>
      <c r="D237" s="80" t="s">
        <v>4356</v>
      </c>
      <c r="E237" s="80" t="b">
        <v>0</v>
      </c>
      <c r="F237" s="80" t="b">
        <v>0</v>
      </c>
      <c r="G237" s="80" t="b">
        <v>0</v>
      </c>
    </row>
    <row r="238" spans="1:7" ht="15">
      <c r="A238" s="112" t="s">
        <v>4293</v>
      </c>
      <c r="B238" s="80">
        <v>2</v>
      </c>
      <c r="C238" s="113">
        <v>0.0020334962989119604</v>
      </c>
      <c r="D238" s="80" t="s">
        <v>4356</v>
      </c>
      <c r="E238" s="80" t="b">
        <v>0</v>
      </c>
      <c r="F238" s="80" t="b">
        <v>0</v>
      </c>
      <c r="G238" s="80" t="b">
        <v>0</v>
      </c>
    </row>
    <row r="239" spans="1:7" ht="15">
      <c r="A239" s="112" t="s">
        <v>4224</v>
      </c>
      <c r="B239" s="80">
        <v>2</v>
      </c>
      <c r="C239" s="113">
        <v>0.0020334962989119604</v>
      </c>
      <c r="D239" s="80" t="s">
        <v>4356</v>
      </c>
      <c r="E239" s="80" t="b">
        <v>0</v>
      </c>
      <c r="F239" s="80" t="b">
        <v>0</v>
      </c>
      <c r="G239" s="80" t="b">
        <v>0</v>
      </c>
    </row>
    <row r="240" spans="1:7" ht="15">
      <c r="A240" s="112" t="s">
        <v>4349</v>
      </c>
      <c r="B240" s="80">
        <v>2</v>
      </c>
      <c r="C240" s="113">
        <v>0.0020334962989119604</v>
      </c>
      <c r="D240" s="80" t="s">
        <v>4356</v>
      </c>
      <c r="E240" s="80" t="b">
        <v>0</v>
      </c>
      <c r="F240" s="80" t="b">
        <v>0</v>
      </c>
      <c r="G240" s="80" t="b">
        <v>0</v>
      </c>
    </row>
    <row r="241" spans="1:7" ht="15">
      <c r="A241" s="112" t="s">
        <v>4350</v>
      </c>
      <c r="B241" s="80">
        <v>2</v>
      </c>
      <c r="C241" s="113">
        <v>0.0020334962989119604</v>
      </c>
      <c r="D241" s="80" t="s">
        <v>4356</v>
      </c>
      <c r="E241" s="80" t="b">
        <v>0</v>
      </c>
      <c r="F241" s="80" t="b">
        <v>0</v>
      </c>
      <c r="G241" s="80" t="b">
        <v>0</v>
      </c>
    </row>
    <row r="242" spans="1:7" ht="15">
      <c r="A242" s="112" t="s">
        <v>4122</v>
      </c>
      <c r="B242" s="80">
        <v>44</v>
      </c>
      <c r="C242" s="113">
        <v>0.026816477783785625</v>
      </c>
      <c r="D242" s="80" t="s">
        <v>4101</v>
      </c>
      <c r="E242" s="80" t="b">
        <v>0</v>
      </c>
      <c r="F242" s="80" t="b">
        <v>0</v>
      </c>
      <c r="G242" s="80" t="b">
        <v>0</v>
      </c>
    </row>
    <row r="243" spans="1:7" ht="15">
      <c r="A243" s="112" t="s">
        <v>4125</v>
      </c>
      <c r="B243" s="80">
        <v>33</v>
      </c>
      <c r="C243" s="113">
        <v>0.023904420030492677</v>
      </c>
      <c r="D243" s="80" t="s">
        <v>4101</v>
      </c>
      <c r="E243" s="80" t="b">
        <v>0</v>
      </c>
      <c r="F243" s="80" t="b">
        <v>0</v>
      </c>
      <c r="G243" s="80" t="b">
        <v>0</v>
      </c>
    </row>
    <row r="244" spans="1:7" ht="15">
      <c r="A244" s="112" t="s">
        <v>4124</v>
      </c>
      <c r="B244" s="80">
        <v>22</v>
      </c>
      <c r="C244" s="113">
        <v>0.02449268816581629</v>
      </c>
      <c r="D244" s="80" t="s">
        <v>4101</v>
      </c>
      <c r="E244" s="80" t="b">
        <v>0</v>
      </c>
      <c r="F244" s="80" t="b">
        <v>0</v>
      </c>
      <c r="G244" s="80" t="b">
        <v>0</v>
      </c>
    </row>
    <row r="245" spans="1:7" ht="15">
      <c r="A245" s="112" t="s">
        <v>4126</v>
      </c>
      <c r="B245" s="80">
        <v>21</v>
      </c>
      <c r="C245" s="113">
        <v>0.019724771688193164</v>
      </c>
      <c r="D245" s="80" t="s">
        <v>4101</v>
      </c>
      <c r="E245" s="80" t="b">
        <v>0</v>
      </c>
      <c r="F245" s="80" t="b">
        <v>0</v>
      </c>
      <c r="G245" s="80" t="b">
        <v>0</v>
      </c>
    </row>
    <row r="246" spans="1:7" ht="15">
      <c r="A246" s="112" t="s">
        <v>2725</v>
      </c>
      <c r="B246" s="80">
        <v>21</v>
      </c>
      <c r="C246" s="113">
        <v>0.018249951392618945</v>
      </c>
      <c r="D246" s="80" t="s">
        <v>4101</v>
      </c>
      <c r="E246" s="80" t="b">
        <v>0</v>
      </c>
      <c r="F246" s="80" t="b">
        <v>0</v>
      </c>
      <c r="G246" s="80" t="b">
        <v>0</v>
      </c>
    </row>
    <row r="247" spans="1:7" ht="15">
      <c r="A247" s="112" t="s">
        <v>4123</v>
      </c>
      <c r="B247" s="80">
        <v>19</v>
      </c>
      <c r="C247" s="113">
        <v>0.018581753326822232</v>
      </c>
      <c r="D247" s="80" t="s">
        <v>4101</v>
      </c>
      <c r="E247" s="80" t="b">
        <v>0</v>
      </c>
      <c r="F247" s="80" t="b">
        <v>0</v>
      </c>
      <c r="G247" s="80" t="b">
        <v>0</v>
      </c>
    </row>
    <row r="248" spans="1:7" ht="15">
      <c r="A248" s="112" t="s">
        <v>4132</v>
      </c>
      <c r="B248" s="80">
        <v>18</v>
      </c>
      <c r="C248" s="113">
        <v>0.02616136596763488</v>
      </c>
      <c r="D248" s="80" t="s">
        <v>4101</v>
      </c>
      <c r="E248" s="80" t="b">
        <v>0</v>
      </c>
      <c r="F248" s="80" t="b">
        <v>0</v>
      </c>
      <c r="G248" s="80" t="b">
        <v>0</v>
      </c>
    </row>
    <row r="249" spans="1:7" ht="15">
      <c r="A249" s="112" t="s">
        <v>4133</v>
      </c>
      <c r="B249" s="80">
        <v>16</v>
      </c>
      <c r="C249" s="113">
        <v>0.014448992337695482</v>
      </c>
      <c r="D249" s="80" t="s">
        <v>4101</v>
      </c>
      <c r="E249" s="80" t="b">
        <v>0</v>
      </c>
      <c r="F249" s="80" t="b">
        <v>0</v>
      </c>
      <c r="G249" s="80" t="b">
        <v>0</v>
      </c>
    </row>
    <row r="250" spans="1:7" ht="15">
      <c r="A250" s="112" t="s">
        <v>4127</v>
      </c>
      <c r="B250" s="80">
        <v>15</v>
      </c>
      <c r="C250" s="113">
        <v>0.01466980525801755</v>
      </c>
      <c r="D250" s="80" t="s">
        <v>4101</v>
      </c>
      <c r="E250" s="80" t="b">
        <v>0</v>
      </c>
      <c r="F250" s="80" t="b">
        <v>0</v>
      </c>
      <c r="G250" s="80" t="b">
        <v>0</v>
      </c>
    </row>
    <row r="251" spans="1:7" ht="15">
      <c r="A251" s="112" t="s">
        <v>4128</v>
      </c>
      <c r="B251" s="80">
        <v>14</v>
      </c>
      <c r="C251" s="113">
        <v>0.015586256105519456</v>
      </c>
      <c r="D251" s="80" t="s">
        <v>4101</v>
      </c>
      <c r="E251" s="80" t="b">
        <v>0</v>
      </c>
      <c r="F251" s="80" t="b">
        <v>0</v>
      </c>
      <c r="G251" s="80" t="b">
        <v>0</v>
      </c>
    </row>
    <row r="252" spans="1:7" ht="15">
      <c r="A252" s="112" t="s">
        <v>4131</v>
      </c>
      <c r="B252" s="80">
        <v>13</v>
      </c>
      <c r="C252" s="113">
        <v>0.01776989058231257</v>
      </c>
      <c r="D252" s="80" t="s">
        <v>4101</v>
      </c>
      <c r="E252" s="80" t="b">
        <v>0</v>
      </c>
      <c r="F252" s="80" t="b">
        <v>0</v>
      </c>
      <c r="G252" s="80" t="b">
        <v>0</v>
      </c>
    </row>
    <row r="253" spans="1:7" ht="15">
      <c r="A253" s="112" t="s">
        <v>4147</v>
      </c>
      <c r="B253" s="80">
        <v>12</v>
      </c>
      <c r="C253" s="113">
        <v>0.014710813605466957</v>
      </c>
      <c r="D253" s="80" t="s">
        <v>4101</v>
      </c>
      <c r="E253" s="80" t="b">
        <v>0</v>
      </c>
      <c r="F253" s="80" t="b">
        <v>0</v>
      </c>
      <c r="G253" s="80" t="b">
        <v>0</v>
      </c>
    </row>
    <row r="254" spans="1:7" ht="15">
      <c r="A254" s="112" t="s">
        <v>4129</v>
      </c>
      <c r="B254" s="80">
        <v>10</v>
      </c>
      <c r="C254" s="113">
        <v>0.015557105719068796</v>
      </c>
      <c r="D254" s="80" t="s">
        <v>4101</v>
      </c>
      <c r="E254" s="80" t="b">
        <v>0</v>
      </c>
      <c r="F254" s="80" t="b">
        <v>0</v>
      </c>
      <c r="G254" s="80" t="b">
        <v>0</v>
      </c>
    </row>
    <row r="255" spans="1:7" ht="15">
      <c r="A255" s="112" t="s">
        <v>4134</v>
      </c>
      <c r="B255" s="80">
        <v>9</v>
      </c>
      <c r="C255" s="113">
        <v>0.011627906976744186</v>
      </c>
      <c r="D255" s="80" t="s">
        <v>4101</v>
      </c>
      <c r="E255" s="80" t="b">
        <v>0</v>
      </c>
      <c r="F255" s="80" t="b">
        <v>0</v>
      </c>
      <c r="G255" s="80" t="b">
        <v>0</v>
      </c>
    </row>
    <row r="256" spans="1:7" ht="15">
      <c r="A256" s="112" t="s">
        <v>4177</v>
      </c>
      <c r="B256" s="80">
        <v>9</v>
      </c>
      <c r="C256" s="113">
        <v>0.018628604550325143</v>
      </c>
      <c r="D256" s="80" t="s">
        <v>4101</v>
      </c>
      <c r="E256" s="80" t="b">
        <v>0</v>
      </c>
      <c r="F256" s="80" t="b">
        <v>0</v>
      </c>
      <c r="G256" s="80" t="b">
        <v>0</v>
      </c>
    </row>
    <row r="257" spans="1:7" ht="15">
      <c r="A257" s="112" t="s">
        <v>4121</v>
      </c>
      <c r="B257" s="80">
        <v>9</v>
      </c>
      <c r="C257" s="113">
        <v>0.01308068298381744</v>
      </c>
      <c r="D257" s="80" t="s">
        <v>4101</v>
      </c>
      <c r="E257" s="80" t="b">
        <v>1</v>
      </c>
      <c r="F257" s="80" t="b">
        <v>0</v>
      </c>
      <c r="G257" s="80" t="b">
        <v>0</v>
      </c>
    </row>
    <row r="258" spans="1:7" ht="15">
      <c r="A258" s="112" t="s">
        <v>2874</v>
      </c>
      <c r="B258" s="80">
        <v>8</v>
      </c>
      <c r="C258" s="113">
        <v>0.013447338456475258</v>
      </c>
      <c r="D258" s="80" t="s">
        <v>4101</v>
      </c>
      <c r="E258" s="80" t="b">
        <v>0</v>
      </c>
      <c r="F258" s="80" t="b">
        <v>0</v>
      </c>
      <c r="G258" s="80" t="b">
        <v>0</v>
      </c>
    </row>
    <row r="259" spans="1:7" ht="15">
      <c r="A259" s="112" t="s">
        <v>4173</v>
      </c>
      <c r="B259" s="80">
        <v>7</v>
      </c>
      <c r="C259" s="113">
        <v>0.012896358043806158</v>
      </c>
      <c r="D259" s="80" t="s">
        <v>4101</v>
      </c>
      <c r="E259" s="80" t="b">
        <v>0</v>
      </c>
      <c r="F259" s="80" t="b">
        <v>0</v>
      </c>
      <c r="G259" s="80" t="b">
        <v>0</v>
      </c>
    </row>
    <row r="260" spans="1:7" ht="15">
      <c r="A260" s="112" t="s">
        <v>4160</v>
      </c>
      <c r="B260" s="80">
        <v>6</v>
      </c>
      <c r="C260" s="113">
        <v>0.00872045532254496</v>
      </c>
      <c r="D260" s="80" t="s">
        <v>4101</v>
      </c>
      <c r="E260" s="80" t="b">
        <v>0</v>
      </c>
      <c r="F260" s="80" t="b">
        <v>0</v>
      </c>
      <c r="G260" s="80" t="b">
        <v>0</v>
      </c>
    </row>
    <row r="261" spans="1:7" ht="15">
      <c r="A261" s="112" t="s">
        <v>4140</v>
      </c>
      <c r="B261" s="80">
        <v>6</v>
      </c>
      <c r="C261" s="113">
        <v>0.00872045532254496</v>
      </c>
      <c r="D261" s="80" t="s">
        <v>4101</v>
      </c>
      <c r="E261" s="80" t="b">
        <v>0</v>
      </c>
      <c r="F261" s="80" t="b">
        <v>0</v>
      </c>
      <c r="G261" s="80" t="b">
        <v>0</v>
      </c>
    </row>
    <row r="262" spans="1:7" ht="15">
      <c r="A262" s="112" t="s">
        <v>4135</v>
      </c>
      <c r="B262" s="80">
        <v>6</v>
      </c>
      <c r="C262" s="113">
        <v>0.009334263431441277</v>
      </c>
      <c r="D262" s="80" t="s">
        <v>4101</v>
      </c>
      <c r="E262" s="80" t="b">
        <v>0</v>
      </c>
      <c r="F262" s="80" t="b">
        <v>0</v>
      </c>
      <c r="G262" s="80" t="b">
        <v>0</v>
      </c>
    </row>
    <row r="263" spans="1:7" ht="15">
      <c r="A263" s="112" t="s">
        <v>4191</v>
      </c>
      <c r="B263" s="80">
        <v>6</v>
      </c>
      <c r="C263" s="113">
        <v>0.01105402118040528</v>
      </c>
      <c r="D263" s="80" t="s">
        <v>4101</v>
      </c>
      <c r="E263" s="80" t="b">
        <v>0</v>
      </c>
      <c r="F263" s="80" t="b">
        <v>0</v>
      </c>
      <c r="G263" s="80" t="b">
        <v>0</v>
      </c>
    </row>
    <row r="264" spans="1:7" ht="15">
      <c r="A264" s="112" t="s">
        <v>4145</v>
      </c>
      <c r="B264" s="80">
        <v>6</v>
      </c>
      <c r="C264" s="113">
        <v>0.014752635558077081</v>
      </c>
      <c r="D264" s="80" t="s">
        <v>4101</v>
      </c>
      <c r="E264" s="80" t="b">
        <v>0</v>
      </c>
      <c r="F264" s="80" t="b">
        <v>0</v>
      </c>
      <c r="G264" s="80" t="b">
        <v>0</v>
      </c>
    </row>
    <row r="265" spans="1:7" ht="15">
      <c r="A265" s="112" t="s">
        <v>4188</v>
      </c>
      <c r="B265" s="80">
        <v>5</v>
      </c>
      <c r="C265" s="113">
        <v>0.008404586535297036</v>
      </c>
      <c r="D265" s="80" t="s">
        <v>4101</v>
      </c>
      <c r="E265" s="80" t="b">
        <v>0</v>
      </c>
      <c r="F265" s="80" t="b">
        <v>0</v>
      </c>
      <c r="G265" s="80" t="b">
        <v>0</v>
      </c>
    </row>
    <row r="266" spans="1:7" ht="15">
      <c r="A266" s="112" t="s">
        <v>4269</v>
      </c>
      <c r="B266" s="80">
        <v>5</v>
      </c>
      <c r="C266" s="113">
        <v>0.012293862965064234</v>
      </c>
      <c r="D266" s="80" t="s">
        <v>4101</v>
      </c>
      <c r="E266" s="80" t="b">
        <v>0</v>
      </c>
      <c r="F266" s="80" t="b">
        <v>0</v>
      </c>
      <c r="G266" s="80" t="b">
        <v>0</v>
      </c>
    </row>
    <row r="267" spans="1:7" ht="15">
      <c r="A267" s="112" t="s">
        <v>4159</v>
      </c>
      <c r="B267" s="80">
        <v>5</v>
      </c>
      <c r="C267" s="113">
        <v>0.008404586535297036</v>
      </c>
      <c r="D267" s="80" t="s">
        <v>4101</v>
      </c>
      <c r="E267" s="80" t="b">
        <v>0</v>
      </c>
      <c r="F267" s="80" t="b">
        <v>0</v>
      </c>
      <c r="G267" s="80" t="b">
        <v>0</v>
      </c>
    </row>
    <row r="268" spans="1:7" ht="15">
      <c r="A268" s="112" t="s">
        <v>4144</v>
      </c>
      <c r="B268" s="80">
        <v>5</v>
      </c>
      <c r="C268" s="113">
        <v>0.0092116843170044</v>
      </c>
      <c r="D268" s="80" t="s">
        <v>4101</v>
      </c>
      <c r="E268" s="80" t="b">
        <v>0</v>
      </c>
      <c r="F268" s="80" t="b">
        <v>0</v>
      </c>
      <c r="G268" s="80" t="b">
        <v>0</v>
      </c>
    </row>
    <row r="269" spans="1:7" ht="15">
      <c r="A269" s="112" t="s">
        <v>4149</v>
      </c>
      <c r="B269" s="80">
        <v>5</v>
      </c>
      <c r="C269" s="113">
        <v>0.0092116843170044</v>
      </c>
      <c r="D269" s="80" t="s">
        <v>4101</v>
      </c>
      <c r="E269" s="80" t="b">
        <v>0</v>
      </c>
      <c r="F269" s="80" t="b">
        <v>0</v>
      </c>
      <c r="G269" s="80" t="b">
        <v>0</v>
      </c>
    </row>
    <row r="270" spans="1:7" ht="15">
      <c r="A270" s="112" t="s">
        <v>4235</v>
      </c>
      <c r="B270" s="80">
        <v>4</v>
      </c>
      <c r="C270" s="113">
        <v>0.006723669228237629</v>
      </c>
      <c r="D270" s="80" t="s">
        <v>4101</v>
      </c>
      <c r="E270" s="80" t="b">
        <v>0</v>
      </c>
      <c r="F270" s="80" t="b">
        <v>0</v>
      </c>
      <c r="G270" s="80" t="b">
        <v>0</v>
      </c>
    </row>
    <row r="271" spans="1:7" ht="15">
      <c r="A271" s="112" t="s">
        <v>4236</v>
      </c>
      <c r="B271" s="80">
        <v>4</v>
      </c>
      <c r="C271" s="113">
        <v>0.006723669228237629</v>
      </c>
      <c r="D271" s="80" t="s">
        <v>4101</v>
      </c>
      <c r="E271" s="80" t="b">
        <v>0</v>
      </c>
      <c r="F271" s="80" t="b">
        <v>0</v>
      </c>
      <c r="G271" s="80" t="b">
        <v>0</v>
      </c>
    </row>
    <row r="272" spans="1:7" ht="15">
      <c r="A272" s="112" t="s">
        <v>4252</v>
      </c>
      <c r="B272" s="80">
        <v>4</v>
      </c>
      <c r="C272" s="113">
        <v>0.006723669228237629</v>
      </c>
      <c r="D272" s="80" t="s">
        <v>4101</v>
      </c>
      <c r="E272" s="80" t="b">
        <v>0</v>
      </c>
      <c r="F272" s="80" t="b">
        <v>0</v>
      </c>
      <c r="G272" s="80" t="b">
        <v>0</v>
      </c>
    </row>
    <row r="273" spans="1:7" ht="15">
      <c r="A273" s="112" t="s">
        <v>4130</v>
      </c>
      <c r="B273" s="80">
        <v>4</v>
      </c>
      <c r="C273" s="113">
        <v>0.00736934745360352</v>
      </c>
      <c r="D273" s="80" t="s">
        <v>4101</v>
      </c>
      <c r="E273" s="80" t="b">
        <v>0</v>
      </c>
      <c r="F273" s="80" t="b">
        <v>0</v>
      </c>
      <c r="G273" s="80" t="b">
        <v>0</v>
      </c>
    </row>
    <row r="274" spans="1:7" ht="15">
      <c r="A274" s="112" t="s">
        <v>4291</v>
      </c>
      <c r="B274" s="80">
        <v>4</v>
      </c>
      <c r="C274" s="113">
        <v>0.009835090372051387</v>
      </c>
      <c r="D274" s="80" t="s">
        <v>4101</v>
      </c>
      <c r="E274" s="80" t="b">
        <v>0</v>
      </c>
      <c r="F274" s="80" t="b">
        <v>0</v>
      </c>
      <c r="G274" s="80" t="b">
        <v>0</v>
      </c>
    </row>
    <row r="275" spans="1:7" ht="15">
      <c r="A275" s="112" t="s">
        <v>4289</v>
      </c>
      <c r="B275" s="80">
        <v>4</v>
      </c>
      <c r="C275" s="113">
        <v>0.009835090372051387</v>
      </c>
      <c r="D275" s="80" t="s">
        <v>4101</v>
      </c>
      <c r="E275" s="80" t="b">
        <v>0</v>
      </c>
      <c r="F275" s="80" t="b">
        <v>0</v>
      </c>
      <c r="G275" s="80" t="b">
        <v>0</v>
      </c>
    </row>
    <row r="276" spans="1:7" ht="15">
      <c r="A276" s="112" t="s">
        <v>4290</v>
      </c>
      <c r="B276" s="80">
        <v>4</v>
      </c>
      <c r="C276" s="113">
        <v>0.009835090372051387</v>
      </c>
      <c r="D276" s="80" t="s">
        <v>4101</v>
      </c>
      <c r="E276" s="80" t="b">
        <v>0</v>
      </c>
      <c r="F276" s="80" t="b">
        <v>0</v>
      </c>
      <c r="G276" s="80" t="b">
        <v>0</v>
      </c>
    </row>
    <row r="277" spans="1:7" ht="15">
      <c r="A277" s="112" t="s">
        <v>4143</v>
      </c>
      <c r="B277" s="80">
        <v>4</v>
      </c>
      <c r="C277" s="113">
        <v>0.00736934745360352</v>
      </c>
      <c r="D277" s="80" t="s">
        <v>4101</v>
      </c>
      <c r="E277" s="80" t="b">
        <v>0</v>
      </c>
      <c r="F277" s="80" t="b">
        <v>0</v>
      </c>
      <c r="G277" s="80" t="b">
        <v>0</v>
      </c>
    </row>
    <row r="278" spans="1:7" ht="15">
      <c r="A278" s="112" t="s">
        <v>4151</v>
      </c>
      <c r="B278" s="80">
        <v>4</v>
      </c>
      <c r="C278" s="113">
        <v>0.008279379800144508</v>
      </c>
      <c r="D278" s="80" t="s">
        <v>4101</v>
      </c>
      <c r="E278" s="80" t="b">
        <v>0</v>
      </c>
      <c r="F278" s="80" t="b">
        <v>0</v>
      </c>
      <c r="G278" s="80" t="b">
        <v>0</v>
      </c>
    </row>
    <row r="279" spans="1:7" ht="15">
      <c r="A279" s="112" t="s">
        <v>4168</v>
      </c>
      <c r="B279" s="80">
        <v>4</v>
      </c>
      <c r="C279" s="113">
        <v>0.009835090372051387</v>
      </c>
      <c r="D279" s="80" t="s">
        <v>4101</v>
      </c>
      <c r="E279" s="80" t="b">
        <v>0</v>
      </c>
      <c r="F279" s="80" t="b">
        <v>0</v>
      </c>
      <c r="G279" s="80" t="b">
        <v>0</v>
      </c>
    </row>
    <row r="280" spans="1:7" ht="15">
      <c r="A280" s="112" t="s">
        <v>4181</v>
      </c>
      <c r="B280" s="80">
        <v>4</v>
      </c>
      <c r="C280" s="113">
        <v>0.009835090372051387</v>
      </c>
      <c r="D280" s="80" t="s">
        <v>4101</v>
      </c>
      <c r="E280" s="80" t="b">
        <v>0</v>
      </c>
      <c r="F280" s="80" t="b">
        <v>0</v>
      </c>
      <c r="G280" s="80" t="b">
        <v>0</v>
      </c>
    </row>
    <row r="281" spans="1:7" ht="15">
      <c r="A281" s="112" t="s">
        <v>4229</v>
      </c>
      <c r="B281" s="80">
        <v>3</v>
      </c>
      <c r="C281" s="113">
        <v>0.00552701059020264</v>
      </c>
      <c r="D281" s="80" t="s">
        <v>4101</v>
      </c>
      <c r="E281" s="80" t="b">
        <v>1</v>
      </c>
      <c r="F281" s="80" t="b">
        <v>0</v>
      </c>
      <c r="G281" s="80" t="b">
        <v>0</v>
      </c>
    </row>
    <row r="282" spans="1:7" ht="15">
      <c r="A282" s="112" t="s">
        <v>4225</v>
      </c>
      <c r="B282" s="80">
        <v>3</v>
      </c>
      <c r="C282" s="113">
        <v>0.00552701059020264</v>
      </c>
      <c r="D282" s="80" t="s">
        <v>4101</v>
      </c>
      <c r="E282" s="80" t="b">
        <v>0</v>
      </c>
      <c r="F282" s="80" t="b">
        <v>1</v>
      </c>
      <c r="G282" s="80" t="b">
        <v>0</v>
      </c>
    </row>
    <row r="283" spans="1:7" ht="15">
      <c r="A283" s="112" t="s">
        <v>4237</v>
      </c>
      <c r="B283" s="80">
        <v>3</v>
      </c>
      <c r="C283" s="113">
        <v>0.00552701059020264</v>
      </c>
      <c r="D283" s="80" t="s">
        <v>4101</v>
      </c>
      <c r="E283" s="80" t="b">
        <v>0</v>
      </c>
      <c r="F283" s="80" t="b">
        <v>0</v>
      </c>
      <c r="G283" s="80" t="b">
        <v>0</v>
      </c>
    </row>
    <row r="284" spans="1:7" ht="15">
      <c r="A284" s="112" t="s">
        <v>4227</v>
      </c>
      <c r="B284" s="80">
        <v>3</v>
      </c>
      <c r="C284" s="113">
        <v>0.00552701059020264</v>
      </c>
      <c r="D284" s="80" t="s">
        <v>4101</v>
      </c>
      <c r="E284" s="80" t="b">
        <v>0</v>
      </c>
      <c r="F284" s="80" t="b">
        <v>0</v>
      </c>
      <c r="G284" s="80" t="b">
        <v>0</v>
      </c>
    </row>
    <row r="285" spans="1:7" ht="15">
      <c r="A285" s="112" t="s">
        <v>4199</v>
      </c>
      <c r="B285" s="80">
        <v>3</v>
      </c>
      <c r="C285" s="113">
        <v>0.0062095348501083805</v>
      </c>
      <c r="D285" s="80" t="s">
        <v>4101</v>
      </c>
      <c r="E285" s="80" t="b">
        <v>0</v>
      </c>
      <c r="F285" s="80" t="b">
        <v>0</v>
      </c>
      <c r="G285" s="80" t="b">
        <v>0</v>
      </c>
    </row>
    <row r="286" spans="1:7" ht="15">
      <c r="A286" s="112" t="s">
        <v>4295</v>
      </c>
      <c r="B286" s="80">
        <v>3</v>
      </c>
      <c r="C286" s="113">
        <v>0.00552701059020264</v>
      </c>
      <c r="D286" s="80" t="s">
        <v>4101</v>
      </c>
      <c r="E286" s="80" t="b">
        <v>0</v>
      </c>
      <c r="F286" s="80" t="b">
        <v>0</v>
      </c>
      <c r="G286" s="80" t="b">
        <v>0</v>
      </c>
    </row>
    <row r="287" spans="1:7" ht="15">
      <c r="A287" s="112" t="s">
        <v>4228</v>
      </c>
      <c r="B287" s="80">
        <v>3</v>
      </c>
      <c r="C287" s="113">
        <v>0.0062095348501083805</v>
      </c>
      <c r="D287" s="80" t="s">
        <v>4101</v>
      </c>
      <c r="E287" s="80" t="b">
        <v>0</v>
      </c>
      <c r="F287" s="80" t="b">
        <v>0</v>
      </c>
      <c r="G287" s="80" t="b">
        <v>0</v>
      </c>
    </row>
    <row r="288" spans="1:7" ht="15">
      <c r="A288" s="112" t="s">
        <v>4286</v>
      </c>
      <c r="B288" s="80">
        <v>3</v>
      </c>
      <c r="C288" s="113">
        <v>0.00552701059020264</v>
      </c>
      <c r="D288" s="80" t="s">
        <v>4101</v>
      </c>
      <c r="E288" s="80" t="b">
        <v>0</v>
      </c>
      <c r="F288" s="80" t="b">
        <v>0</v>
      </c>
      <c r="G288" s="80" t="b">
        <v>0</v>
      </c>
    </row>
    <row r="289" spans="1:7" ht="15">
      <c r="A289" s="112" t="s">
        <v>4206</v>
      </c>
      <c r="B289" s="80">
        <v>3</v>
      </c>
      <c r="C289" s="113">
        <v>0.00552701059020264</v>
      </c>
      <c r="D289" s="80" t="s">
        <v>4101</v>
      </c>
      <c r="E289" s="80" t="b">
        <v>0</v>
      </c>
      <c r="F289" s="80" t="b">
        <v>0</v>
      </c>
      <c r="G289" s="80" t="b">
        <v>0</v>
      </c>
    </row>
    <row r="290" spans="1:7" ht="15">
      <c r="A290" s="112" t="s">
        <v>4284</v>
      </c>
      <c r="B290" s="80">
        <v>3</v>
      </c>
      <c r="C290" s="113">
        <v>0.0073763177790385406</v>
      </c>
      <c r="D290" s="80" t="s">
        <v>4101</v>
      </c>
      <c r="E290" s="80" t="b">
        <v>0</v>
      </c>
      <c r="F290" s="80" t="b">
        <v>1</v>
      </c>
      <c r="G290" s="80" t="b">
        <v>0</v>
      </c>
    </row>
    <row r="291" spans="1:7" ht="15">
      <c r="A291" s="112" t="s">
        <v>4137</v>
      </c>
      <c r="B291" s="80">
        <v>3</v>
      </c>
      <c r="C291" s="113">
        <v>0.0073763177790385406</v>
      </c>
      <c r="D291" s="80" t="s">
        <v>4101</v>
      </c>
      <c r="E291" s="80" t="b">
        <v>0</v>
      </c>
      <c r="F291" s="80" t="b">
        <v>0</v>
      </c>
      <c r="G291" s="80" t="b">
        <v>0</v>
      </c>
    </row>
    <row r="292" spans="1:7" ht="15">
      <c r="A292" s="112" t="s">
        <v>4254</v>
      </c>
      <c r="B292" s="80">
        <v>3</v>
      </c>
      <c r="C292" s="113">
        <v>0.0073763177790385406</v>
      </c>
      <c r="D292" s="80" t="s">
        <v>4101</v>
      </c>
      <c r="E292" s="80" t="b">
        <v>0</v>
      </c>
      <c r="F292" s="80" t="b">
        <v>0</v>
      </c>
      <c r="G292" s="80" t="b">
        <v>0</v>
      </c>
    </row>
    <row r="293" spans="1:7" ht="15">
      <c r="A293" s="112" t="s">
        <v>4310</v>
      </c>
      <c r="B293" s="80">
        <v>3</v>
      </c>
      <c r="C293" s="113">
        <v>0.0073763177790385406</v>
      </c>
      <c r="D293" s="80" t="s">
        <v>4101</v>
      </c>
      <c r="E293" s="80" t="b">
        <v>0</v>
      </c>
      <c r="F293" s="80" t="b">
        <v>0</v>
      </c>
      <c r="G293" s="80" t="b">
        <v>0</v>
      </c>
    </row>
    <row r="294" spans="1:7" ht="15">
      <c r="A294" s="112" t="s">
        <v>4311</v>
      </c>
      <c r="B294" s="80">
        <v>3</v>
      </c>
      <c r="C294" s="113">
        <v>0.0073763177790385406</v>
      </c>
      <c r="D294" s="80" t="s">
        <v>4101</v>
      </c>
      <c r="E294" s="80" t="b">
        <v>0</v>
      </c>
      <c r="F294" s="80" t="b">
        <v>0</v>
      </c>
      <c r="G294" s="80" t="b">
        <v>0</v>
      </c>
    </row>
    <row r="295" spans="1:7" ht="15">
      <c r="A295" s="112" t="s">
        <v>4208</v>
      </c>
      <c r="B295" s="80">
        <v>3</v>
      </c>
      <c r="C295" s="113">
        <v>0.0073763177790385406</v>
      </c>
      <c r="D295" s="80" t="s">
        <v>4101</v>
      </c>
      <c r="E295" s="80" t="b">
        <v>0</v>
      </c>
      <c r="F295" s="80" t="b">
        <v>0</v>
      </c>
      <c r="G295" s="80" t="b">
        <v>0</v>
      </c>
    </row>
    <row r="296" spans="1:7" ht="15">
      <c r="A296" s="112" t="s">
        <v>4262</v>
      </c>
      <c r="B296" s="80">
        <v>3</v>
      </c>
      <c r="C296" s="113">
        <v>0.0073763177790385406</v>
      </c>
      <c r="D296" s="80" t="s">
        <v>4101</v>
      </c>
      <c r="E296" s="80" t="b">
        <v>0</v>
      </c>
      <c r="F296" s="80" t="b">
        <v>0</v>
      </c>
      <c r="G296" s="80" t="b">
        <v>0</v>
      </c>
    </row>
    <row r="297" spans="1:7" ht="15">
      <c r="A297" s="112" t="s">
        <v>4249</v>
      </c>
      <c r="B297" s="80">
        <v>3</v>
      </c>
      <c r="C297" s="113">
        <v>0.0073763177790385406</v>
      </c>
      <c r="D297" s="80" t="s">
        <v>4101</v>
      </c>
      <c r="E297" s="80" t="b">
        <v>0</v>
      </c>
      <c r="F297" s="80" t="b">
        <v>0</v>
      </c>
      <c r="G297" s="80" t="b">
        <v>0</v>
      </c>
    </row>
    <row r="298" spans="1:7" ht="15">
      <c r="A298" s="112" t="s">
        <v>4307</v>
      </c>
      <c r="B298" s="80">
        <v>3</v>
      </c>
      <c r="C298" s="113">
        <v>0.0073763177790385406</v>
      </c>
      <c r="D298" s="80" t="s">
        <v>4101</v>
      </c>
      <c r="E298" s="80" t="b">
        <v>0</v>
      </c>
      <c r="F298" s="80" t="b">
        <v>0</v>
      </c>
      <c r="G298" s="80" t="b">
        <v>0</v>
      </c>
    </row>
    <row r="299" spans="1:7" ht="15">
      <c r="A299" s="112" t="s">
        <v>4303</v>
      </c>
      <c r="B299" s="80">
        <v>3</v>
      </c>
      <c r="C299" s="113">
        <v>0.0073763177790385406</v>
      </c>
      <c r="D299" s="80" t="s">
        <v>4101</v>
      </c>
      <c r="E299" s="80" t="b">
        <v>1</v>
      </c>
      <c r="F299" s="80" t="b">
        <v>0</v>
      </c>
      <c r="G299" s="80" t="b">
        <v>0</v>
      </c>
    </row>
    <row r="300" spans="1:7" ht="15">
      <c r="A300" s="112" t="s">
        <v>4139</v>
      </c>
      <c r="B300" s="80">
        <v>3</v>
      </c>
      <c r="C300" s="113">
        <v>0.0073763177790385406</v>
      </c>
      <c r="D300" s="80" t="s">
        <v>4101</v>
      </c>
      <c r="E300" s="80" t="b">
        <v>0</v>
      </c>
      <c r="F300" s="80" t="b">
        <v>0</v>
      </c>
      <c r="G300" s="80" t="b">
        <v>0</v>
      </c>
    </row>
    <row r="301" spans="1:7" ht="15">
      <c r="A301" s="112" t="s">
        <v>4175</v>
      </c>
      <c r="B301" s="80">
        <v>2</v>
      </c>
      <c r="C301" s="113">
        <v>0.004139689900072254</v>
      </c>
      <c r="D301" s="80" t="s">
        <v>4101</v>
      </c>
      <c r="E301" s="80" t="b">
        <v>0</v>
      </c>
      <c r="F301" s="80" t="b">
        <v>0</v>
      </c>
      <c r="G301" s="80" t="b">
        <v>0</v>
      </c>
    </row>
    <row r="302" spans="1:7" ht="15">
      <c r="A302" s="112" t="s">
        <v>4164</v>
      </c>
      <c r="B302" s="80">
        <v>2</v>
      </c>
      <c r="C302" s="113">
        <v>0.004139689900072254</v>
      </c>
      <c r="D302" s="80" t="s">
        <v>4101</v>
      </c>
      <c r="E302" s="80" t="b">
        <v>0</v>
      </c>
      <c r="F302" s="80" t="b">
        <v>0</v>
      </c>
      <c r="G302" s="80" t="b">
        <v>0</v>
      </c>
    </row>
    <row r="303" spans="1:7" ht="15">
      <c r="A303" s="112" t="s">
        <v>4285</v>
      </c>
      <c r="B303" s="80">
        <v>2</v>
      </c>
      <c r="C303" s="113">
        <v>0.004139689900072254</v>
      </c>
      <c r="D303" s="80" t="s">
        <v>4101</v>
      </c>
      <c r="E303" s="80" t="b">
        <v>0</v>
      </c>
      <c r="F303" s="80" t="b">
        <v>0</v>
      </c>
      <c r="G303" s="80" t="b">
        <v>0</v>
      </c>
    </row>
    <row r="304" spans="1:7" ht="15">
      <c r="A304" s="112" t="s">
        <v>4300</v>
      </c>
      <c r="B304" s="80">
        <v>2</v>
      </c>
      <c r="C304" s="113">
        <v>0.004139689900072254</v>
      </c>
      <c r="D304" s="80" t="s">
        <v>4101</v>
      </c>
      <c r="E304" s="80" t="b">
        <v>0</v>
      </c>
      <c r="F304" s="80" t="b">
        <v>0</v>
      </c>
      <c r="G304" s="80" t="b">
        <v>0</v>
      </c>
    </row>
    <row r="305" spans="1:7" ht="15">
      <c r="A305" s="112" t="s">
        <v>4194</v>
      </c>
      <c r="B305" s="80">
        <v>2</v>
      </c>
      <c r="C305" s="113">
        <v>0.004139689900072254</v>
      </c>
      <c r="D305" s="80" t="s">
        <v>4101</v>
      </c>
      <c r="E305" s="80" t="b">
        <v>0</v>
      </c>
      <c r="F305" s="80" t="b">
        <v>0</v>
      </c>
      <c r="G305" s="80" t="b">
        <v>0</v>
      </c>
    </row>
    <row r="306" spans="1:7" ht="15">
      <c r="A306" s="112" t="s">
        <v>4320</v>
      </c>
      <c r="B306" s="80">
        <v>2</v>
      </c>
      <c r="C306" s="113">
        <v>0.004139689900072254</v>
      </c>
      <c r="D306" s="80" t="s">
        <v>4101</v>
      </c>
      <c r="E306" s="80" t="b">
        <v>0</v>
      </c>
      <c r="F306" s="80" t="b">
        <v>0</v>
      </c>
      <c r="G306" s="80" t="b">
        <v>0</v>
      </c>
    </row>
    <row r="307" spans="1:7" ht="15">
      <c r="A307" s="112" t="s">
        <v>4239</v>
      </c>
      <c r="B307" s="80">
        <v>2</v>
      </c>
      <c r="C307" s="113">
        <v>0.004139689900072254</v>
      </c>
      <c r="D307" s="80" t="s">
        <v>4101</v>
      </c>
      <c r="E307" s="80" t="b">
        <v>0</v>
      </c>
      <c r="F307" s="80" t="b">
        <v>0</v>
      </c>
      <c r="G307" s="80" t="b">
        <v>0</v>
      </c>
    </row>
    <row r="308" spans="1:7" ht="15">
      <c r="A308" s="112" t="s">
        <v>4272</v>
      </c>
      <c r="B308" s="80">
        <v>2</v>
      </c>
      <c r="C308" s="113">
        <v>0.004139689900072254</v>
      </c>
      <c r="D308" s="80" t="s">
        <v>4101</v>
      </c>
      <c r="E308" s="80" t="b">
        <v>0</v>
      </c>
      <c r="F308" s="80" t="b">
        <v>0</v>
      </c>
      <c r="G308" s="80" t="b">
        <v>0</v>
      </c>
    </row>
    <row r="309" spans="1:7" ht="15">
      <c r="A309" s="112" t="s">
        <v>4349</v>
      </c>
      <c r="B309" s="80">
        <v>2</v>
      </c>
      <c r="C309" s="113">
        <v>0.004917545186025694</v>
      </c>
      <c r="D309" s="80" t="s">
        <v>4101</v>
      </c>
      <c r="E309" s="80" t="b">
        <v>0</v>
      </c>
      <c r="F309" s="80" t="b">
        <v>0</v>
      </c>
      <c r="G309" s="80" t="b">
        <v>0</v>
      </c>
    </row>
    <row r="310" spans="1:7" ht="15">
      <c r="A310" s="112" t="s">
        <v>4350</v>
      </c>
      <c r="B310" s="80">
        <v>2</v>
      </c>
      <c r="C310" s="113">
        <v>0.004917545186025694</v>
      </c>
      <c r="D310" s="80" t="s">
        <v>4101</v>
      </c>
      <c r="E310" s="80" t="b">
        <v>0</v>
      </c>
      <c r="F310" s="80" t="b">
        <v>0</v>
      </c>
      <c r="G310" s="80" t="b">
        <v>0</v>
      </c>
    </row>
    <row r="311" spans="1:7" ht="15">
      <c r="A311" s="112" t="s">
        <v>4214</v>
      </c>
      <c r="B311" s="80">
        <v>2</v>
      </c>
      <c r="C311" s="113">
        <v>0.004139689900072254</v>
      </c>
      <c r="D311" s="80" t="s">
        <v>4101</v>
      </c>
      <c r="E311" s="80" t="b">
        <v>0</v>
      </c>
      <c r="F311" s="80" t="b">
        <v>0</v>
      </c>
      <c r="G311" s="80" t="b">
        <v>0</v>
      </c>
    </row>
    <row r="312" spans="1:7" ht="15">
      <c r="A312" s="112" t="s">
        <v>4174</v>
      </c>
      <c r="B312" s="80">
        <v>2</v>
      </c>
      <c r="C312" s="113">
        <v>0.004917545186025694</v>
      </c>
      <c r="D312" s="80" t="s">
        <v>4101</v>
      </c>
      <c r="E312" s="80" t="b">
        <v>0</v>
      </c>
      <c r="F312" s="80" t="b">
        <v>0</v>
      </c>
      <c r="G312" s="80" t="b">
        <v>0</v>
      </c>
    </row>
    <row r="313" spans="1:7" ht="15">
      <c r="A313" s="112" t="s">
        <v>4170</v>
      </c>
      <c r="B313" s="80">
        <v>2</v>
      </c>
      <c r="C313" s="113">
        <v>0.004139689900072254</v>
      </c>
      <c r="D313" s="80" t="s">
        <v>4101</v>
      </c>
      <c r="E313" s="80" t="b">
        <v>0</v>
      </c>
      <c r="F313" s="80" t="b">
        <v>0</v>
      </c>
      <c r="G313" s="80" t="b">
        <v>0</v>
      </c>
    </row>
    <row r="314" spans="1:7" ht="15">
      <c r="A314" s="112" t="s">
        <v>4346</v>
      </c>
      <c r="B314" s="80">
        <v>2</v>
      </c>
      <c r="C314" s="113">
        <v>0.004917545186025694</v>
      </c>
      <c r="D314" s="80" t="s">
        <v>4101</v>
      </c>
      <c r="E314" s="80" t="b">
        <v>0</v>
      </c>
      <c r="F314" s="80" t="b">
        <v>0</v>
      </c>
      <c r="G314" s="80" t="b">
        <v>0</v>
      </c>
    </row>
    <row r="315" spans="1:7" ht="15">
      <c r="A315" s="112" t="s">
        <v>4347</v>
      </c>
      <c r="B315" s="80">
        <v>2</v>
      </c>
      <c r="C315" s="113">
        <v>0.004917545186025694</v>
      </c>
      <c r="D315" s="80" t="s">
        <v>4101</v>
      </c>
      <c r="E315" s="80" t="b">
        <v>0</v>
      </c>
      <c r="F315" s="80" t="b">
        <v>0</v>
      </c>
      <c r="G315" s="80" t="b">
        <v>0</v>
      </c>
    </row>
    <row r="316" spans="1:7" ht="15">
      <c r="A316" s="112" t="s">
        <v>4276</v>
      </c>
      <c r="B316" s="80">
        <v>2</v>
      </c>
      <c r="C316" s="113">
        <v>0.004139689900072254</v>
      </c>
      <c r="D316" s="80" t="s">
        <v>4101</v>
      </c>
      <c r="E316" s="80" t="b">
        <v>0</v>
      </c>
      <c r="F316" s="80" t="b">
        <v>0</v>
      </c>
      <c r="G316" s="80" t="b">
        <v>0</v>
      </c>
    </row>
    <row r="317" spans="1:7" ht="15">
      <c r="A317" s="112" t="s">
        <v>4338</v>
      </c>
      <c r="B317" s="80">
        <v>2</v>
      </c>
      <c r="C317" s="113">
        <v>0.004917545186025694</v>
      </c>
      <c r="D317" s="80" t="s">
        <v>4101</v>
      </c>
      <c r="E317" s="80" t="b">
        <v>0</v>
      </c>
      <c r="F317" s="80" t="b">
        <v>0</v>
      </c>
      <c r="G317" s="80" t="b">
        <v>0</v>
      </c>
    </row>
    <row r="318" spans="1:7" ht="15">
      <c r="A318" s="112" t="s">
        <v>4142</v>
      </c>
      <c r="B318" s="80">
        <v>2</v>
      </c>
      <c r="C318" s="113">
        <v>0.004139689900072254</v>
      </c>
      <c r="D318" s="80" t="s">
        <v>4101</v>
      </c>
      <c r="E318" s="80" t="b">
        <v>0</v>
      </c>
      <c r="F318" s="80" t="b">
        <v>0</v>
      </c>
      <c r="G318" s="80" t="b">
        <v>0</v>
      </c>
    </row>
    <row r="319" spans="1:7" ht="15">
      <c r="A319" s="112" t="s">
        <v>4304</v>
      </c>
      <c r="B319" s="80">
        <v>2</v>
      </c>
      <c r="C319" s="113">
        <v>0.004139689900072254</v>
      </c>
      <c r="D319" s="80" t="s">
        <v>4101</v>
      </c>
      <c r="E319" s="80" t="b">
        <v>0</v>
      </c>
      <c r="F319" s="80" t="b">
        <v>0</v>
      </c>
      <c r="G319" s="80" t="b">
        <v>0</v>
      </c>
    </row>
    <row r="320" spans="1:7" ht="15">
      <c r="A320" s="112" t="s">
        <v>4305</v>
      </c>
      <c r="B320" s="80">
        <v>2</v>
      </c>
      <c r="C320" s="113">
        <v>0.004139689900072254</v>
      </c>
      <c r="D320" s="80" t="s">
        <v>4101</v>
      </c>
      <c r="E320" s="80" t="b">
        <v>0</v>
      </c>
      <c r="F320" s="80" t="b">
        <v>0</v>
      </c>
      <c r="G320" s="80" t="b">
        <v>0</v>
      </c>
    </row>
    <row r="321" spans="1:7" ht="15">
      <c r="A321" s="112" t="s">
        <v>4306</v>
      </c>
      <c r="B321" s="80">
        <v>2</v>
      </c>
      <c r="C321" s="113">
        <v>0.004139689900072254</v>
      </c>
      <c r="D321" s="80" t="s">
        <v>4101</v>
      </c>
      <c r="E321" s="80" t="b">
        <v>0</v>
      </c>
      <c r="F321" s="80" t="b">
        <v>0</v>
      </c>
      <c r="G321" s="80" t="b">
        <v>0</v>
      </c>
    </row>
    <row r="322" spans="1:7" ht="15">
      <c r="A322" s="112" t="s">
        <v>4196</v>
      </c>
      <c r="B322" s="80">
        <v>2</v>
      </c>
      <c r="C322" s="113">
        <v>0.004139689900072254</v>
      </c>
      <c r="D322" s="80" t="s">
        <v>4101</v>
      </c>
      <c r="E322" s="80" t="b">
        <v>0</v>
      </c>
      <c r="F322" s="80" t="b">
        <v>0</v>
      </c>
      <c r="G322" s="80" t="b">
        <v>0</v>
      </c>
    </row>
    <row r="323" spans="1:7" ht="15">
      <c r="A323" s="112" t="s">
        <v>4183</v>
      </c>
      <c r="B323" s="80">
        <v>2</v>
      </c>
      <c r="C323" s="113">
        <v>0.004139689900072254</v>
      </c>
      <c r="D323" s="80" t="s">
        <v>4101</v>
      </c>
      <c r="E323" s="80" t="b">
        <v>0</v>
      </c>
      <c r="F323" s="80" t="b">
        <v>0</v>
      </c>
      <c r="G323" s="80" t="b">
        <v>0</v>
      </c>
    </row>
    <row r="324" spans="1:7" ht="15">
      <c r="A324" s="112" t="s">
        <v>4209</v>
      </c>
      <c r="B324" s="80">
        <v>2</v>
      </c>
      <c r="C324" s="113">
        <v>0.004139689900072254</v>
      </c>
      <c r="D324" s="80" t="s">
        <v>4101</v>
      </c>
      <c r="E324" s="80" t="b">
        <v>0</v>
      </c>
      <c r="F324" s="80" t="b">
        <v>0</v>
      </c>
      <c r="G324" s="80" t="b">
        <v>0</v>
      </c>
    </row>
    <row r="325" spans="1:7" ht="15">
      <c r="A325" s="112" t="s">
        <v>4266</v>
      </c>
      <c r="B325" s="80">
        <v>2</v>
      </c>
      <c r="C325" s="113">
        <v>0.004139689900072254</v>
      </c>
      <c r="D325" s="80" t="s">
        <v>4101</v>
      </c>
      <c r="E325" s="80" t="b">
        <v>0</v>
      </c>
      <c r="F325" s="80" t="b">
        <v>0</v>
      </c>
      <c r="G325" s="80" t="b">
        <v>0</v>
      </c>
    </row>
    <row r="326" spans="1:7" ht="15">
      <c r="A326" s="112" t="s">
        <v>4223</v>
      </c>
      <c r="B326" s="80">
        <v>2</v>
      </c>
      <c r="C326" s="113">
        <v>0.004917545186025694</v>
      </c>
      <c r="D326" s="80" t="s">
        <v>4101</v>
      </c>
      <c r="E326" s="80" t="b">
        <v>0</v>
      </c>
      <c r="F326" s="80" t="b">
        <v>0</v>
      </c>
      <c r="G326" s="80" t="b">
        <v>0</v>
      </c>
    </row>
    <row r="327" spans="1:7" ht="15">
      <c r="A327" s="112" t="s">
        <v>4267</v>
      </c>
      <c r="B327" s="80">
        <v>2</v>
      </c>
      <c r="C327" s="113">
        <v>0.004139689900072254</v>
      </c>
      <c r="D327" s="80" t="s">
        <v>4101</v>
      </c>
      <c r="E327" s="80" t="b">
        <v>0</v>
      </c>
      <c r="F327" s="80" t="b">
        <v>0</v>
      </c>
      <c r="G327" s="80" t="b">
        <v>0</v>
      </c>
    </row>
    <row r="328" spans="1:7" ht="15">
      <c r="A328" s="112" t="s">
        <v>4255</v>
      </c>
      <c r="B328" s="80">
        <v>2</v>
      </c>
      <c r="C328" s="113">
        <v>0.004917545186025694</v>
      </c>
      <c r="D328" s="80" t="s">
        <v>4101</v>
      </c>
      <c r="E328" s="80" t="b">
        <v>0</v>
      </c>
      <c r="F328" s="80" t="b">
        <v>0</v>
      </c>
      <c r="G328" s="80" t="b">
        <v>0</v>
      </c>
    </row>
    <row r="329" spans="1:7" ht="15">
      <c r="A329" s="112" t="s">
        <v>4335</v>
      </c>
      <c r="B329" s="80">
        <v>2</v>
      </c>
      <c r="C329" s="113">
        <v>0.004917545186025694</v>
      </c>
      <c r="D329" s="80" t="s">
        <v>4101</v>
      </c>
      <c r="E329" s="80" t="b">
        <v>0</v>
      </c>
      <c r="F329" s="80" t="b">
        <v>0</v>
      </c>
      <c r="G329" s="80" t="b">
        <v>0</v>
      </c>
    </row>
    <row r="330" spans="1:7" ht="15">
      <c r="A330" s="112" t="s">
        <v>4148</v>
      </c>
      <c r="B330" s="80">
        <v>2</v>
      </c>
      <c r="C330" s="113">
        <v>0.004139689900072254</v>
      </c>
      <c r="D330" s="80" t="s">
        <v>4101</v>
      </c>
      <c r="E330" s="80" t="b">
        <v>0</v>
      </c>
      <c r="F330" s="80" t="b">
        <v>0</v>
      </c>
      <c r="G330" s="80" t="b">
        <v>0</v>
      </c>
    </row>
    <row r="331" spans="1:7" ht="15">
      <c r="A331" s="112" t="s">
        <v>4244</v>
      </c>
      <c r="B331" s="80">
        <v>2</v>
      </c>
      <c r="C331" s="113">
        <v>0.004917545186025694</v>
      </c>
      <c r="D331" s="80" t="s">
        <v>4101</v>
      </c>
      <c r="E331" s="80" t="b">
        <v>0</v>
      </c>
      <c r="F331" s="80" t="b">
        <v>0</v>
      </c>
      <c r="G331" s="80" t="b">
        <v>0</v>
      </c>
    </row>
    <row r="332" spans="1:7" ht="15">
      <c r="A332" s="112" t="s">
        <v>4185</v>
      </c>
      <c r="B332" s="80">
        <v>2</v>
      </c>
      <c r="C332" s="113">
        <v>0.004917545186025694</v>
      </c>
      <c r="D332" s="80" t="s">
        <v>4101</v>
      </c>
      <c r="E332" s="80" t="b">
        <v>0</v>
      </c>
      <c r="F332" s="80" t="b">
        <v>0</v>
      </c>
      <c r="G332" s="80" t="b">
        <v>0</v>
      </c>
    </row>
    <row r="333" spans="1:7" ht="15">
      <c r="A333" s="112" t="s">
        <v>4278</v>
      </c>
      <c r="B333" s="80">
        <v>2</v>
      </c>
      <c r="C333" s="113">
        <v>0.004917545186025694</v>
      </c>
      <c r="D333" s="80" t="s">
        <v>4101</v>
      </c>
      <c r="E333" s="80" t="b">
        <v>0</v>
      </c>
      <c r="F333" s="80" t="b">
        <v>0</v>
      </c>
      <c r="G333" s="80" t="b">
        <v>0</v>
      </c>
    </row>
    <row r="334" spans="1:7" ht="15">
      <c r="A334" s="112" t="s">
        <v>4248</v>
      </c>
      <c r="B334" s="80">
        <v>2</v>
      </c>
      <c r="C334" s="113">
        <v>0.004139689900072254</v>
      </c>
      <c r="D334" s="80" t="s">
        <v>4101</v>
      </c>
      <c r="E334" s="80" t="b">
        <v>0</v>
      </c>
      <c r="F334" s="80" t="b">
        <v>0</v>
      </c>
      <c r="G334" s="80" t="b">
        <v>0</v>
      </c>
    </row>
    <row r="335" spans="1:7" ht="15">
      <c r="A335" s="112" t="s">
        <v>4327</v>
      </c>
      <c r="B335" s="80">
        <v>2</v>
      </c>
      <c r="C335" s="113">
        <v>0.004917545186025694</v>
      </c>
      <c r="D335" s="80" t="s">
        <v>4101</v>
      </c>
      <c r="E335" s="80" t="b">
        <v>0</v>
      </c>
      <c r="F335" s="80" t="b">
        <v>0</v>
      </c>
      <c r="G335" s="80" t="b">
        <v>0</v>
      </c>
    </row>
    <row r="336" spans="1:7" ht="15">
      <c r="A336" s="112" t="s">
        <v>4138</v>
      </c>
      <c r="B336" s="80">
        <v>2</v>
      </c>
      <c r="C336" s="113">
        <v>0.004917545186025694</v>
      </c>
      <c r="D336" s="80" t="s">
        <v>4101</v>
      </c>
      <c r="E336" s="80" t="b">
        <v>0</v>
      </c>
      <c r="F336" s="80" t="b">
        <v>0</v>
      </c>
      <c r="G336" s="80" t="b">
        <v>0</v>
      </c>
    </row>
    <row r="337" spans="1:7" ht="15">
      <c r="A337" s="112" t="s">
        <v>4259</v>
      </c>
      <c r="B337" s="80">
        <v>2</v>
      </c>
      <c r="C337" s="113">
        <v>0.004139689900072254</v>
      </c>
      <c r="D337" s="80" t="s">
        <v>4101</v>
      </c>
      <c r="E337" s="80" t="b">
        <v>0</v>
      </c>
      <c r="F337" s="80" t="b">
        <v>0</v>
      </c>
      <c r="G337" s="80" t="b">
        <v>0</v>
      </c>
    </row>
    <row r="338" spans="1:7" ht="15">
      <c r="A338" s="112" t="s">
        <v>4172</v>
      </c>
      <c r="B338" s="80">
        <v>2</v>
      </c>
      <c r="C338" s="113">
        <v>0.004139689900072254</v>
      </c>
      <c r="D338" s="80" t="s">
        <v>4101</v>
      </c>
      <c r="E338" s="80" t="b">
        <v>0</v>
      </c>
      <c r="F338" s="80" t="b">
        <v>0</v>
      </c>
      <c r="G338" s="80" t="b">
        <v>0</v>
      </c>
    </row>
    <row r="339" spans="1:7" ht="15">
      <c r="A339" s="112" t="s">
        <v>4246</v>
      </c>
      <c r="B339" s="80">
        <v>2</v>
      </c>
      <c r="C339" s="113">
        <v>0.004139689900072254</v>
      </c>
      <c r="D339" s="80" t="s">
        <v>4101</v>
      </c>
      <c r="E339" s="80" t="b">
        <v>0</v>
      </c>
      <c r="F339" s="80" t="b">
        <v>0</v>
      </c>
      <c r="G339" s="80" t="b">
        <v>0</v>
      </c>
    </row>
    <row r="340" spans="1:7" ht="15">
      <c r="A340" s="112" t="s">
        <v>4232</v>
      </c>
      <c r="B340" s="80">
        <v>2</v>
      </c>
      <c r="C340" s="113">
        <v>0.004139689900072254</v>
      </c>
      <c r="D340" s="80" t="s">
        <v>4101</v>
      </c>
      <c r="E340" s="80" t="b">
        <v>0</v>
      </c>
      <c r="F340" s="80" t="b">
        <v>0</v>
      </c>
      <c r="G340" s="80" t="b">
        <v>0</v>
      </c>
    </row>
    <row r="341" spans="1:7" ht="15">
      <c r="A341" s="112" t="s">
        <v>4122</v>
      </c>
      <c r="B341" s="80">
        <v>36</v>
      </c>
      <c r="C341" s="113">
        <v>0.029818444165567757</v>
      </c>
      <c r="D341" s="80" t="s">
        <v>4102</v>
      </c>
      <c r="E341" s="80" t="b">
        <v>0</v>
      </c>
      <c r="F341" s="80" t="b">
        <v>0</v>
      </c>
      <c r="G341" s="80" t="b">
        <v>0</v>
      </c>
    </row>
    <row r="342" spans="1:7" ht="15">
      <c r="A342" s="112" t="s">
        <v>4123</v>
      </c>
      <c r="B342" s="80">
        <v>34</v>
      </c>
      <c r="C342" s="113">
        <v>0.026723867590079678</v>
      </c>
      <c r="D342" s="80" t="s">
        <v>4102</v>
      </c>
      <c r="E342" s="80" t="b">
        <v>0</v>
      </c>
      <c r="F342" s="80" t="b">
        <v>0</v>
      </c>
      <c r="G342" s="80" t="b">
        <v>0</v>
      </c>
    </row>
    <row r="343" spans="1:7" ht="15">
      <c r="A343" s="112" t="s">
        <v>2874</v>
      </c>
      <c r="B343" s="80">
        <v>31</v>
      </c>
      <c r="C343" s="113">
        <v>0.031673421537614974</v>
      </c>
      <c r="D343" s="80" t="s">
        <v>4102</v>
      </c>
      <c r="E343" s="80" t="b">
        <v>0</v>
      </c>
      <c r="F343" s="80" t="b">
        <v>0</v>
      </c>
      <c r="G343" s="80" t="b">
        <v>0</v>
      </c>
    </row>
    <row r="344" spans="1:7" ht="15">
      <c r="A344" s="112" t="s">
        <v>4133</v>
      </c>
      <c r="B344" s="80">
        <v>26</v>
      </c>
      <c r="C344" s="113">
        <v>0.01938741962700083</v>
      </c>
      <c r="D344" s="80" t="s">
        <v>4102</v>
      </c>
      <c r="E344" s="80" t="b">
        <v>0</v>
      </c>
      <c r="F344" s="80" t="b">
        <v>0</v>
      </c>
      <c r="G344" s="80" t="b">
        <v>0</v>
      </c>
    </row>
    <row r="345" spans="1:7" ht="15">
      <c r="A345" s="112" t="s">
        <v>4124</v>
      </c>
      <c r="B345" s="80">
        <v>25</v>
      </c>
      <c r="C345" s="113">
        <v>0.022990560804964727</v>
      </c>
      <c r="D345" s="80" t="s">
        <v>4102</v>
      </c>
      <c r="E345" s="80" t="b">
        <v>0</v>
      </c>
      <c r="F345" s="80" t="b">
        <v>0</v>
      </c>
      <c r="G345" s="80" t="b">
        <v>0</v>
      </c>
    </row>
    <row r="346" spans="1:7" ht="15">
      <c r="A346" s="112" t="s">
        <v>4127</v>
      </c>
      <c r="B346" s="80">
        <v>19</v>
      </c>
      <c r="C346" s="113">
        <v>0.01841423956661473</v>
      </c>
      <c r="D346" s="80" t="s">
        <v>4102</v>
      </c>
      <c r="E346" s="80" t="b">
        <v>0</v>
      </c>
      <c r="F346" s="80" t="b">
        <v>0</v>
      </c>
      <c r="G346" s="80" t="b">
        <v>0</v>
      </c>
    </row>
    <row r="347" spans="1:7" ht="15">
      <c r="A347" s="112" t="s">
        <v>4125</v>
      </c>
      <c r="B347" s="80">
        <v>18</v>
      </c>
      <c r="C347" s="113">
        <v>0.0216308978920226</v>
      </c>
      <c r="D347" s="80" t="s">
        <v>4102</v>
      </c>
      <c r="E347" s="80" t="b">
        <v>0</v>
      </c>
      <c r="F347" s="80" t="b">
        <v>0</v>
      </c>
      <c r="G347" s="80" t="b">
        <v>0</v>
      </c>
    </row>
    <row r="348" spans="1:7" ht="15">
      <c r="A348" s="112" t="s">
        <v>4130</v>
      </c>
      <c r="B348" s="80">
        <v>16</v>
      </c>
      <c r="C348" s="113">
        <v>0.018199610633343268</v>
      </c>
      <c r="D348" s="80" t="s">
        <v>4102</v>
      </c>
      <c r="E348" s="80" t="b">
        <v>0</v>
      </c>
      <c r="F348" s="80" t="b">
        <v>0</v>
      </c>
      <c r="G348" s="80" t="b">
        <v>0</v>
      </c>
    </row>
    <row r="349" spans="1:7" ht="15">
      <c r="A349" s="112" t="s">
        <v>4153</v>
      </c>
      <c r="B349" s="80">
        <v>16</v>
      </c>
      <c r="C349" s="113">
        <v>0.03248010664427242</v>
      </c>
      <c r="D349" s="80" t="s">
        <v>4102</v>
      </c>
      <c r="E349" s="80" t="b">
        <v>0</v>
      </c>
      <c r="F349" s="80" t="b">
        <v>0</v>
      </c>
      <c r="G349" s="80" t="b">
        <v>0</v>
      </c>
    </row>
    <row r="350" spans="1:7" ht="15">
      <c r="A350" s="112" t="s">
        <v>4131</v>
      </c>
      <c r="B350" s="80">
        <v>13</v>
      </c>
      <c r="C350" s="113">
        <v>0.01652432588549554</v>
      </c>
      <c r="D350" s="80" t="s">
        <v>4102</v>
      </c>
      <c r="E350" s="80" t="b">
        <v>0</v>
      </c>
      <c r="F350" s="80" t="b">
        <v>0</v>
      </c>
      <c r="G350" s="80" t="b">
        <v>0</v>
      </c>
    </row>
    <row r="351" spans="1:7" ht="15">
      <c r="A351" s="112" t="s">
        <v>2725</v>
      </c>
      <c r="B351" s="80">
        <v>13</v>
      </c>
      <c r="C351" s="113">
        <v>0.018578929076352075</v>
      </c>
      <c r="D351" s="80" t="s">
        <v>4102</v>
      </c>
      <c r="E351" s="80" t="b">
        <v>0</v>
      </c>
      <c r="F351" s="80" t="b">
        <v>0</v>
      </c>
      <c r="G351" s="80" t="b">
        <v>0</v>
      </c>
    </row>
    <row r="352" spans="1:7" ht="15">
      <c r="A352" s="112" t="s">
        <v>4140</v>
      </c>
      <c r="B352" s="80">
        <v>8</v>
      </c>
      <c r="C352" s="113">
        <v>0.012980652401482723</v>
      </c>
      <c r="D352" s="80" t="s">
        <v>4102</v>
      </c>
      <c r="E352" s="80" t="b">
        <v>0</v>
      </c>
      <c r="F352" s="80" t="b">
        <v>0</v>
      </c>
      <c r="G352" s="80" t="b">
        <v>0</v>
      </c>
    </row>
    <row r="353" spans="1:7" ht="15">
      <c r="A353" s="112" t="s">
        <v>4134</v>
      </c>
      <c r="B353" s="80">
        <v>8</v>
      </c>
      <c r="C353" s="113">
        <v>0.013906671514898878</v>
      </c>
      <c r="D353" s="80" t="s">
        <v>4102</v>
      </c>
      <c r="E353" s="80" t="b">
        <v>0</v>
      </c>
      <c r="F353" s="80" t="b">
        <v>0</v>
      </c>
      <c r="G353" s="80" t="b">
        <v>0</v>
      </c>
    </row>
    <row r="354" spans="1:7" ht="15">
      <c r="A354" s="112" t="s">
        <v>4137</v>
      </c>
      <c r="B354" s="80">
        <v>8</v>
      </c>
      <c r="C354" s="113">
        <v>0.02259438479793721</v>
      </c>
      <c r="D354" s="80" t="s">
        <v>4102</v>
      </c>
      <c r="E354" s="80" t="b">
        <v>0</v>
      </c>
      <c r="F354" s="80" t="b">
        <v>0</v>
      </c>
      <c r="G354" s="80" t="b">
        <v>0</v>
      </c>
    </row>
    <row r="355" spans="1:7" ht="15">
      <c r="A355" s="112" t="s">
        <v>4158</v>
      </c>
      <c r="B355" s="80">
        <v>7</v>
      </c>
      <c r="C355" s="113">
        <v>0.012168337575536519</v>
      </c>
      <c r="D355" s="80" t="s">
        <v>4102</v>
      </c>
      <c r="E355" s="80" t="b">
        <v>0</v>
      </c>
      <c r="F355" s="80" t="b">
        <v>0</v>
      </c>
      <c r="G355" s="80" t="b">
        <v>0</v>
      </c>
    </row>
    <row r="356" spans="1:7" ht="15">
      <c r="A356" s="112" t="s">
        <v>4166</v>
      </c>
      <c r="B356" s="80">
        <v>7</v>
      </c>
      <c r="C356" s="113">
        <v>0.012168337575536519</v>
      </c>
      <c r="D356" s="80" t="s">
        <v>4102</v>
      </c>
      <c r="E356" s="80" t="b">
        <v>0</v>
      </c>
      <c r="F356" s="80" t="b">
        <v>0</v>
      </c>
      <c r="G356" s="80" t="b">
        <v>0</v>
      </c>
    </row>
    <row r="357" spans="1:7" ht="15">
      <c r="A357" s="112" t="s">
        <v>4157</v>
      </c>
      <c r="B357" s="80">
        <v>6</v>
      </c>
      <c r="C357" s="113">
        <v>0.016945788598452912</v>
      </c>
      <c r="D357" s="80" t="s">
        <v>4102</v>
      </c>
      <c r="E357" s="80" t="b">
        <v>0</v>
      </c>
      <c r="F357" s="80" t="b">
        <v>0</v>
      </c>
      <c r="G357" s="80" t="b">
        <v>0</v>
      </c>
    </row>
    <row r="358" spans="1:7" ht="15">
      <c r="A358" s="112" t="s">
        <v>4126</v>
      </c>
      <c r="B358" s="80">
        <v>6</v>
      </c>
      <c r="C358" s="113">
        <v>0.014836911244492655</v>
      </c>
      <c r="D358" s="80" t="s">
        <v>4102</v>
      </c>
      <c r="E358" s="80" t="b">
        <v>0</v>
      </c>
      <c r="F358" s="80" t="b">
        <v>0</v>
      </c>
      <c r="G358" s="80" t="b">
        <v>0</v>
      </c>
    </row>
    <row r="359" spans="1:7" ht="15">
      <c r="A359" s="112" t="s">
        <v>4205</v>
      </c>
      <c r="B359" s="80">
        <v>5</v>
      </c>
      <c r="C359" s="113">
        <v>0.010150033326335132</v>
      </c>
      <c r="D359" s="80" t="s">
        <v>4102</v>
      </c>
      <c r="E359" s="80" t="b">
        <v>0</v>
      </c>
      <c r="F359" s="80" t="b">
        <v>0</v>
      </c>
      <c r="G359" s="80" t="b">
        <v>0</v>
      </c>
    </row>
    <row r="360" spans="1:7" ht="15">
      <c r="A360" s="112" t="s">
        <v>4128</v>
      </c>
      <c r="B360" s="80">
        <v>5</v>
      </c>
      <c r="C360" s="113">
        <v>0.01111719912481873</v>
      </c>
      <c r="D360" s="80" t="s">
        <v>4102</v>
      </c>
      <c r="E360" s="80" t="b">
        <v>0</v>
      </c>
      <c r="F360" s="80" t="b">
        <v>0</v>
      </c>
      <c r="G360" s="80" t="b">
        <v>0</v>
      </c>
    </row>
    <row r="361" spans="1:7" ht="15">
      <c r="A361" s="112" t="s">
        <v>4142</v>
      </c>
      <c r="B361" s="80">
        <v>5</v>
      </c>
      <c r="C361" s="113">
        <v>0.01236409270374388</v>
      </c>
      <c r="D361" s="80" t="s">
        <v>4102</v>
      </c>
      <c r="E361" s="80" t="b">
        <v>0</v>
      </c>
      <c r="F361" s="80" t="b">
        <v>0</v>
      </c>
      <c r="G361" s="80" t="b">
        <v>0</v>
      </c>
    </row>
    <row r="362" spans="1:7" ht="15">
      <c r="A362" s="112" t="s">
        <v>4151</v>
      </c>
      <c r="B362" s="80">
        <v>4</v>
      </c>
      <c r="C362" s="113">
        <v>0.011297192398968606</v>
      </c>
      <c r="D362" s="80" t="s">
        <v>4102</v>
      </c>
      <c r="E362" s="80" t="b">
        <v>0</v>
      </c>
      <c r="F362" s="80" t="b">
        <v>0</v>
      </c>
      <c r="G362" s="80" t="b">
        <v>0</v>
      </c>
    </row>
    <row r="363" spans="1:7" ht="15">
      <c r="A363" s="112" t="s">
        <v>4132</v>
      </c>
      <c r="B363" s="80">
        <v>4</v>
      </c>
      <c r="C363" s="113">
        <v>0.009891274162995102</v>
      </c>
      <c r="D363" s="80" t="s">
        <v>4102</v>
      </c>
      <c r="E363" s="80" t="b">
        <v>0</v>
      </c>
      <c r="F363" s="80" t="b">
        <v>0</v>
      </c>
      <c r="G363" s="80" t="b">
        <v>0</v>
      </c>
    </row>
    <row r="364" spans="1:7" ht="15">
      <c r="A364" s="112" t="s">
        <v>4214</v>
      </c>
      <c r="B364" s="80">
        <v>4</v>
      </c>
      <c r="C364" s="113">
        <v>0.008893759299854982</v>
      </c>
      <c r="D364" s="80" t="s">
        <v>4102</v>
      </c>
      <c r="E364" s="80" t="b">
        <v>0</v>
      </c>
      <c r="F364" s="80" t="b">
        <v>0</v>
      </c>
      <c r="G364" s="80" t="b">
        <v>0</v>
      </c>
    </row>
    <row r="365" spans="1:7" ht="15">
      <c r="A365" s="112" t="s">
        <v>4212</v>
      </c>
      <c r="B365" s="80">
        <v>4</v>
      </c>
      <c r="C365" s="113">
        <v>0.013700625498082228</v>
      </c>
      <c r="D365" s="80" t="s">
        <v>4102</v>
      </c>
      <c r="E365" s="80" t="b">
        <v>0</v>
      </c>
      <c r="F365" s="80" t="b">
        <v>0</v>
      </c>
      <c r="G365" s="80" t="b">
        <v>0</v>
      </c>
    </row>
    <row r="366" spans="1:7" ht="15">
      <c r="A366" s="112" t="s">
        <v>4213</v>
      </c>
      <c r="B366" s="80">
        <v>4</v>
      </c>
      <c r="C366" s="113">
        <v>0.013700625498082228</v>
      </c>
      <c r="D366" s="80" t="s">
        <v>4102</v>
      </c>
      <c r="E366" s="80" t="b">
        <v>0</v>
      </c>
      <c r="F366" s="80" t="b">
        <v>0</v>
      </c>
      <c r="G366" s="80" t="b">
        <v>0</v>
      </c>
    </row>
    <row r="367" spans="1:7" ht="15">
      <c r="A367" s="112" t="s">
        <v>4298</v>
      </c>
      <c r="B367" s="80">
        <v>3</v>
      </c>
      <c r="C367" s="113">
        <v>0.007418455622246327</v>
      </c>
      <c r="D367" s="80" t="s">
        <v>4102</v>
      </c>
      <c r="E367" s="80" t="b">
        <v>0</v>
      </c>
      <c r="F367" s="80" t="b">
        <v>0</v>
      </c>
      <c r="G367" s="80" t="b">
        <v>0</v>
      </c>
    </row>
    <row r="368" spans="1:7" ht="15">
      <c r="A368" s="112" t="s">
        <v>4154</v>
      </c>
      <c r="B368" s="80">
        <v>3</v>
      </c>
      <c r="C368" s="113">
        <v>0.007418455622246327</v>
      </c>
      <c r="D368" s="80" t="s">
        <v>4102</v>
      </c>
      <c r="E368" s="80" t="b">
        <v>0</v>
      </c>
      <c r="F368" s="80" t="b">
        <v>0</v>
      </c>
      <c r="G368" s="80" t="b">
        <v>0</v>
      </c>
    </row>
    <row r="369" spans="1:7" ht="15">
      <c r="A369" s="112" t="s">
        <v>4159</v>
      </c>
      <c r="B369" s="80">
        <v>3</v>
      </c>
      <c r="C369" s="113">
        <v>0.010275469123561672</v>
      </c>
      <c r="D369" s="80" t="s">
        <v>4102</v>
      </c>
      <c r="E369" s="80" t="b">
        <v>0</v>
      </c>
      <c r="F369" s="80" t="b">
        <v>0</v>
      </c>
      <c r="G369" s="80" t="b">
        <v>0</v>
      </c>
    </row>
    <row r="370" spans="1:7" ht="15">
      <c r="A370" s="112" t="s">
        <v>4129</v>
      </c>
      <c r="B370" s="80">
        <v>3</v>
      </c>
      <c r="C370" s="113">
        <v>0.008472894299226456</v>
      </c>
      <c r="D370" s="80" t="s">
        <v>4102</v>
      </c>
      <c r="E370" s="80" t="b">
        <v>0</v>
      </c>
      <c r="F370" s="80" t="b">
        <v>0</v>
      </c>
      <c r="G370" s="80" t="b">
        <v>0</v>
      </c>
    </row>
    <row r="371" spans="1:7" ht="15">
      <c r="A371" s="112" t="s">
        <v>4143</v>
      </c>
      <c r="B371" s="80">
        <v>3</v>
      </c>
      <c r="C371" s="113">
        <v>0.007418455622246327</v>
      </c>
      <c r="D371" s="80" t="s">
        <v>4102</v>
      </c>
      <c r="E371" s="80" t="b">
        <v>0</v>
      </c>
      <c r="F371" s="80" t="b">
        <v>0</v>
      </c>
      <c r="G371" s="80" t="b">
        <v>0</v>
      </c>
    </row>
    <row r="372" spans="1:7" ht="15">
      <c r="A372" s="112" t="s">
        <v>4135</v>
      </c>
      <c r="B372" s="80">
        <v>3</v>
      </c>
      <c r="C372" s="113">
        <v>0.007418455622246327</v>
      </c>
      <c r="D372" s="80" t="s">
        <v>4102</v>
      </c>
      <c r="E372" s="80" t="b">
        <v>0</v>
      </c>
      <c r="F372" s="80" t="b">
        <v>0</v>
      </c>
      <c r="G372" s="80" t="b">
        <v>0</v>
      </c>
    </row>
    <row r="373" spans="1:7" ht="15">
      <c r="A373" s="112" t="s">
        <v>4302</v>
      </c>
      <c r="B373" s="80">
        <v>3</v>
      </c>
      <c r="C373" s="113">
        <v>0.010275469123561672</v>
      </c>
      <c r="D373" s="80" t="s">
        <v>4102</v>
      </c>
      <c r="E373" s="80" t="b">
        <v>0</v>
      </c>
      <c r="F373" s="80" t="b">
        <v>0</v>
      </c>
      <c r="G373" s="80" t="b">
        <v>0</v>
      </c>
    </row>
    <row r="374" spans="1:7" ht="15">
      <c r="A374" s="112" t="s">
        <v>4281</v>
      </c>
      <c r="B374" s="80">
        <v>3</v>
      </c>
      <c r="C374" s="113">
        <v>0.007418455622246327</v>
      </c>
      <c r="D374" s="80" t="s">
        <v>4102</v>
      </c>
      <c r="E374" s="80" t="b">
        <v>0</v>
      </c>
      <c r="F374" s="80" t="b">
        <v>0</v>
      </c>
      <c r="G374" s="80" t="b">
        <v>0</v>
      </c>
    </row>
    <row r="375" spans="1:7" ht="15">
      <c r="A375" s="112" t="s">
        <v>4222</v>
      </c>
      <c r="B375" s="80">
        <v>3</v>
      </c>
      <c r="C375" s="113">
        <v>0.007418455622246327</v>
      </c>
      <c r="D375" s="80" t="s">
        <v>4102</v>
      </c>
      <c r="E375" s="80" t="b">
        <v>0</v>
      </c>
      <c r="F375" s="80" t="b">
        <v>0</v>
      </c>
      <c r="G375" s="80" t="b">
        <v>0</v>
      </c>
    </row>
    <row r="376" spans="1:7" ht="15">
      <c r="A376" s="112" t="s">
        <v>4136</v>
      </c>
      <c r="B376" s="80">
        <v>3</v>
      </c>
      <c r="C376" s="113">
        <v>0.007418455622246327</v>
      </c>
      <c r="D376" s="80" t="s">
        <v>4102</v>
      </c>
      <c r="E376" s="80" t="b">
        <v>0</v>
      </c>
      <c r="F376" s="80" t="b">
        <v>0</v>
      </c>
      <c r="G376" s="80" t="b">
        <v>0</v>
      </c>
    </row>
    <row r="377" spans="1:7" ht="15">
      <c r="A377" s="112" t="s">
        <v>4230</v>
      </c>
      <c r="B377" s="80">
        <v>3</v>
      </c>
      <c r="C377" s="113">
        <v>0.008472894299226456</v>
      </c>
      <c r="D377" s="80" t="s">
        <v>4102</v>
      </c>
      <c r="E377" s="80" t="b">
        <v>0</v>
      </c>
      <c r="F377" s="80" t="b">
        <v>0</v>
      </c>
      <c r="G377" s="80" t="b">
        <v>0</v>
      </c>
    </row>
    <row r="378" spans="1:7" ht="15">
      <c r="A378" s="112" t="s">
        <v>4180</v>
      </c>
      <c r="B378" s="80">
        <v>3</v>
      </c>
      <c r="C378" s="113">
        <v>0.008472894299226456</v>
      </c>
      <c r="D378" s="80" t="s">
        <v>4102</v>
      </c>
      <c r="E378" s="80" t="b">
        <v>0</v>
      </c>
      <c r="F378" s="80" t="b">
        <v>0</v>
      </c>
      <c r="G378" s="80" t="b">
        <v>0</v>
      </c>
    </row>
    <row r="379" spans="1:7" ht="15">
      <c r="A379" s="112" t="s">
        <v>4240</v>
      </c>
      <c r="B379" s="80">
        <v>2</v>
      </c>
      <c r="C379" s="113">
        <v>0.005648596199484303</v>
      </c>
      <c r="D379" s="80" t="s">
        <v>4102</v>
      </c>
      <c r="E379" s="80" t="b">
        <v>0</v>
      </c>
      <c r="F379" s="80" t="b">
        <v>0</v>
      </c>
      <c r="G379" s="80" t="b">
        <v>0</v>
      </c>
    </row>
    <row r="380" spans="1:7" ht="15">
      <c r="A380" s="112" t="s">
        <v>4267</v>
      </c>
      <c r="B380" s="80">
        <v>2</v>
      </c>
      <c r="C380" s="113">
        <v>0.006850312749041114</v>
      </c>
      <c r="D380" s="80" t="s">
        <v>4102</v>
      </c>
      <c r="E380" s="80" t="b">
        <v>0</v>
      </c>
      <c r="F380" s="80" t="b">
        <v>0</v>
      </c>
      <c r="G380" s="80" t="b">
        <v>0</v>
      </c>
    </row>
    <row r="381" spans="1:7" ht="15">
      <c r="A381" s="112" t="s">
        <v>4223</v>
      </c>
      <c r="B381" s="80">
        <v>2</v>
      </c>
      <c r="C381" s="113">
        <v>0.006850312749041114</v>
      </c>
      <c r="D381" s="80" t="s">
        <v>4102</v>
      </c>
      <c r="E381" s="80" t="b">
        <v>0</v>
      </c>
      <c r="F381" s="80" t="b">
        <v>0</v>
      </c>
      <c r="G381" s="80" t="b">
        <v>0</v>
      </c>
    </row>
    <row r="382" spans="1:7" ht="15">
      <c r="A382" s="112" t="s">
        <v>4321</v>
      </c>
      <c r="B382" s="80">
        <v>2</v>
      </c>
      <c r="C382" s="113">
        <v>0.006850312749041114</v>
      </c>
      <c r="D382" s="80" t="s">
        <v>4102</v>
      </c>
      <c r="E382" s="80" t="b">
        <v>0</v>
      </c>
      <c r="F382" s="80" t="b">
        <v>0</v>
      </c>
      <c r="G382" s="80" t="b">
        <v>0</v>
      </c>
    </row>
    <row r="383" spans="1:7" ht="15">
      <c r="A383" s="112" t="s">
        <v>4260</v>
      </c>
      <c r="B383" s="80">
        <v>2</v>
      </c>
      <c r="C383" s="113">
        <v>0.006850312749041114</v>
      </c>
      <c r="D383" s="80" t="s">
        <v>4102</v>
      </c>
      <c r="E383" s="80" t="b">
        <v>0</v>
      </c>
      <c r="F383" s="80" t="b">
        <v>0</v>
      </c>
      <c r="G383" s="80" t="b">
        <v>0</v>
      </c>
    </row>
    <row r="384" spans="1:7" ht="15">
      <c r="A384" s="112" t="s">
        <v>4322</v>
      </c>
      <c r="B384" s="80">
        <v>2</v>
      </c>
      <c r="C384" s="113">
        <v>0.006850312749041114</v>
      </c>
      <c r="D384" s="80" t="s">
        <v>4102</v>
      </c>
      <c r="E384" s="80" t="b">
        <v>0</v>
      </c>
      <c r="F384" s="80" t="b">
        <v>0</v>
      </c>
      <c r="G384" s="80" t="b">
        <v>0</v>
      </c>
    </row>
    <row r="385" spans="1:7" ht="15">
      <c r="A385" s="112" t="s">
        <v>4172</v>
      </c>
      <c r="B385" s="80">
        <v>2</v>
      </c>
      <c r="C385" s="113">
        <v>0.005648596199484303</v>
      </c>
      <c r="D385" s="80" t="s">
        <v>4102</v>
      </c>
      <c r="E385" s="80" t="b">
        <v>0</v>
      </c>
      <c r="F385" s="80" t="b">
        <v>0</v>
      </c>
      <c r="G385" s="80" t="b">
        <v>0</v>
      </c>
    </row>
    <row r="386" spans="1:7" ht="15">
      <c r="A386" s="112" t="s">
        <v>4282</v>
      </c>
      <c r="B386" s="80">
        <v>2</v>
      </c>
      <c r="C386" s="113">
        <v>0.006850312749041114</v>
      </c>
      <c r="D386" s="80" t="s">
        <v>4102</v>
      </c>
      <c r="E386" s="80" t="b">
        <v>0</v>
      </c>
      <c r="F386" s="80" t="b">
        <v>0</v>
      </c>
      <c r="G386" s="80" t="b">
        <v>0</v>
      </c>
    </row>
    <row r="387" spans="1:7" ht="15">
      <c r="A387" s="112" t="s">
        <v>4336</v>
      </c>
      <c r="B387" s="80">
        <v>2</v>
      </c>
      <c r="C387" s="113">
        <v>0.006850312749041114</v>
      </c>
      <c r="D387" s="80" t="s">
        <v>4102</v>
      </c>
      <c r="E387" s="80" t="b">
        <v>0</v>
      </c>
      <c r="F387" s="80" t="b">
        <v>0</v>
      </c>
      <c r="G387" s="80" t="b">
        <v>0</v>
      </c>
    </row>
    <row r="388" spans="1:7" ht="15">
      <c r="A388" s="112" t="s">
        <v>4193</v>
      </c>
      <c r="B388" s="80">
        <v>2</v>
      </c>
      <c r="C388" s="113">
        <v>0.005648596199484303</v>
      </c>
      <c r="D388" s="80" t="s">
        <v>4102</v>
      </c>
      <c r="E388" s="80" t="b">
        <v>0</v>
      </c>
      <c r="F388" s="80" t="b">
        <v>0</v>
      </c>
      <c r="G388" s="80" t="b">
        <v>0</v>
      </c>
    </row>
    <row r="389" spans="1:7" ht="15">
      <c r="A389" s="112" t="s">
        <v>4163</v>
      </c>
      <c r="B389" s="80">
        <v>2</v>
      </c>
      <c r="C389" s="113">
        <v>0.005648596199484303</v>
      </c>
      <c r="D389" s="80" t="s">
        <v>4102</v>
      </c>
      <c r="E389" s="80" t="b">
        <v>0</v>
      </c>
      <c r="F389" s="80" t="b">
        <v>0</v>
      </c>
      <c r="G389" s="80" t="b">
        <v>0</v>
      </c>
    </row>
    <row r="390" spans="1:7" ht="15">
      <c r="A390" s="112" t="s">
        <v>4145</v>
      </c>
      <c r="B390" s="80">
        <v>2</v>
      </c>
      <c r="C390" s="113">
        <v>0.006850312749041114</v>
      </c>
      <c r="D390" s="80" t="s">
        <v>4102</v>
      </c>
      <c r="E390" s="80" t="b">
        <v>0</v>
      </c>
      <c r="F390" s="80" t="b">
        <v>0</v>
      </c>
      <c r="G390" s="80" t="b">
        <v>0</v>
      </c>
    </row>
    <row r="391" spans="1:7" ht="15">
      <c r="A391" s="112" t="s">
        <v>4317</v>
      </c>
      <c r="B391" s="80">
        <v>2</v>
      </c>
      <c r="C391" s="113">
        <v>0.006850312749041114</v>
      </c>
      <c r="D391" s="80" t="s">
        <v>4102</v>
      </c>
      <c r="E391" s="80" t="b">
        <v>0</v>
      </c>
      <c r="F391" s="80" t="b">
        <v>0</v>
      </c>
      <c r="G391" s="80" t="b">
        <v>0</v>
      </c>
    </row>
    <row r="392" spans="1:7" ht="15">
      <c r="A392" s="112" t="s">
        <v>4123</v>
      </c>
      <c r="B392" s="80">
        <v>35</v>
      </c>
      <c r="C392" s="113">
        <v>0.01709664271193513</v>
      </c>
      <c r="D392" s="80" t="s">
        <v>4103</v>
      </c>
      <c r="E392" s="80" t="b">
        <v>0</v>
      </c>
      <c r="F392" s="80" t="b">
        <v>0</v>
      </c>
      <c r="G392" s="80" t="b">
        <v>0</v>
      </c>
    </row>
    <row r="393" spans="1:7" ht="15">
      <c r="A393" s="112" t="s">
        <v>4134</v>
      </c>
      <c r="B393" s="80">
        <v>19</v>
      </c>
      <c r="C393" s="113">
        <v>0.01434667069932884</v>
      </c>
      <c r="D393" s="80" t="s">
        <v>4103</v>
      </c>
      <c r="E393" s="80" t="b">
        <v>0</v>
      </c>
      <c r="F393" s="80" t="b">
        <v>0</v>
      </c>
      <c r="G393" s="80" t="b">
        <v>0</v>
      </c>
    </row>
    <row r="394" spans="1:7" ht="15">
      <c r="A394" s="112" t="s">
        <v>4122</v>
      </c>
      <c r="B394" s="80">
        <v>17</v>
      </c>
      <c r="C394" s="113">
        <v>0.016847505850498653</v>
      </c>
      <c r="D394" s="80" t="s">
        <v>4103</v>
      </c>
      <c r="E394" s="80" t="b">
        <v>0</v>
      </c>
      <c r="F394" s="80" t="b">
        <v>0</v>
      </c>
      <c r="G394" s="80" t="b">
        <v>0</v>
      </c>
    </row>
    <row r="395" spans="1:7" ht="15">
      <c r="A395" s="112" t="s">
        <v>4136</v>
      </c>
      <c r="B395" s="80">
        <v>17</v>
      </c>
      <c r="C395" s="113">
        <v>0.016847505850498653</v>
      </c>
      <c r="D395" s="80" t="s">
        <v>4103</v>
      </c>
      <c r="E395" s="80" t="b">
        <v>0</v>
      </c>
      <c r="F395" s="80" t="b">
        <v>0</v>
      </c>
      <c r="G395" s="80" t="b">
        <v>0</v>
      </c>
    </row>
    <row r="396" spans="1:7" ht="15">
      <c r="A396" s="112" t="s">
        <v>4124</v>
      </c>
      <c r="B396" s="80">
        <v>14</v>
      </c>
      <c r="C396" s="113">
        <v>0.015570091607939832</v>
      </c>
      <c r="D396" s="80" t="s">
        <v>4103</v>
      </c>
      <c r="E396" s="80" t="b">
        <v>0</v>
      </c>
      <c r="F396" s="80" t="b">
        <v>0</v>
      </c>
      <c r="G396" s="80" t="b">
        <v>0</v>
      </c>
    </row>
    <row r="397" spans="1:7" ht="15">
      <c r="A397" s="112" t="s">
        <v>4133</v>
      </c>
      <c r="B397" s="80">
        <v>13</v>
      </c>
      <c r="C397" s="113">
        <v>0.01288338682685191</v>
      </c>
      <c r="D397" s="80" t="s">
        <v>4103</v>
      </c>
      <c r="E397" s="80" t="b">
        <v>0</v>
      </c>
      <c r="F397" s="80" t="b">
        <v>0</v>
      </c>
      <c r="G397" s="80" t="b">
        <v>0</v>
      </c>
    </row>
    <row r="398" spans="1:7" ht="15">
      <c r="A398" s="112" t="s">
        <v>4127</v>
      </c>
      <c r="B398" s="80">
        <v>13</v>
      </c>
      <c r="C398" s="113">
        <v>0.013637823189739648</v>
      </c>
      <c r="D398" s="80" t="s">
        <v>4103</v>
      </c>
      <c r="E398" s="80" t="b">
        <v>0</v>
      </c>
      <c r="F398" s="80" t="b">
        <v>0</v>
      </c>
      <c r="G398" s="80" t="b">
        <v>0</v>
      </c>
    </row>
    <row r="399" spans="1:7" ht="15">
      <c r="A399" s="112" t="s">
        <v>4154</v>
      </c>
      <c r="B399" s="80">
        <v>12</v>
      </c>
      <c r="C399" s="113">
        <v>0.013345792806805569</v>
      </c>
      <c r="D399" s="80" t="s">
        <v>4103</v>
      </c>
      <c r="E399" s="80" t="b">
        <v>0</v>
      </c>
      <c r="F399" s="80" t="b">
        <v>0</v>
      </c>
      <c r="G399" s="80" t="b">
        <v>0</v>
      </c>
    </row>
    <row r="400" spans="1:7" ht="15">
      <c r="A400" s="112" t="s">
        <v>4130</v>
      </c>
      <c r="B400" s="80">
        <v>11</v>
      </c>
      <c r="C400" s="113">
        <v>0.01383406399540021</v>
      </c>
      <c r="D400" s="80" t="s">
        <v>4103</v>
      </c>
      <c r="E400" s="80" t="b">
        <v>0</v>
      </c>
      <c r="F400" s="80" t="b">
        <v>0</v>
      </c>
      <c r="G400" s="80" t="b">
        <v>0</v>
      </c>
    </row>
    <row r="401" spans="1:7" ht="15">
      <c r="A401" s="112" t="s">
        <v>4131</v>
      </c>
      <c r="B401" s="80">
        <v>9</v>
      </c>
      <c r="C401" s="113">
        <v>0.013964558149296553</v>
      </c>
      <c r="D401" s="80" t="s">
        <v>4103</v>
      </c>
      <c r="E401" s="80" t="b">
        <v>0</v>
      </c>
      <c r="F401" s="80" t="b">
        <v>0</v>
      </c>
      <c r="G401" s="80" t="b">
        <v>0</v>
      </c>
    </row>
    <row r="402" spans="1:7" ht="15">
      <c r="A402" s="112" t="s">
        <v>4167</v>
      </c>
      <c r="B402" s="80">
        <v>9</v>
      </c>
      <c r="C402" s="113">
        <v>0.011318779632600173</v>
      </c>
      <c r="D402" s="80" t="s">
        <v>4103</v>
      </c>
      <c r="E402" s="80" t="b">
        <v>0</v>
      </c>
      <c r="F402" s="80" t="b">
        <v>0</v>
      </c>
      <c r="G402" s="80" t="b">
        <v>0</v>
      </c>
    </row>
    <row r="403" spans="1:7" ht="15">
      <c r="A403" s="112" t="s">
        <v>4165</v>
      </c>
      <c r="B403" s="80">
        <v>9</v>
      </c>
      <c r="C403" s="113">
        <v>0.011318779632600173</v>
      </c>
      <c r="D403" s="80" t="s">
        <v>4103</v>
      </c>
      <c r="E403" s="80" t="b">
        <v>0</v>
      </c>
      <c r="F403" s="80" t="b">
        <v>0</v>
      </c>
      <c r="G403" s="80" t="b">
        <v>0</v>
      </c>
    </row>
    <row r="404" spans="1:7" ht="15">
      <c r="A404" s="112" t="s">
        <v>4129</v>
      </c>
      <c r="B404" s="80">
        <v>8</v>
      </c>
      <c r="C404" s="113">
        <v>0.011518826525324603</v>
      </c>
      <c r="D404" s="80" t="s">
        <v>4103</v>
      </c>
      <c r="E404" s="80" t="b">
        <v>0</v>
      </c>
      <c r="F404" s="80" t="b">
        <v>0</v>
      </c>
      <c r="G404" s="80" t="b">
        <v>0</v>
      </c>
    </row>
    <row r="405" spans="1:7" ht="15">
      <c r="A405" s="112" t="s">
        <v>4171</v>
      </c>
      <c r="B405" s="80">
        <v>8</v>
      </c>
      <c r="C405" s="113">
        <v>0.022805611700807162</v>
      </c>
      <c r="D405" s="80" t="s">
        <v>4103</v>
      </c>
      <c r="E405" s="80" t="b">
        <v>0</v>
      </c>
      <c r="F405" s="80" t="b">
        <v>0</v>
      </c>
      <c r="G405" s="80" t="b">
        <v>0</v>
      </c>
    </row>
    <row r="406" spans="1:7" ht="15">
      <c r="A406" s="112" t="s">
        <v>4125</v>
      </c>
      <c r="B406" s="80">
        <v>8</v>
      </c>
      <c r="C406" s="113">
        <v>0.01074430970425366</v>
      </c>
      <c r="D406" s="80" t="s">
        <v>4103</v>
      </c>
      <c r="E406" s="80" t="b">
        <v>0</v>
      </c>
      <c r="F406" s="80" t="b">
        <v>0</v>
      </c>
      <c r="G406" s="80" t="b">
        <v>0</v>
      </c>
    </row>
    <row r="407" spans="1:7" ht="15">
      <c r="A407" s="112" t="s">
        <v>4160</v>
      </c>
      <c r="B407" s="80">
        <v>8</v>
      </c>
      <c r="C407" s="113">
        <v>0.01074430970425366</v>
      </c>
      <c r="D407" s="80" t="s">
        <v>4103</v>
      </c>
      <c r="E407" s="80" t="b">
        <v>0</v>
      </c>
      <c r="F407" s="80" t="b">
        <v>0</v>
      </c>
      <c r="G407" s="80" t="b">
        <v>0</v>
      </c>
    </row>
    <row r="408" spans="1:7" ht="15">
      <c r="A408" s="112" t="s">
        <v>4187</v>
      </c>
      <c r="B408" s="80">
        <v>7</v>
      </c>
      <c r="C408" s="113">
        <v>0.0143792027540032</v>
      </c>
      <c r="D408" s="80" t="s">
        <v>4103</v>
      </c>
      <c r="E408" s="80" t="b">
        <v>0</v>
      </c>
      <c r="F408" s="80" t="b">
        <v>0</v>
      </c>
      <c r="G408" s="80" t="b">
        <v>0</v>
      </c>
    </row>
    <row r="409" spans="1:7" ht="15">
      <c r="A409" s="112" t="s">
        <v>2874</v>
      </c>
      <c r="B409" s="80">
        <v>7</v>
      </c>
      <c r="C409" s="113">
        <v>0.010078973209659026</v>
      </c>
      <c r="D409" s="80" t="s">
        <v>4103</v>
      </c>
      <c r="E409" s="80" t="b">
        <v>0</v>
      </c>
      <c r="F409" s="80" t="b">
        <v>0</v>
      </c>
      <c r="G409" s="80" t="b">
        <v>0</v>
      </c>
    </row>
    <row r="410" spans="1:7" ht="15">
      <c r="A410" s="112" t="s">
        <v>4128</v>
      </c>
      <c r="B410" s="80">
        <v>7</v>
      </c>
      <c r="C410" s="113">
        <v>0.01086132300500843</v>
      </c>
      <c r="D410" s="80" t="s">
        <v>4103</v>
      </c>
      <c r="E410" s="80" t="b">
        <v>0</v>
      </c>
      <c r="F410" s="80" t="b">
        <v>0</v>
      </c>
      <c r="G410" s="80" t="b">
        <v>0</v>
      </c>
    </row>
    <row r="411" spans="1:7" ht="15">
      <c r="A411" s="112" t="s">
        <v>4217</v>
      </c>
      <c r="B411" s="80">
        <v>6</v>
      </c>
      <c r="C411" s="113">
        <v>0.009309705432864367</v>
      </c>
      <c r="D411" s="80" t="s">
        <v>4103</v>
      </c>
      <c r="E411" s="80" t="b">
        <v>0</v>
      </c>
      <c r="F411" s="80" t="b">
        <v>0</v>
      </c>
      <c r="G411" s="80" t="b">
        <v>0</v>
      </c>
    </row>
    <row r="412" spans="1:7" ht="15">
      <c r="A412" s="112" t="s">
        <v>4216</v>
      </c>
      <c r="B412" s="80">
        <v>6</v>
      </c>
      <c r="C412" s="113">
        <v>0.009309705432864367</v>
      </c>
      <c r="D412" s="80" t="s">
        <v>4103</v>
      </c>
      <c r="E412" s="80" t="b">
        <v>0</v>
      </c>
      <c r="F412" s="80" t="b">
        <v>0</v>
      </c>
      <c r="G412" s="80" t="b">
        <v>0</v>
      </c>
    </row>
    <row r="413" spans="1:7" ht="15">
      <c r="A413" s="112" t="s">
        <v>4175</v>
      </c>
      <c r="B413" s="80">
        <v>5</v>
      </c>
      <c r="C413" s="113">
        <v>0.008419033153271431</v>
      </c>
      <c r="D413" s="80" t="s">
        <v>4103</v>
      </c>
      <c r="E413" s="80" t="b">
        <v>0</v>
      </c>
      <c r="F413" s="80" t="b">
        <v>0</v>
      </c>
      <c r="G413" s="80" t="b">
        <v>0</v>
      </c>
    </row>
    <row r="414" spans="1:7" ht="15">
      <c r="A414" s="112" t="s">
        <v>4251</v>
      </c>
      <c r="B414" s="80">
        <v>5</v>
      </c>
      <c r="C414" s="113">
        <v>0.008419033153271431</v>
      </c>
      <c r="D414" s="80" t="s">
        <v>4103</v>
      </c>
      <c r="E414" s="80" t="b">
        <v>0</v>
      </c>
      <c r="F414" s="80" t="b">
        <v>0</v>
      </c>
      <c r="G414" s="80" t="b">
        <v>0</v>
      </c>
    </row>
    <row r="415" spans="1:7" ht="15">
      <c r="A415" s="112" t="s">
        <v>4159</v>
      </c>
      <c r="B415" s="80">
        <v>5</v>
      </c>
      <c r="C415" s="113">
        <v>0.011740736063722498</v>
      </c>
      <c r="D415" s="80" t="s">
        <v>4103</v>
      </c>
      <c r="E415" s="80" t="b">
        <v>0</v>
      </c>
      <c r="F415" s="80" t="b">
        <v>0</v>
      </c>
      <c r="G415" s="80" t="b">
        <v>0</v>
      </c>
    </row>
    <row r="416" spans="1:7" ht="15">
      <c r="A416" s="112" t="s">
        <v>4195</v>
      </c>
      <c r="B416" s="80">
        <v>4</v>
      </c>
      <c r="C416" s="113">
        <v>0.007382371851552414</v>
      </c>
      <c r="D416" s="80" t="s">
        <v>4103</v>
      </c>
      <c r="E416" s="80" t="b">
        <v>0</v>
      </c>
      <c r="F416" s="80" t="b">
        <v>0</v>
      </c>
      <c r="G416" s="80" t="b">
        <v>0</v>
      </c>
    </row>
    <row r="417" spans="1:7" ht="15">
      <c r="A417" s="112" t="s">
        <v>4241</v>
      </c>
      <c r="B417" s="80">
        <v>4</v>
      </c>
      <c r="C417" s="113">
        <v>0.00821668728800183</v>
      </c>
      <c r="D417" s="80" t="s">
        <v>4103</v>
      </c>
      <c r="E417" s="80" t="b">
        <v>0</v>
      </c>
      <c r="F417" s="80" t="b">
        <v>0</v>
      </c>
      <c r="G417" s="80" t="b">
        <v>0</v>
      </c>
    </row>
    <row r="418" spans="1:7" ht="15">
      <c r="A418" s="112" t="s">
        <v>4270</v>
      </c>
      <c r="B418" s="80">
        <v>4</v>
      </c>
      <c r="C418" s="113">
        <v>0.011402805850403581</v>
      </c>
      <c r="D418" s="80" t="s">
        <v>4103</v>
      </c>
      <c r="E418" s="80" t="b">
        <v>0</v>
      </c>
      <c r="F418" s="80" t="b">
        <v>0</v>
      </c>
      <c r="G418" s="80" t="b">
        <v>0</v>
      </c>
    </row>
    <row r="419" spans="1:7" ht="15">
      <c r="A419" s="112" t="s">
        <v>4294</v>
      </c>
      <c r="B419" s="80">
        <v>4</v>
      </c>
      <c r="C419" s="113">
        <v>0.011402805850403581</v>
      </c>
      <c r="D419" s="80" t="s">
        <v>4103</v>
      </c>
      <c r="E419" s="80" t="b">
        <v>0</v>
      </c>
      <c r="F419" s="80" t="b">
        <v>0</v>
      </c>
      <c r="G419" s="80" t="b">
        <v>0</v>
      </c>
    </row>
    <row r="420" spans="1:7" ht="15">
      <c r="A420" s="112" t="s">
        <v>4250</v>
      </c>
      <c r="B420" s="80">
        <v>4</v>
      </c>
      <c r="C420" s="113">
        <v>0.007382371851552414</v>
      </c>
      <c r="D420" s="80" t="s">
        <v>4103</v>
      </c>
      <c r="E420" s="80" t="b">
        <v>0</v>
      </c>
      <c r="F420" s="80" t="b">
        <v>0</v>
      </c>
      <c r="G420" s="80" t="b">
        <v>0</v>
      </c>
    </row>
    <row r="421" spans="1:7" ht="15">
      <c r="A421" s="112" t="s">
        <v>4182</v>
      </c>
      <c r="B421" s="80">
        <v>4</v>
      </c>
      <c r="C421" s="113">
        <v>0.007382371851552414</v>
      </c>
      <c r="D421" s="80" t="s">
        <v>4103</v>
      </c>
      <c r="E421" s="80" t="b">
        <v>0</v>
      </c>
      <c r="F421" s="80" t="b">
        <v>0</v>
      </c>
      <c r="G421" s="80" t="b">
        <v>0</v>
      </c>
    </row>
    <row r="422" spans="1:7" ht="15">
      <c r="A422" s="112" t="s">
        <v>4197</v>
      </c>
      <c r="B422" s="80">
        <v>3</v>
      </c>
      <c r="C422" s="113">
        <v>0.008552104387802685</v>
      </c>
      <c r="D422" s="80" t="s">
        <v>4103</v>
      </c>
      <c r="E422" s="80" t="b">
        <v>0</v>
      </c>
      <c r="F422" s="80" t="b">
        <v>0</v>
      </c>
      <c r="G422" s="80" t="b">
        <v>0</v>
      </c>
    </row>
    <row r="423" spans="1:7" ht="15">
      <c r="A423" s="112" t="s">
        <v>4198</v>
      </c>
      <c r="B423" s="80">
        <v>3</v>
      </c>
      <c r="C423" s="113">
        <v>0.008552104387802685</v>
      </c>
      <c r="D423" s="80" t="s">
        <v>4103</v>
      </c>
      <c r="E423" s="80" t="b">
        <v>0</v>
      </c>
      <c r="F423" s="80" t="b">
        <v>0</v>
      </c>
      <c r="G423" s="80" t="b">
        <v>0</v>
      </c>
    </row>
    <row r="424" spans="1:7" ht="15">
      <c r="A424" s="112" t="s">
        <v>4210</v>
      </c>
      <c r="B424" s="80">
        <v>3</v>
      </c>
      <c r="C424" s="113">
        <v>0.008552104387802685</v>
      </c>
      <c r="D424" s="80" t="s">
        <v>4103</v>
      </c>
      <c r="E424" s="80" t="b">
        <v>0</v>
      </c>
      <c r="F424" s="80" t="b">
        <v>0</v>
      </c>
      <c r="G424" s="80" t="b">
        <v>0</v>
      </c>
    </row>
    <row r="425" spans="1:7" ht="15">
      <c r="A425" s="112" t="s">
        <v>4186</v>
      </c>
      <c r="B425" s="80">
        <v>3</v>
      </c>
      <c r="C425" s="113">
        <v>0.008552104387802685</v>
      </c>
      <c r="D425" s="80" t="s">
        <v>4103</v>
      </c>
      <c r="E425" s="80" t="b">
        <v>0</v>
      </c>
      <c r="F425" s="80" t="b">
        <v>1</v>
      </c>
      <c r="G425" s="80" t="b">
        <v>0</v>
      </c>
    </row>
    <row r="426" spans="1:7" ht="15">
      <c r="A426" s="112" t="s">
        <v>4143</v>
      </c>
      <c r="B426" s="80">
        <v>3</v>
      </c>
      <c r="C426" s="113">
        <v>0.0061625154660013715</v>
      </c>
      <c r="D426" s="80" t="s">
        <v>4103</v>
      </c>
      <c r="E426" s="80" t="b">
        <v>0</v>
      </c>
      <c r="F426" s="80" t="b">
        <v>0</v>
      </c>
      <c r="G426" s="80" t="b">
        <v>0</v>
      </c>
    </row>
    <row r="427" spans="1:7" ht="15">
      <c r="A427" s="112" t="s">
        <v>4264</v>
      </c>
      <c r="B427" s="80">
        <v>3</v>
      </c>
      <c r="C427" s="113">
        <v>0.0061625154660013715</v>
      </c>
      <c r="D427" s="80" t="s">
        <v>4103</v>
      </c>
      <c r="E427" s="80" t="b">
        <v>0</v>
      </c>
      <c r="F427" s="80" t="b">
        <v>0</v>
      </c>
      <c r="G427" s="80" t="b">
        <v>0</v>
      </c>
    </row>
    <row r="428" spans="1:7" ht="15">
      <c r="A428" s="112" t="s">
        <v>4170</v>
      </c>
      <c r="B428" s="80">
        <v>3</v>
      </c>
      <c r="C428" s="113">
        <v>0.0061625154660013715</v>
      </c>
      <c r="D428" s="80" t="s">
        <v>4103</v>
      </c>
      <c r="E428" s="80" t="b">
        <v>0</v>
      </c>
      <c r="F428" s="80" t="b">
        <v>0</v>
      </c>
      <c r="G428" s="80" t="b">
        <v>0</v>
      </c>
    </row>
    <row r="429" spans="1:7" ht="15">
      <c r="A429" s="112" t="s">
        <v>4144</v>
      </c>
      <c r="B429" s="80">
        <v>3</v>
      </c>
      <c r="C429" s="113">
        <v>0.0061625154660013715</v>
      </c>
      <c r="D429" s="80" t="s">
        <v>4103</v>
      </c>
      <c r="E429" s="80" t="b">
        <v>0</v>
      </c>
      <c r="F429" s="80" t="b">
        <v>0</v>
      </c>
      <c r="G429" s="80" t="b">
        <v>0</v>
      </c>
    </row>
    <row r="430" spans="1:7" ht="15">
      <c r="A430" s="112" t="s">
        <v>4149</v>
      </c>
      <c r="B430" s="80">
        <v>3</v>
      </c>
      <c r="C430" s="113">
        <v>0.0061625154660013715</v>
      </c>
      <c r="D430" s="80" t="s">
        <v>4103</v>
      </c>
      <c r="E430" s="80" t="b">
        <v>0</v>
      </c>
      <c r="F430" s="80" t="b">
        <v>0</v>
      </c>
      <c r="G430" s="80" t="b">
        <v>0</v>
      </c>
    </row>
    <row r="431" spans="1:7" ht="15">
      <c r="A431" s="112" t="s">
        <v>4179</v>
      </c>
      <c r="B431" s="80">
        <v>3</v>
      </c>
      <c r="C431" s="113">
        <v>0.0061625154660013715</v>
      </c>
      <c r="D431" s="80" t="s">
        <v>4103</v>
      </c>
      <c r="E431" s="80" t="b">
        <v>0</v>
      </c>
      <c r="F431" s="80" t="b">
        <v>0</v>
      </c>
      <c r="G431" s="80" t="b">
        <v>0</v>
      </c>
    </row>
    <row r="432" spans="1:7" ht="15">
      <c r="A432" s="112" t="s">
        <v>4223</v>
      </c>
      <c r="B432" s="80">
        <v>3</v>
      </c>
      <c r="C432" s="113">
        <v>0.008552104387802685</v>
      </c>
      <c r="D432" s="80" t="s">
        <v>4103</v>
      </c>
      <c r="E432" s="80" t="b">
        <v>0</v>
      </c>
      <c r="F432" s="80" t="b">
        <v>0</v>
      </c>
      <c r="G432" s="80" t="b">
        <v>0</v>
      </c>
    </row>
    <row r="433" spans="1:7" ht="15">
      <c r="A433" s="112" t="s">
        <v>4126</v>
      </c>
      <c r="B433" s="80">
        <v>3</v>
      </c>
      <c r="C433" s="113">
        <v>0.007044441638233498</v>
      </c>
      <c r="D433" s="80" t="s">
        <v>4103</v>
      </c>
      <c r="E433" s="80" t="b">
        <v>0</v>
      </c>
      <c r="F433" s="80" t="b">
        <v>0</v>
      </c>
      <c r="G433" s="80" t="b">
        <v>0</v>
      </c>
    </row>
    <row r="434" spans="1:7" ht="15">
      <c r="A434" s="112" t="s">
        <v>4279</v>
      </c>
      <c r="B434" s="80">
        <v>3</v>
      </c>
      <c r="C434" s="113">
        <v>0.008552104387802685</v>
      </c>
      <c r="D434" s="80" t="s">
        <v>4103</v>
      </c>
      <c r="E434" s="80" t="b">
        <v>0</v>
      </c>
      <c r="F434" s="80" t="b">
        <v>1</v>
      </c>
      <c r="G434" s="80" t="b">
        <v>0</v>
      </c>
    </row>
    <row r="435" spans="1:7" ht="15">
      <c r="A435" s="112" t="s">
        <v>4174</v>
      </c>
      <c r="B435" s="80">
        <v>3</v>
      </c>
      <c r="C435" s="113">
        <v>0.007044441638233498</v>
      </c>
      <c r="D435" s="80" t="s">
        <v>4103</v>
      </c>
      <c r="E435" s="80" t="b">
        <v>0</v>
      </c>
      <c r="F435" s="80" t="b">
        <v>0</v>
      </c>
      <c r="G435" s="80" t="b">
        <v>0</v>
      </c>
    </row>
    <row r="436" spans="1:7" ht="15">
      <c r="A436" s="112" t="s">
        <v>4155</v>
      </c>
      <c r="B436" s="80">
        <v>3</v>
      </c>
      <c r="C436" s="113">
        <v>0.0061625154660013715</v>
      </c>
      <c r="D436" s="80" t="s">
        <v>4103</v>
      </c>
      <c r="E436" s="80" t="b">
        <v>0</v>
      </c>
      <c r="F436" s="80" t="b">
        <v>0</v>
      </c>
      <c r="G436" s="80" t="b">
        <v>0</v>
      </c>
    </row>
    <row r="437" spans="1:7" ht="15">
      <c r="A437" s="112" t="s">
        <v>4261</v>
      </c>
      <c r="B437" s="80">
        <v>3</v>
      </c>
      <c r="C437" s="113">
        <v>0.008552104387802685</v>
      </c>
      <c r="D437" s="80" t="s">
        <v>4103</v>
      </c>
      <c r="E437" s="80" t="b">
        <v>0</v>
      </c>
      <c r="F437" s="80" t="b">
        <v>0</v>
      </c>
      <c r="G437" s="80" t="b">
        <v>0</v>
      </c>
    </row>
    <row r="438" spans="1:7" ht="15">
      <c r="A438" s="112" t="s">
        <v>4151</v>
      </c>
      <c r="B438" s="80">
        <v>3</v>
      </c>
      <c r="C438" s="113">
        <v>0.007044441638233498</v>
      </c>
      <c r="D438" s="80" t="s">
        <v>4103</v>
      </c>
      <c r="E438" s="80" t="b">
        <v>0</v>
      </c>
      <c r="F438" s="80" t="b">
        <v>0</v>
      </c>
      <c r="G438" s="80" t="b">
        <v>0</v>
      </c>
    </row>
    <row r="439" spans="1:7" ht="15">
      <c r="A439" s="112" t="s">
        <v>4323</v>
      </c>
      <c r="B439" s="80">
        <v>2</v>
      </c>
      <c r="C439" s="113">
        <v>0.004696294425488999</v>
      </c>
      <c r="D439" s="80" t="s">
        <v>4103</v>
      </c>
      <c r="E439" s="80" t="b">
        <v>0</v>
      </c>
      <c r="F439" s="80" t="b">
        <v>0</v>
      </c>
      <c r="G439" s="80" t="b">
        <v>0</v>
      </c>
    </row>
    <row r="440" spans="1:7" ht="15">
      <c r="A440" s="112" t="s">
        <v>4312</v>
      </c>
      <c r="B440" s="80">
        <v>2</v>
      </c>
      <c r="C440" s="113">
        <v>0.0057014029252017906</v>
      </c>
      <c r="D440" s="80" t="s">
        <v>4103</v>
      </c>
      <c r="E440" s="80" t="b">
        <v>0</v>
      </c>
      <c r="F440" s="80" t="b">
        <v>0</v>
      </c>
      <c r="G440" s="80" t="b">
        <v>0</v>
      </c>
    </row>
    <row r="441" spans="1:7" ht="15">
      <c r="A441" s="112" t="s">
        <v>4292</v>
      </c>
      <c r="B441" s="80">
        <v>2</v>
      </c>
      <c r="C441" s="113">
        <v>0.0057014029252017906</v>
      </c>
      <c r="D441" s="80" t="s">
        <v>4103</v>
      </c>
      <c r="E441" s="80" t="b">
        <v>0</v>
      </c>
      <c r="F441" s="80" t="b">
        <v>0</v>
      </c>
      <c r="G441" s="80" t="b">
        <v>0</v>
      </c>
    </row>
    <row r="442" spans="1:7" ht="15">
      <c r="A442" s="112" t="s">
        <v>4293</v>
      </c>
      <c r="B442" s="80">
        <v>2</v>
      </c>
      <c r="C442" s="113">
        <v>0.0057014029252017906</v>
      </c>
      <c r="D442" s="80" t="s">
        <v>4103</v>
      </c>
      <c r="E442" s="80" t="b">
        <v>0</v>
      </c>
      <c r="F442" s="80" t="b">
        <v>0</v>
      </c>
      <c r="G442" s="80" t="b">
        <v>0</v>
      </c>
    </row>
    <row r="443" spans="1:7" ht="15">
      <c r="A443" s="112" t="s">
        <v>4224</v>
      </c>
      <c r="B443" s="80">
        <v>2</v>
      </c>
      <c r="C443" s="113">
        <v>0.0057014029252017906</v>
      </c>
      <c r="D443" s="80" t="s">
        <v>4103</v>
      </c>
      <c r="E443" s="80" t="b">
        <v>0</v>
      </c>
      <c r="F443" s="80" t="b">
        <v>0</v>
      </c>
      <c r="G443" s="80" t="b">
        <v>0</v>
      </c>
    </row>
    <row r="444" spans="1:7" ht="15">
      <c r="A444" s="112" t="s">
        <v>4348</v>
      </c>
      <c r="B444" s="80">
        <v>2</v>
      </c>
      <c r="C444" s="113">
        <v>0.0057014029252017906</v>
      </c>
      <c r="D444" s="80" t="s">
        <v>4103</v>
      </c>
      <c r="E444" s="80" t="b">
        <v>0</v>
      </c>
      <c r="F444" s="80" t="b">
        <v>0</v>
      </c>
      <c r="G444" s="80" t="b">
        <v>0</v>
      </c>
    </row>
    <row r="445" spans="1:7" ht="15">
      <c r="A445" s="112" t="s">
        <v>4313</v>
      </c>
      <c r="B445" s="80">
        <v>2</v>
      </c>
      <c r="C445" s="113">
        <v>0.004696294425488999</v>
      </c>
      <c r="D445" s="80" t="s">
        <v>4103</v>
      </c>
      <c r="E445" s="80" t="b">
        <v>0</v>
      </c>
      <c r="F445" s="80" t="b">
        <v>0</v>
      </c>
      <c r="G445" s="80" t="b">
        <v>0</v>
      </c>
    </row>
    <row r="446" spans="1:7" ht="15">
      <c r="A446" s="112" t="s">
        <v>4296</v>
      </c>
      <c r="B446" s="80">
        <v>2</v>
      </c>
      <c r="C446" s="113">
        <v>0.004696294425488999</v>
      </c>
      <c r="D446" s="80" t="s">
        <v>4103</v>
      </c>
      <c r="E446" s="80" t="b">
        <v>0</v>
      </c>
      <c r="F446" s="80" t="b">
        <v>0</v>
      </c>
      <c r="G446" s="80" t="b">
        <v>0</v>
      </c>
    </row>
    <row r="447" spans="1:7" ht="15">
      <c r="A447" s="112" t="s">
        <v>4314</v>
      </c>
      <c r="B447" s="80">
        <v>2</v>
      </c>
      <c r="C447" s="113">
        <v>0.004696294425488999</v>
      </c>
      <c r="D447" s="80" t="s">
        <v>4103</v>
      </c>
      <c r="E447" s="80" t="b">
        <v>0</v>
      </c>
      <c r="F447" s="80" t="b">
        <v>0</v>
      </c>
      <c r="G447" s="80" t="b">
        <v>0</v>
      </c>
    </row>
    <row r="448" spans="1:7" ht="15">
      <c r="A448" s="112" t="s">
        <v>4341</v>
      </c>
      <c r="B448" s="80">
        <v>2</v>
      </c>
      <c r="C448" s="113">
        <v>0.004696294425488999</v>
      </c>
      <c r="D448" s="80" t="s">
        <v>4103</v>
      </c>
      <c r="E448" s="80" t="b">
        <v>0</v>
      </c>
      <c r="F448" s="80" t="b">
        <v>0</v>
      </c>
      <c r="G448" s="80" t="b">
        <v>0</v>
      </c>
    </row>
    <row r="449" spans="1:7" ht="15">
      <c r="A449" s="112" t="s">
        <v>4242</v>
      </c>
      <c r="B449" s="80">
        <v>2</v>
      </c>
      <c r="C449" s="113">
        <v>0.004696294425488999</v>
      </c>
      <c r="D449" s="80" t="s">
        <v>4103</v>
      </c>
      <c r="E449" s="80" t="b">
        <v>0</v>
      </c>
      <c r="F449" s="80" t="b">
        <v>0</v>
      </c>
      <c r="G449" s="80" t="b">
        <v>0</v>
      </c>
    </row>
    <row r="450" spans="1:7" ht="15">
      <c r="A450" s="112" t="s">
        <v>4343</v>
      </c>
      <c r="B450" s="80">
        <v>2</v>
      </c>
      <c r="C450" s="113">
        <v>0.004696294425488999</v>
      </c>
      <c r="D450" s="80" t="s">
        <v>4103</v>
      </c>
      <c r="E450" s="80" t="b">
        <v>0</v>
      </c>
      <c r="F450" s="80" t="b">
        <v>0</v>
      </c>
      <c r="G450" s="80" t="b">
        <v>0</v>
      </c>
    </row>
    <row r="451" spans="1:7" ht="15">
      <c r="A451" s="112" t="s">
        <v>4233</v>
      </c>
      <c r="B451" s="80">
        <v>2</v>
      </c>
      <c r="C451" s="113">
        <v>0.0057014029252017906</v>
      </c>
      <c r="D451" s="80" t="s">
        <v>4103</v>
      </c>
      <c r="E451" s="80" t="b">
        <v>0</v>
      </c>
      <c r="F451" s="80" t="b">
        <v>0</v>
      </c>
      <c r="G451" s="80" t="b">
        <v>0</v>
      </c>
    </row>
    <row r="452" spans="1:7" ht="15">
      <c r="A452" s="112" t="s">
        <v>4344</v>
      </c>
      <c r="B452" s="80">
        <v>2</v>
      </c>
      <c r="C452" s="113">
        <v>0.0057014029252017906</v>
      </c>
      <c r="D452" s="80" t="s">
        <v>4103</v>
      </c>
      <c r="E452" s="80" t="b">
        <v>0</v>
      </c>
      <c r="F452" s="80" t="b">
        <v>1</v>
      </c>
      <c r="G452" s="80" t="b">
        <v>0</v>
      </c>
    </row>
    <row r="453" spans="1:7" ht="15">
      <c r="A453" s="112" t="s">
        <v>4340</v>
      </c>
      <c r="B453" s="80">
        <v>2</v>
      </c>
      <c r="C453" s="113">
        <v>0.0057014029252017906</v>
      </c>
      <c r="D453" s="80" t="s">
        <v>4103</v>
      </c>
      <c r="E453" s="80" t="b">
        <v>0</v>
      </c>
      <c r="F453" s="80" t="b">
        <v>0</v>
      </c>
      <c r="G453" s="80" t="b">
        <v>0</v>
      </c>
    </row>
    <row r="454" spans="1:7" ht="15">
      <c r="A454" s="112" t="s">
        <v>4342</v>
      </c>
      <c r="B454" s="80">
        <v>2</v>
      </c>
      <c r="C454" s="113">
        <v>0.0057014029252017906</v>
      </c>
      <c r="D454" s="80" t="s">
        <v>4103</v>
      </c>
      <c r="E454" s="80" t="b">
        <v>0</v>
      </c>
      <c r="F454" s="80" t="b">
        <v>1</v>
      </c>
      <c r="G454" s="80" t="b">
        <v>0</v>
      </c>
    </row>
    <row r="455" spans="1:7" ht="15">
      <c r="A455" s="112" t="s">
        <v>4330</v>
      </c>
      <c r="B455" s="80">
        <v>2</v>
      </c>
      <c r="C455" s="113">
        <v>0.004696294425488999</v>
      </c>
      <c r="D455" s="80" t="s">
        <v>4103</v>
      </c>
      <c r="E455" s="80" t="b">
        <v>0</v>
      </c>
      <c r="F455" s="80" t="b">
        <v>0</v>
      </c>
      <c r="G455" s="80" t="b">
        <v>0</v>
      </c>
    </row>
    <row r="456" spans="1:7" ht="15">
      <c r="A456" s="112" t="s">
        <v>4339</v>
      </c>
      <c r="B456" s="80">
        <v>2</v>
      </c>
      <c r="C456" s="113">
        <v>0.0057014029252017906</v>
      </c>
      <c r="D456" s="80" t="s">
        <v>4103</v>
      </c>
      <c r="E456" s="80" t="b">
        <v>0</v>
      </c>
      <c r="F456" s="80" t="b">
        <v>0</v>
      </c>
      <c r="G456" s="80" t="b">
        <v>0</v>
      </c>
    </row>
    <row r="457" spans="1:7" ht="15">
      <c r="A457" s="112" t="s">
        <v>4226</v>
      </c>
      <c r="B457" s="80">
        <v>2</v>
      </c>
      <c r="C457" s="113">
        <v>0.004696294425488999</v>
      </c>
      <c r="D457" s="80" t="s">
        <v>4103</v>
      </c>
      <c r="E457" s="80" t="b">
        <v>0</v>
      </c>
      <c r="F457" s="80" t="b">
        <v>0</v>
      </c>
      <c r="G457" s="80" t="b">
        <v>0</v>
      </c>
    </row>
    <row r="458" spans="1:7" ht="15">
      <c r="A458" s="112" t="s">
        <v>4205</v>
      </c>
      <c r="B458" s="80">
        <v>2</v>
      </c>
      <c r="C458" s="113">
        <v>0.004696294425488999</v>
      </c>
      <c r="D458" s="80" t="s">
        <v>4103</v>
      </c>
      <c r="E458" s="80" t="b">
        <v>0</v>
      </c>
      <c r="F458" s="80" t="b">
        <v>0</v>
      </c>
      <c r="G458" s="80" t="b">
        <v>0</v>
      </c>
    </row>
    <row r="459" spans="1:7" ht="15">
      <c r="A459" s="112" t="s">
        <v>4318</v>
      </c>
      <c r="B459" s="80">
        <v>2</v>
      </c>
      <c r="C459" s="113">
        <v>0.004696294425488999</v>
      </c>
      <c r="D459" s="80" t="s">
        <v>4103</v>
      </c>
      <c r="E459" s="80" t="b">
        <v>0</v>
      </c>
      <c r="F459" s="80" t="b">
        <v>0</v>
      </c>
      <c r="G459" s="80" t="b">
        <v>0</v>
      </c>
    </row>
    <row r="460" spans="1:7" ht="15">
      <c r="A460" s="112" t="s">
        <v>4203</v>
      </c>
      <c r="B460" s="80">
        <v>2</v>
      </c>
      <c r="C460" s="113">
        <v>0.004696294425488999</v>
      </c>
      <c r="D460" s="80" t="s">
        <v>4103</v>
      </c>
      <c r="E460" s="80" t="b">
        <v>0</v>
      </c>
      <c r="F460" s="80" t="b">
        <v>0</v>
      </c>
      <c r="G460" s="80" t="b">
        <v>0</v>
      </c>
    </row>
    <row r="461" spans="1:7" ht="15">
      <c r="A461" s="112" t="s">
        <v>4121</v>
      </c>
      <c r="B461" s="80">
        <v>2</v>
      </c>
      <c r="C461" s="113">
        <v>0.004696294425488999</v>
      </c>
      <c r="D461" s="80" t="s">
        <v>4103</v>
      </c>
      <c r="E461" s="80" t="b">
        <v>1</v>
      </c>
      <c r="F461" s="80" t="b">
        <v>0</v>
      </c>
      <c r="G461" s="80" t="b">
        <v>0</v>
      </c>
    </row>
    <row r="462" spans="1:7" ht="15">
      <c r="A462" s="112" t="s">
        <v>4222</v>
      </c>
      <c r="B462" s="80">
        <v>2</v>
      </c>
      <c r="C462" s="113">
        <v>0.0057014029252017906</v>
      </c>
      <c r="D462" s="80" t="s">
        <v>4103</v>
      </c>
      <c r="E462" s="80" t="b">
        <v>0</v>
      </c>
      <c r="F462" s="80" t="b">
        <v>0</v>
      </c>
      <c r="G462" s="80" t="b">
        <v>0</v>
      </c>
    </row>
    <row r="463" spans="1:7" ht="15">
      <c r="A463" s="112" t="s">
        <v>4332</v>
      </c>
      <c r="B463" s="80">
        <v>2</v>
      </c>
      <c r="C463" s="113">
        <v>0.004696294425488999</v>
      </c>
      <c r="D463" s="80" t="s">
        <v>4103</v>
      </c>
      <c r="E463" s="80" t="b">
        <v>0</v>
      </c>
      <c r="F463" s="80" t="b">
        <v>0</v>
      </c>
      <c r="G463" s="80" t="b">
        <v>0</v>
      </c>
    </row>
    <row r="464" spans="1:7" ht="15">
      <c r="A464" s="112" t="s">
        <v>4333</v>
      </c>
      <c r="B464" s="80">
        <v>2</v>
      </c>
      <c r="C464" s="113">
        <v>0.004696294425488999</v>
      </c>
      <c r="D464" s="80" t="s">
        <v>4103</v>
      </c>
      <c r="E464" s="80" t="b">
        <v>0</v>
      </c>
      <c r="F464" s="80" t="b">
        <v>0</v>
      </c>
      <c r="G464" s="80" t="b">
        <v>0</v>
      </c>
    </row>
    <row r="465" spans="1:7" ht="15">
      <c r="A465" s="112" t="s">
        <v>4334</v>
      </c>
      <c r="B465" s="80">
        <v>2</v>
      </c>
      <c r="C465" s="113">
        <v>0.004696294425488999</v>
      </c>
      <c r="D465" s="80" t="s">
        <v>4103</v>
      </c>
      <c r="E465" s="80" t="b">
        <v>0</v>
      </c>
      <c r="F465" s="80" t="b">
        <v>0</v>
      </c>
      <c r="G465" s="80" t="b">
        <v>0</v>
      </c>
    </row>
    <row r="466" spans="1:7" ht="15">
      <c r="A466" s="112" t="s">
        <v>4308</v>
      </c>
      <c r="B466" s="80">
        <v>2</v>
      </c>
      <c r="C466" s="113">
        <v>0.0057014029252017906</v>
      </c>
      <c r="D466" s="80" t="s">
        <v>4103</v>
      </c>
      <c r="E466" s="80" t="b">
        <v>0</v>
      </c>
      <c r="F466" s="80" t="b">
        <v>0</v>
      </c>
      <c r="G466" s="80" t="b">
        <v>0</v>
      </c>
    </row>
    <row r="467" spans="1:7" ht="15">
      <c r="A467" s="112" t="s">
        <v>4299</v>
      </c>
      <c r="B467" s="80">
        <v>2</v>
      </c>
      <c r="C467" s="113">
        <v>0.0057014029252017906</v>
      </c>
      <c r="D467" s="80" t="s">
        <v>4103</v>
      </c>
      <c r="E467" s="80" t="b">
        <v>0</v>
      </c>
      <c r="F467" s="80" t="b">
        <v>0</v>
      </c>
      <c r="G467" s="80" t="b">
        <v>0</v>
      </c>
    </row>
    <row r="468" spans="1:7" ht="15">
      <c r="A468" s="112" t="s">
        <v>4329</v>
      </c>
      <c r="B468" s="80">
        <v>2</v>
      </c>
      <c r="C468" s="113">
        <v>0.0057014029252017906</v>
      </c>
      <c r="D468" s="80" t="s">
        <v>4103</v>
      </c>
      <c r="E468" s="80" t="b">
        <v>0</v>
      </c>
      <c r="F468" s="80" t="b">
        <v>0</v>
      </c>
      <c r="G468" s="80" t="b">
        <v>0</v>
      </c>
    </row>
    <row r="469" spans="1:7" ht="15">
      <c r="A469" s="112" t="s">
        <v>4301</v>
      </c>
      <c r="B469" s="80">
        <v>2</v>
      </c>
      <c r="C469" s="113">
        <v>0.0057014029252017906</v>
      </c>
      <c r="D469" s="80" t="s">
        <v>4103</v>
      </c>
      <c r="E469" s="80" t="b">
        <v>0</v>
      </c>
      <c r="F469" s="80" t="b">
        <v>0</v>
      </c>
      <c r="G469" s="80" t="b">
        <v>0</v>
      </c>
    </row>
    <row r="470" spans="1:7" ht="15">
      <c r="A470" s="112" t="s">
        <v>4122</v>
      </c>
      <c r="B470" s="80">
        <v>42</v>
      </c>
      <c r="C470" s="113">
        <v>0.01752567033255595</v>
      </c>
      <c r="D470" s="80" t="s">
        <v>4104</v>
      </c>
      <c r="E470" s="80" t="b">
        <v>0</v>
      </c>
      <c r="F470" s="80" t="b">
        <v>0</v>
      </c>
      <c r="G470" s="80" t="b">
        <v>0</v>
      </c>
    </row>
    <row r="471" spans="1:7" ht="15">
      <c r="A471" s="112" t="s">
        <v>4123</v>
      </c>
      <c r="B471" s="80">
        <v>40</v>
      </c>
      <c r="C471" s="113">
        <v>0.016691114602434238</v>
      </c>
      <c r="D471" s="80" t="s">
        <v>4104</v>
      </c>
      <c r="E471" s="80" t="b">
        <v>0</v>
      </c>
      <c r="F471" s="80" t="b">
        <v>0</v>
      </c>
      <c r="G471" s="80" t="b">
        <v>0</v>
      </c>
    </row>
    <row r="472" spans="1:7" ht="15">
      <c r="A472" s="112" t="s">
        <v>4125</v>
      </c>
      <c r="B472" s="80">
        <v>21</v>
      </c>
      <c r="C472" s="113">
        <v>0.01564519692336781</v>
      </c>
      <c r="D472" s="80" t="s">
        <v>4104</v>
      </c>
      <c r="E472" s="80" t="b">
        <v>0</v>
      </c>
      <c r="F472" s="80" t="b">
        <v>0</v>
      </c>
      <c r="G472" s="80" t="b">
        <v>0</v>
      </c>
    </row>
    <row r="473" spans="1:7" ht="15">
      <c r="A473" s="112" t="s">
        <v>4150</v>
      </c>
      <c r="B473" s="80">
        <v>17</v>
      </c>
      <c r="C473" s="113">
        <v>0.06117236250692912</v>
      </c>
      <c r="D473" s="80" t="s">
        <v>4104</v>
      </c>
      <c r="E473" s="80" t="b">
        <v>0</v>
      </c>
      <c r="F473" s="80" t="b">
        <v>0</v>
      </c>
      <c r="G473" s="80" t="b">
        <v>0</v>
      </c>
    </row>
    <row r="474" spans="1:7" ht="15">
      <c r="A474" s="112" t="s">
        <v>4127</v>
      </c>
      <c r="B474" s="80">
        <v>14</v>
      </c>
      <c r="C474" s="113">
        <v>0.018719905275212976</v>
      </c>
      <c r="D474" s="80" t="s">
        <v>4104</v>
      </c>
      <c r="E474" s="80" t="b">
        <v>0</v>
      </c>
      <c r="F474" s="80" t="b">
        <v>0</v>
      </c>
      <c r="G474" s="80" t="b">
        <v>0</v>
      </c>
    </row>
    <row r="475" spans="1:7" ht="15">
      <c r="A475" s="112" t="s">
        <v>4129</v>
      </c>
      <c r="B475" s="80">
        <v>14</v>
      </c>
      <c r="C475" s="113">
        <v>0.020416908389581077</v>
      </c>
      <c r="D475" s="80" t="s">
        <v>4104</v>
      </c>
      <c r="E475" s="80" t="b">
        <v>0</v>
      </c>
      <c r="F475" s="80" t="b">
        <v>0</v>
      </c>
      <c r="G475" s="80" t="b">
        <v>0</v>
      </c>
    </row>
    <row r="476" spans="1:7" ht="15">
      <c r="A476" s="112" t="s">
        <v>4124</v>
      </c>
      <c r="B476" s="80">
        <v>14</v>
      </c>
      <c r="C476" s="113">
        <v>0.027188661368687587</v>
      </c>
      <c r="D476" s="80" t="s">
        <v>4104</v>
      </c>
      <c r="E476" s="80" t="b">
        <v>0</v>
      </c>
      <c r="F476" s="80" t="b">
        <v>0</v>
      </c>
      <c r="G476" s="80" t="b">
        <v>0</v>
      </c>
    </row>
    <row r="477" spans="1:7" ht="15">
      <c r="A477" s="112" t="s">
        <v>4146</v>
      </c>
      <c r="B477" s="80">
        <v>11</v>
      </c>
      <c r="C477" s="113">
        <v>0.03958211691624825</v>
      </c>
      <c r="D477" s="80" t="s">
        <v>4104</v>
      </c>
      <c r="E477" s="80" t="b">
        <v>0</v>
      </c>
      <c r="F477" s="80" t="b">
        <v>0</v>
      </c>
      <c r="G477" s="80" t="b">
        <v>0</v>
      </c>
    </row>
    <row r="478" spans="1:7" ht="15">
      <c r="A478" s="112" t="s">
        <v>4162</v>
      </c>
      <c r="B478" s="80">
        <v>10</v>
      </c>
      <c r="C478" s="113">
        <v>0.03598374265113477</v>
      </c>
      <c r="D478" s="80" t="s">
        <v>4104</v>
      </c>
      <c r="E478" s="80" t="b">
        <v>0</v>
      </c>
      <c r="F478" s="80" t="b">
        <v>1</v>
      </c>
      <c r="G478" s="80" t="b">
        <v>0</v>
      </c>
    </row>
    <row r="479" spans="1:7" ht="15">
      <c r="A479" s="112" t="s">
        <v>4136</v>
      </c>
      <c r="B479" s="80">
        <v>9</v>
      </c>
      <c r="C479" s="113">
        <v>0.013125155393302121</v>
      </c>
      <c r="D479" s="80" t="s">
        <v>4104</v>
      </c>
      <c r="E479" s="80" t="b">
        <v>0</v>
      </c>
      <c r="F479" s="80" t="b">
        <v>0</v>
      </c>
      <c r="G479" s="80" t="b">
        <v>0</v>
      </c>
    </row>
    <row r="480" spans="1:7" ht="15">
      <c r="A480" s="112" t="s">
        <v>2725</v>
      </c>
      <c r="B480" s="80">
        <v>7</v>
      </c>
      <c r="C480" s="113">
        <v>0.012280897693032483</v>
      </c>
      <c r="D480" s="80" t="s">
        <v>4104</v>
      </c>
      <c r="E480" s="80" t="b">
        <v>0</v>
      </c>
      <c r="F480" s="80" t="b">
        <v>0</v>
      </c>
      <c r="G480" s="80" t="b">
        <v>0</v>
      </c>
    </row>
    <row r="481" spans="1:7" ht="15">
      <c r="A481" s="112" t="s">
        <v>4140</v>
      </c>
      <c r="B481" s="80">
        <v>7</v>
      </c>
      <c r="C481" s="113">
        <v>0.012280897693032483</v>
      </c>
      <c r="D481" s="80" t="s">
        <v>4104</v>
      </c>
      <c r="E481" s="80" t="b">
        <v>0</v>
      </c>
      <c r="F481" s="80" t="b">
        <v>0</v>
      </c>
      <c r="G481" s="80" t="b">
        <v>0</v>
      </c>
    </row>
    <row r="482" spans="1:7" ht="15">
      <c r="A482" s="112" t="s">
        <v>4131</v>
      </c>
      <c r="B482" s="80">
        <v>6</v>
      </c>
      <c r="C482" s="113">
        <v>0.01165228344372325</v>
      </c>
      <c r="D482" s="80" t="s">
        <v>4104</v>
      </c>
      <c r="E482" s="80" t="b">
        <v>0</v>
      </c>
      <c r="F482" s="80" t="b">
        <v>0</v>
      </c>
      <c r="G482" s="80" t="b">
        <v>0</v>
      </c>
    </row>
    <row r="483" spans="1:7" ht="15">
      <c r="A483" s="112" t="s">
        <v>4126</v>
      </c>
      <c r="B483" s="80">
        <v>6</v>
      </c>
      <c r="C483" s="113">
        <v>0.014806531068600358</v>
      </c>
      <c r="D483" s="80" t="s">
        <v>4104</v>
      </c>
      <c r="E483" s="80" t="b">
        <v>0</v>
      </c>
      <c r="F483" s="80" t="b">
        <v>0</v>
      </c>
      <c r="G483" s="80" t="b">
        <v>0</v>
      </c>
    </row>
    <row r="484" spans="1:7" ht="15">
      <c r="A484" s="112" t="s">
        <v>4134</v>
      </c>
      <c r="B484" s="80">
        <v>5</v>
      </c>
      <c r="C484" s="113">
        <v>0.009710236203102709</v>
      </c>
      <c r="D484" s="80" t="s">
        <v>4104</v>
      </c>
      <c r="E484" s="80" t="b">
        <v>0</v>
      </c>
      <c r="F484" s="80" t="b">
        <v>0</v>
      </c>
      <c r="G484" s="80" t="b">
        <v>0</v>
      </c>
    </row>
    <row r="485" spans="1:7" ht="15">
      <c r="A485" s="112" t="s">
        <v>4165</v>
      </c>
      <c r="B485" s="80">
        <v>5</v>
      </c>
      <c r="C485" s="113">
        <v>0.009710236203102709</v>
      </c>
      <c r="D485" s="80" t="s">
        <v>4104</v>
      </c>
      <c r="E485" s="80" t="b">
        <v>0</v>
      </c>
      <c r="F485" s="80" t="b">
        <v>0</v>
      </c>
      <c r="G485" s="80" t="b">
        <v>0</v>
      </c>
    </row>
    <row r="486" spans="1:7" ht="15">
      <c r="A486" s="112" t="s">
        <v>4137</v>
      </c>
      <c r="B486" s="80">
        <v>5</v>
      </c>
      <c r="C486" s="113">
        <v>0.017991871325567385</v>
      </c>
      <c r="D486" s="80" t="s">
        <v>4104</v>
      </c>
      <c r="E486" s="80" t="b">
        <v>0</v>
      </c>
      <c r="F486" s="80" t="b">
        <v>0</v>
      </c>
      <c r="G486" s="80" t="b">
        <v>0</v>
      </c>
    </row>
    <row r="487" spans="1:7" ht="15">
      <c r="A487" s="112" t="s">
        <v>4151</v>
      </c>
      <c r="B487" s="80">
        <v>4</v>
      </c>
      <c r="C487" s="113">
        <v>0.009871020712400239</v>
      </c>
      <c r="D487" s="80" t="s">
        <v>4104</v>
      </c>
      <c r="E487" s="80" t="b">
        <v>0</v>
      </c>
      <c r="F487" s="80" t="b">
        <v>0</v>
      </c>
      <c r="G487" s="80" t="b">
        <v>0</v>
      </c>
    </row>
    <row r="488" spans="1:7" ht="15">
      <c r="A488" s="112" t="s">
        <v>4287</v>
      </c>
      <c r="B488" s="80">
        <v>4</v>
      </c>
      <c r="C488" s="113">
        <v>0.01439349706045391</v>
      </c>
      <c r="D488" s="80" t="s">
        <v>4104</v>
      </c>
      <c r="E488" s="80" t="b">
        <v>0</v>
      </c>
      <c r="F488" s="80" t="b">
        <v>0</v>
      </c>
      <c r="G488" s="80" t="b">
        <v>0</v>
      </c>
    </row>
    <row r="489" spans="1:7" ht="15">
      <c r="A489" s="112" t="s">
        <v>4133</v>
      </c>
      <c r="B489" s="80">
        <v>4</v>
      </c>
      <c r="C489" s="113">
        <v>0.008686767284833414</v>
      </c>
      <c r="D489" s="80" t="s">
        <v>4104</v>
      </c>
      <c r="E489" s="80" t="b">
        <v>0</v>
      </c>
      <c r="F489" s="80" t="b">
        <v>0</v>
      </c>
      <c r="G489" s="80" t="b">
        <v>0</v>
      </c>
    </row>
    <row r="490" spans="1:7" ht="15">
      <c r="A490" s="112" t="s">
        <v>4130</v>
      </c>
      <c r="B490" s="80">
        <v>4</v>
      </c>
      <c r="C490" s="113">
        <v>0.008686767284833414</v>
      </c>
      <c r="D490" s="80" t="s">
        <v>4104</v>
      </c>
      <c r="E490" s="80" t="b">
        <v>0</v>
      </c>
      <c r="F490" s="80" t="b">
        <v>0</v>
      </c>
      <c r="G490" s="80" t="b">
        <v>0</v>
      </c>
    </row>
    <row r="491" spans="1:7" ht="15">
      <c r="A491" s="112" t="s">
        <v>4166</v>
      </c>
      <c r="B491" s="80">
        <v>4</v>
      </c>
      <c r="C491" s="113">
        <v>0.009871020712400239</v>
      </c>
      <c r="D491" s="80" t="s">
        <v>4104</v>
      </c>
      <c r="E491" s="80" t="b">
        <v>0</v>
      </c>
      <c r="F491" s="80" t="b">
        <v>0</v>
      </c>
      <c r="G491" s="80" t="b">
        <v>0</v>
      </c>
    </row>
    <row r="492" spans="1:7" ht="15">
      <c r="A492" s="112" t="s">
        <v>4128</v>
      </c>
      <c r="B492" s="80">
        <v>4</v>
      </c>
      <c r="C492" s="113">
        <v>0.008686767284833414</v>
      </c>
      <c r="D492" s="80" t="s">
        <v>4104</v>
      </c>
      <c r="E492" s="80" t="b">
        <v>0</v>
      </c>
      <c r="F492" s="80" t="b">
        <v>0</v>
      </c>
      <c r="G492" s="80" t="b">
        <v>0</v>
      </c>
    </row>
    <row r="493" spans="1:7" ht="15">
      <c r="A493" s="112" t="s">
        <v>4143</v>
      </c>
      <c r="B493" s="80">
        <v>3</v>
      </c>
      <c r="C493" s="113">
        <v>0.007403265534300179</v>
      </c>
      <c r="D493" s="80" t="s">
        <v>4104</v>
      </c>
      <c r="E493" s="80" t="b">
        <v>0</v>
      </c>
      <c r="F493" s="80" t="b">
        <v>0</v>
      </c>
      <c r="G493" s="80" t="b">
        <v>0</v>
      </c>
    </row>
    <row r="494" spans="1:7" ht="15">
      <c r="A494" s="112" t="s">
        <v>4154</v>
      </c>
      <c r="B494" s="80">
        <v>3</v>
      </c>
      <c r="C494" s="113">
        <v>0.007403265534300179</v>
      </c>
      <c r="D494" s="80" t="s">
        <v>4104</v>
      </c>
      <c r="E494" s="80" t="b">
        <v>0</v>
      </c>
      <c r="F494" s="80" t="b">
        <v>0</v>
      </c>
      <c r="G494" s="80" t="b">
        <v>0</v>
      </c>
    </row>
    <row r="495" spans="1:7" ht="15">
      <c r="A495" s="112" t="s">
        <v>4155</v>
      </c>
      <c r="B495" s="80">
        <v>3</v>
      </c>
      <c r="C495" s="113">
        <v>0.007403265534300179</v>
      </c>
      <c r="D495" s="80" t="s">
        <v>4104</v>
      </c>
      <c r="E495" s="80" t="b">
        <v>0</v>
      </c>
      <c r="F495" s="80" t="b">
        <v>0</v>
      </c>
      <c r="G495" s="80" t="b">
        <v>0</v>
      </c>
    </row>
    <row r="496" spans="1:7" ht="15">
      <c r="A496" s="112" t="s">
        <v>4204</v>
      </c>
      <c r="B496" s="80">
        <v>3</v>
      </c>
      <c r="C496" s="113">
        <v>0.010795122795340431</v>
      </c>
      <c r="D496" s="80" t="s">
        <v>4104</v>
      </c>
      <c r="E496" s="80" t="b">
        <v>0</v>
      </c>
      <c r="F496" s="80" t="b">
        <v>0</v>
      </c>
      <c r="G496" s="80" t="b">
        <v>0</v>
      </c>
    </row>
    <row r="497" spans="1:7" ht="15">
      <c r="A497" s="112" t="s">
        <v>2874</v>
      </c>
      <c r="B497" s="80">
        <v>3</v>
      </c>
      <c r="C497" s="113">
        <v>0.007403265534300179</v>
      </c>
      <c r="D497" s="80" t="s">
        <v>4104</v>
      </c>
      <c r="E497" s="80" t="b">
        <v>0</v>
      </c>
      <c r="F497" s="80" t="b">
        <v>0</v>
      </c>
      <c r="G497" s="80" t="b">
        <v>0</v>
      </c>
    </row>
    <row r="498" spans="1:7" ht="15">
      <c r="A498" s="112" t="s">
        <v>4164</v>
      </c>
      <c r="B498" s="80">
        <v>3</v>
      </c>
      <c r="C498" s="113">
        <v>0.008655099129482745</v>
      </c>
      <c r="D498" s="80" t="s">
        <v>4104</v>
      </c>
      <c r="E498" s="80" t="b">
        <v>0</v>
      </c>
      <c r="F498" s="80" t="b">
        <v>0</v>
      </c>
      <c r="G498" s="80" t="b">
        <v>0</v>
      </c>
    </row>
    <row r="499" spans="1:7" ht="15">
      <c r="A499" s="112" t="s">
        <v>4138</v>
      </c>
      <c r="B499" s="80">
        <v>3</v>
      </c>
      <c r="C499" s="113">
        <v>0.008655099129482745</v>
      </c>
      <c r="D499" s="80" t="s">
        <v>4104</v>
      </c>
      <c r="E499" s="80" t="b">
        <v>0</v>
      </c>
      <c r="F499" s="80" t="b">
        <v>0</v>
      </c>
      <c r="G499" s="80" t="b">
        <v>0</v>
      </c>
    </row>
    <row r="500" spans="1:7" ht="15">
      <c r="A500" s="112" t="s">
        <v>4121</v>
      </c>
      <c r="B500" s="80">
        <v>3</v>
      </c>
      <c r="C500" s="113">
        <v>0.007403265534300179</v>
      </c>
      <c r="D500" s="80" t="s">
        <v>4104</v>
      </c>
      <c r="E500" s="80" t="b">
        <v>1</v>
      </c>
      <c r="F500" s="80" t="b">
        <v>0</v>
      </c>
      <c r="G500" s="80" t="b">
        <v>0</v>
      </c>
    </row>
    <row r="501" spans="1:7" ht="15">
      <c r="A501" s="112" t="s">
        <v>4158</v>
      </c>
      <c r="B501" s="80">
        <v>3</v>
      </c>
      <c r="C501" s="113">
        <v>0.007403265534300179</v>
      </c>
      <c r="D501" s="80" t="s">
        <v>4104</v>
      </c>
      <c r="E501" s="80" t="b">
        <v>0</v>
      </c>
      <c r="F501" s="80" t="b">
        <v>0</v>
      </c>
      <c r="G501" s="80" t="b">
        <v>0</v>
      </c>
    </row>
    <row r="502" spans="1:7" ht="15">
      <c r="A502" s="112" t="s">
        <v>4283</v>
      </c>
      <c r="B502" s="80">
        <v>3</v>
      </c>
      <c r="C502" s="113">
        <v>0.008655099129482745</v>
      </c>
      <c r="D502" s="80" t="s">
        <v>4104</v>
      </c>
      <c r="E502" s="80" t="b">
        <v>0</v>
      </c>
      <c r="F502" s="80" t="b">
        <v>0</v>
      </c>
      <c r="G502" s="80" t="b">
        <v>0</v>
      </c>
    </row>
    <row r="503" spans="1:7" ht="15">
      <c r="A503" s="112" t="s">
        <v>4254</v>
      </c>
      <c r="B503" s="80">
        <v>3</v>
      </c>
      <c r="C503" s="113">
        <v>0.010795122795340431</v>
      </c>
      <c r="D503" s="80" t="s">
        <v>4104</v>
      </c>
      <c r="E503" s="80" t="b">
        <v>0</v>
      </c>
      <c r="F503" s="80" t="b">
        <v>0</v>
      </c>
      <c r="G503" s="80" t="b">
        <v>0</v>
      </c>
    </row>
    <row r="504" spans="1:7" ht="15">
      <c r="A504" s="112" t="s">
        <v>4221</v>
      </c>
      <c r="B504" s="80">
        <v>3</v>
      </c>
      <c r="C504" s="113">
        <v>0.010795122795340431</v>
      </c>
      <c r="D504" s="80" t="s">
        <v>4104</v>
      </c>
      <c r="E504" s="80" t="b">
        <v>0</v>
      </c>
      <c r="F504" s="80" t="b">
        <v>0</v>
      </c>
      <c r="G504" s="80" t="b">
        <v>0</v>
      </c>
    </row>
    <row r="505" spans="1:7" ht="15">
      <c r="A505" s="112" t="s">
        <v>4144</v>
      </c>
      <c r="B505" s="80">
        <v>2</v>
      </c>
      <c r="C505" s="113">
        <v>0.005770066086321831</v>
      </c>
      <c r="D505" s="80" t="s">
        <v>4104</v>
      </c>
      <c r="E505" s="80" t="b">
        <v>0</v>
      </c>
      <c r="F505" s="80" t="b">
        <v>0</v>
      </c>
      <c r="G505" s="80" t="b">
        <v>0</v>
      </c>
    </row>
    <row r="506" spans="1:7" ht="15">
      <c r="A506" s="112" t="s">
        <v>4149</v>
      </c>
      <c r="B506" s="80">
        <v>2</v>
      </c>
      <c r="C506" s="113">
        <v>0.005770066086321831</v>
      </c>
      <c r="D506" s="80" t="s">
        <v>4104</v>
      </c>
      <c r="E506" s="80" t="b">
        <v>0</v>
      </c>
      <c r="F506" s="80" t="b">
        <v>0</v>
      </c>
      <c r="G506" s="80" t="b">
        <v>0</v>
      </c>
    </row>
    <row r="507" spans="1:7" ht="15">
      <c r="A507" s="112" t="s">
        <v>4274</v>
      </c>
      <c r="B507" s="80">
        <v>2</v>
      </c>
      <c r="C507" s="113">
        <v>0.005770066086321831</v>
      </c>
      <c r="D507" s="80" t="s">
        <v>4104</v>
      </c>
      <c r="E507" s="80" t="b">
        <v>0</v>
      </c>
      <c r="F507" s="80" t="b">
        <v>0</v>
      </c>
      <c r="G507" s="80" t="b">
        <v>0</v>
      </c>
    </row>
    <row r="508" spans="1:7" ht="15">
      <c r="A508" s="112" t="s">
        <v>4167</v>
      </c>
      <c r="B508" s="80">
        <v>2</v>
      </c>
      <c r="C508" s="113">
        <v>0.005770066086321831</v>
      </c>
      <c r="D508" s="80" t="s">
        <v>4104</v>
      </c>
      <c r="E508" s="80" t="b">
        <v>0</v>
      </c>
      <c r="F508" s="80" t="b">
        <v>0</v>
      </c>
      <c r="G508" s="80" t="b">
        <v>0</v>
      </c>
    </row>
    <row r="509" spans="1:7" ht="15">
      <c r="A509" s="112" t="s">
        <v>4161</v>
      </c>
      <c r="B509" s="80">
        <v>2</v>
      </c>
      <c r="C509" s="113">
        <v>0.005770066086321831</v>
      </c>
      <c r="D509" s="80" t="s">
        <v>4104</v>
      </c>
      <c r="E509" s="80" t="b">
        <v>0</v>
      </c>
      <c r="F509" s="80" t="b">
        <v>0</v>
      </c>
      <c r="G509" s="80" t="b">
        <v>0</v>
      </c>
    </row>
    <row r="510" spans="1:7" ht="15">
      <c r="A510" s="112" t="s">
        <v>4159</v>
      </c>
      <c r="B510" s="80">
        <v>2</v>
      </c>
      <c r="C510" s="113">
        <v>0.007196748530226955</v>
      </c>
      <c r="D510" s="80" t="s">
        <v>4104</v>
      </c>
      <c r="E510" s="80" t="b">
        <v>0</v>
      </c>
      <c r="F510" s="80" t="b">
        <v>0</v>
      </c>
      <c r="G510" s="80" t="b">
        <v>0</v>
      </c>
    </row>
    <row r="511" spans="1:7" ht="15">
      <c r="A511" s="112" t="s">
        <v>4345</v>
      </c>
      <c r="B511" s="80">
        <v>2</v>
      </c>
      <c r="C511" s="113">
        <v>0.007196748530226955</v>
      </c>
      <c r="D511" s="80" t="s">
        <v>4104</v>
      </c>
      <c r="E511" s="80" t="b">
        <v>0</v>
      </c>
      <c r="F511" s="80" t="b">
        <v>0</v>
      </c>
      <c r="G511" s="80" t="b">
        <v>0</v>
      </c>
    </row>
    <row r="512" spans="1:7" ht="15">
      <c r="A512" s="112" t="s">
        <v>4288</v>
      </c>
      <c r="B512" s="80">
        <v>2</v>
      </c>
      <c r="C512" s="113">
        <v>0.007196748530226955</v>
      </c>
      <c r="D512" s="80" t="s">
        <v>4104</v>
      </c>
      <c r="E512" s="80" t="b">
        <v>0</v>
      </c>
      <c r="F512" s="80" t="b">
        <v>0</v>
      </c>
      <c r="G512" s="80" t="b">
        <v>0</v>
      </c>
    </row>
    <row r="513" spans="1:7" ht="15">
      <c r="A513" s="112" t="s">
        <v>4207</v>
      </c>
      <c r="B513" s="80">
        <v>2</v>
      </c>
      <c r="C513" s="113">
        <v>0.005770066086321831</v>
      </c>
      <c r="D513" s="80" t="s">
        <v>4104</v>
      </c>
      <c r="E513" s="80" t="b">
        <v>0</v>
      </c>
      <c r="F513" s="80" t="b">
        <v>0</v>
      </c>
      <c r="G513" s="80" t="b">
        <v>0</v>
      </c>
    </row>
    <row r="514" spans="1:7" ht="15">
      <c r="A514" s="112" t="s">
        <v>4160</v>
      </c>
      <c r="B514" s="80">
        <v>2</v>
      </c>
      <c r="C514" s="113">
        <v>0.005770066086321831</v>
      </c>
      <c r="D514" s="80" t="s">
        <v>4104</v>
      </c>
      <c r="E514" s="80" t="b">
        <v>0</v>
      </c>
      <c r="F514" s="80" t="b">
        <v>0</v>
      </c>
      <c r="G514" s="80" t="b">
        <v>0</v>
      </c>
    </row>
    <row r="515" spans="1:7" ht="15">
      <c r="A515" s="112" t="s">
        <v>4331</v>
      </c>
      <c r="B515" s="80">
        <v>2</v>
      </c>
      <c r="C515" s="113">
        <v>0.005770066086321831</v>
      </c>
      <c r="D515" s="80" t="s">
        <v>4104</v>
      </c>
      <c r="E515" s="80" t="b">
        <v>0</v>
      </c>
      <c r="F515" s="80" t="b">
        <v>0</v>
      </c>
      <c r="G515" s="80" t="b">
        <v>0</v>
      </c>
    </row>
    <row r="516" spans="1:7" ht="15">
      <c r="A516" s="112" t="s">
        <v>4135</v>
      </c>
      <c r="B516" s="80">
        <v>2</v>
      </c>
      <c r="C516" s="113">
        <v>0.005770066086321831</v>
      </c>
      <c r="D516" s="80" t="s">
        <v>4104</v>
      </c>
      <c r="E516" s="80" t="b">
        <v>0</v>
      </c>
      <c r="F516" s="80" t="b">
        <v>0</v>
      </c>
      <c r="G516" s="80" t="b">
        <v>0</v>
      </c>
    </row>
    <row r="517" spans="1:7" ht="15">
      <c r="A517" s="112" t="s">
        <v>4218</v>
      </c>
      <c r="B517" s="80">
        <v>2</v>
      </c>
      <c r="C517" s="113">
        <v>0.005770066086321831</v>
      </c>
      <c r="D517" s="80" t="s">
        <v>4104</v>
      </c>
      <c r="E517" s="80" t="b">
        <v>0</v>
      </c>
      <c r="F517" s="80" t="b">
        <v>0</v>
      </c>
      <c r="G517" s="80" t="b">
        <v>0</v>
      </c>
    </row>
    <row r="518" spans="1:7" ht="15">
      <c r="A518" s="112" t="s">
        <v>4219</v>
      </c>
      <c r="B518" s="80">
        <v>2</v>
      </c>
      <c r="C518" s="113">
        <v>0.005770066086321831</v>
      </c>
      <c r="D518" s="80" t="s">
        <v>4104</v>
      </c>
      <c r="E518" s="80" t="b">
        <v>0</v>
      </c>
      <c r="F518" s="80" t="b">
        <v>0</v>
      </c>
      <c r="G518" s="80" t="b">
        <v>0</v>
      </c>
    </row>
    <row r="519" spans="1:7" ht="15">
      <c r="A519" s="112" t="s">
        <v>4253</v>
      </c>
      <c r="B519" s="80">
        <v>2</v>
      </c>
      <c r="C519" s="113">
        <v>0.005770066086321831</v>
      </c>
      <c r="D519" s="80" t="s">
        <v>4104</v>
      </c>
      <c r="E519" s="80" t="b">
        <v>0</v>
      </c>
      <c r="F519" s="80" t="b">
        <v>0</v>
      </c>
      <c r="G519" s="80" t="b">
        <v>0</v>
      </c>
    </row>
    <row r="520" spans="1:7" ht="15">
      <c r="A520" s="112" t="s">
        <v>4319</v>
      </c>
      <c r="B520" s="80">
        <v>2</v>
      </c>
      <c r="C520" s="113">
        <v>0.005770066086321831</v>
      </c>
      <c r="D520" s="80" t="s">
        <v>4104</v>
      </c>
      <c r="E520" s="80" t="b">
        <v>0</v>
      </c>
      <c r="F520" s="80" t="b">
        <v>0</v>
      </c>
      <c r="G520" s="80" t="b">
        <v>0</v>
      </c>
    </row>
    <row r="521" spans="1:7" ht="15">
      <c r="A521" s="112" t="s">
        <v>4265</v>
      </c>
      <c r="B521" s="80">
        <v>2</v>
      </c>
      <c r="C521" s="113">
        <v>0.005770066086321831</v>
      </c>
      <c r="D521" s="80" t="s">
        <v>4104</v>
      </c>
      <c r="E521" s="80" t="b">
        <v>0</v>
      </c>
      <c r="F521" s="80" t="b">
        <v>0</v>
      </c>
      <c r="G521" s="80" t="b">
        <v>0</v>
      </c>
    </row>
    <row r="522" spans="1:7" ht="15">
      <c r="A522" s="112" t="s">
        <v>4132</v>
      </c>
      <c r="B522" s="80">
        <v>2</v>
      </c>
      <c r="C522" s="113">
        <v>0.005770066086321831</v>
      </c>
      <c r="D522" s="80" t="s">
        <v>4104</v>
      </c>
      <c r="E522" s="80" t="b">
        <v>0</v>
      </c>
      <c r="F522" s="80" t="b">
        <v>0</v>
      </c>
      <c r="G522" s="80" t="b">
        <v>0</v>
      </c>
    </row>
    <row r="523" spans="1:7" ht="15">
      <c r="A523" s="112" t="s">
        <v>4191</v>
      </c>
      <c r="B523" s="80">
        <v>2</v>
      </c>
      <c r="C523" s="113">
        <v>0.005770066086321831</v>
      </c>
      <c r="D523" s="80" t="s">
        <v>4104</v>
      </c>
      <c r="E523" s="80" t="b">
        <v>0</v>
      </c>
      <c r="F523" s="80" t="b">
        <v>0</v>
      </c>
      <c r="G523" s="80" t="b">
        <v>0</v>
      </c>
    </row>
    <row r="524" spans="1:7" ht="15">
      <c r="A524" s="112" t="s">
        <v>4196</v>
      </c>
      <c r="B524" s="80">
        <v>2</v>
      </c>
      <c r="C524" s="113">
        <v>0.005770066086321831</v>
      </c>
      <c r="D524" s="80" t="s">
        <v>4104</v>
      </c>
      <c r="E524" s="80" t="b">
        <v>0</v>
      </c>
      <c r="F524" s="80" t="b">
        <v>0</v>
      </c>
      <c r="G524" s="80" t="b">
        <v>0</v>
      </c>
    </row>
    <row r="525" spans="1:7" ht="15">
      <c r="A525" s="112" t="s">
        <v>4202</v>
      </c>
      <c r="B525" s="80">
        <v>2</v>
      </c>
      <c r="C525" s="113">
        <v>0.007196748530226955</v>
      </c>
      <c r="D525" s="80" t="s">
        <v>4104</v>
      </c>
      <c r="E525" s="80" t="b">
        <v>0</v>
      </c>
      <c r="F525" s="80" t="b">
        <v>0</v>
      </c>
      <c r="G525" s="80" t="b">
        <v>0</v>
      </c>
    </row>
    <row r="526" spans="1:7" ht="15">
      <c r="A526" s="112" t="s">
        <v>4170</v>
      </c>
      <c r="B526" s="80">
        <v>2</v>
      </c>
      <c r="C526" s="113">
        <v>0.005770066086321831</v>
      </c>
      <c r="D526" s="80" t="s">
        <v>4104</v>
      </c>
      <c r="E526" s="80" t="b">
        <v>0</v>
      </c>
      <c r="F526" s="80" t="b">
        <v>0</v>
      </c>
      <c r="G526" s="80" t="b">
        <v>0</v>
      </c>
    </row>
    <row r="527" spans="1:7" ht="15">
      <c r="A527" s="112" t="s">
        <v>4220</v>
      </c>
      <c r="B527" s="80">
        <v>2</v>
      </c>
      <c r="C527" s="113">
        <v>0.007196748530226955</v>
      </c>
      <c r="D527" s="80" t="s">
        <v>4104</v>
      </c>
      <c r="E527" s="80" t="b">
        <v>0</v>
      </c>
      <c r="F527" s="80" t="b">
        <v>0</v>
      </c>
      <c r="G527" s="80" t="b">
        <v>0</v>
      </c>
    </row>
    <row r="528" spans="1:7" ht="15">
      <c r="A528" s="112" t="s">
        <v>4325</v>
      </c>
      <c r="B528" s="80">
        <v>2</v>
      </c>
      <c r="C528" s="113">
        <v>0.007196748530226955</v>
      </c>
      <c r="D528" s="80" t="s">
        <v>4104</v>
      </c>
      <c r="E528" s="80" t="b">
        <v>0</v>
      </c>
      <c r="F528" s="80" t="b">
        <v>0</v>
      </c>
      <c r="G528"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924E2-24F6-46F2-AC51-AA21E932964B}">
  <dimension ref="A1:L4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4360</v>
      </c>
      <c r="B1" s="13" t="s">
        <v>4361</v>
      </c>
      <c r="C1" s="13" t="s">
        <v>4351</v>
      </c>
      <c r="D1" s="13" t="s">
        <v>4355</v>
      </c>
      <c r="E1" s="13" t="s">
        <v>4362</v>
      </c>
      <c r="F1" s="13" t="s">
        <v>144</v>
      </c>
      <c r="G1" s="13" t="s">
        <v>4363</v>
      </c>
      <c r="H1" s="13" t="s">
        <v>4364</v>
      </c>
      <c r="I1" s="13" t="s">
        <v>4365</v>
      </c>
      <c r="J1" s="13" t="s">
        <v>4366</v>
      </c>
      <c r="K1" s="13" t="s">
        <v>4367</v>
      </c>
      <c r="L1" s="13" t="s">
        <v>4368</v>
      </c>
    </row>
    <row r="2" spans="1:12" ht="15">
      <c r="A2" s="112" t="s">
        <v>4122</v>
      </c>
      <c r="B2" s="112" t="s">
        <v>4125</v>
      </c>
      <c r="C2" s="112">
        <v>62</v>
      </c>
      <c r="D2" s="114">
        <v>0.01647692885719024</v>
      </c>
      <c r="E2" s="114">
        <v>1.0712704052976494</v>
      </c>
      <c r="F2" s="112" t="s">
        <v>4356</v>
      </c>
      <c r="G2" s="112" t="b">
        <v>0</v>
      </c>
      <c r="H2" s="112" t="b">
        <v>0</v>
      </c>
      <c r="I2" s="112" t="b">
        <v>0</v>
      </c>
      <c r="J2" s="112" t="b">
        <v>0</v>
      </c>
      <c r="K2" s="112" t="b">
        <v>0</v>
      </c>
      <c r="L2" s="112" t="b">
        <v>0</v>
      </c>
    </row>
    <row r="3" spans="1:12" ht="15">
      <c r="A3" s="112" t="s">
        <v>4123</v>
      </c>
      <c r="B3" s="112" t="s">
        <v>4122</v>
      </c>
      <c r="C3" s="80">
        <v>58</v>
      </c>
      <c r="D3" s="113">
        <v>0.016274801796646428</v>
      </c>
      <c r="E3" s="113">
        <v>0.861042246898962</v>
      </c>
      <c r="F3" s="80" t="s">
        <v>4356</v>
      </c>
      <c r="G3" s="80" t="b">
        <v>0</v>
      </c>
      <c r="H3" s="80" t="b">
        <v>0</v>
      </c>
      <c r="I3" s="80" t="b">
        <v>0</v>
      </c>
      <c r="J3" s="80" t="b">
        <v>0</v>
      </c>
      <c r="K3" s="80" t="b">
        <v>0</v>
      </c>
      <c r="L3" s="80" t="b">
        <v>0</v>
      </c>
    </row>
    <row r="4" spans="1:12" ht="15">
      <c r="A4" s="112" t="s">
        <v>4123</v>
      </c>
      <c r="B4" s="112" t="s">
        <v>4130</v>
      </c>
      <c r="C4" s="80">
        <v>28</v>
      </c>
      <c r="D4" s="113">
        <v>0.011013292524291994</v>
      </c>
      <c r="E4" s="113">
        <v>1.130564663291753</v>
      </c>
      <c r="F4" s="80" t="s">
        <v>4356</v>
      </c>
      <c r="G4" s="80" t="b">
        <v>0</v>
      </c>
      <c r="H4" s="80" t="b">
        <v>0</v>
      </c>
      <c r="I4" s="80" t="b">
        <v>0</v>
      </c>
      <c r="J4" s="80" t="b">
        <v>0</v>
      </c>
      <c r="K4" s="80" t="b">
        <v>0</v>
      </c>
      <c r="L4" s="80" t="b">
        <v>0</v>
      </c>
    </row>
    <row r="5" spans="1:12" ht="15">
      <c r="A5" s="112" t="s">
        <v>4123</v>
      </c>
      <c r="B5" s="112" t="s">
        <v>4134</v>
      </c>
      <c r="C5" s="80">
        <v>26</v>
      </c>
      <c r="D5" s="113">
        <v>0.010412234530785252</v>
      </c>
      <c r="E5" s="113">
        <v>1.0277989056346446</v>
      </c>
      <c r="F5" s="80" t="s">
        <v>4356</v>
      </c>
      <c r="G5" s="80" t="b">
        <v>0</v>
      </c>
      <c r="H5" s="80" t="b">
        <v>0</v>
      </c>
      <c r="I5" s="80" t="b">
        <v>0</v>
      </c>
      <c r="J5" s="80" t="b">
        <v>0</v>
      </c>
      <c r="K5" s="80" t="b">
        <v>0</v>
      </c>
      <c r="L5" s="80" t="b">
        <v>0</v>
      </c>
    </row>
    <row r="6" spans="1:12" ht="15">
      <c r="A6" s="112" t="s">
        <v>4124</v>
      </c>
      <c r="B6" s="112" t="s">
        <v>4127</v>
      </c>
      <c r="C6" s="80">
        <v>16</v>
      </c>
      <c r="D6" s="113">
        <v>0.008281015438834097</v>
      </c>
      <c r="E6" s="113">
        <v>0.920532168303478</v>
      </c>
      <c r="F6" s="80" t="s">
        <v>4356</v>
      </c>
      <c r="G6" s="80" t="b">
        <v>0</v>
      </c>
      <c r="H6" s="80" t="b">
        <v>0</v>
      </c>
      <c r="I6" s="80" t="b">
        <v>0</v>
      </c>
      <c r="J6" s="80" t="b">
        <v>0</v>
      </c>
      <c r="K6" s="80" t="b">
        <v>0</v>
      </c>
      <c r="L6" s="80" t="b">
        <v>0</v>
      </c>
    </row>
    <row r="7" spans="1:12" ht="15">
      <c r="A7" s="112" t="s">
        <v>4122</v>
      </c>
      <c r="B7" s="112" t="s">
        <v>4127</v>
      </c>
      <c r="C7" s="80">
        <v>15</v>
      </c>
      <c r="D7" s="113">
        <v>0.0075676992079393495</v>
      </c>
      <c r="E7" s="113">
        <v>0.594631968284083</v>
      </c>
      <c r="F7" s="80" t="s">
        <v>4356</v>
      </c>
      <c r="G7" s="80" t="b">
        <v>0</v>
      </c>
      <c r="H7" s="80" t="b">
        <v>0</v>
      </c>
      <c r="I7" s="80" t="b">
        <v>0</v>
      </c>
      <c r="J7" s="80" t="b">
        <v>0</v>
      </c>
      <c r="K7" s="80" t="b">
        <v>0</v>
      </c>
      <c r="L7" s="80" t="b">
        <v>0</v>
      </c>
    </row>
    <row r="8" spans="1:12" ht="15">
      <c r="A8" s="112" t="s">
        <v>4154</v>
      </c>
      <c r="B8" s="112" t="s">
        <v>4167</v>
      </c>
      <c r="C8" s="80">
        <v>12</v>
      </c>
      <c r="D8" s="113">
        <v>0.0065606576921775584</v>
      </c>
      <c r="E8" s="113">
        <v>2.088240348569472</v>
      </c>
      <c r="F8" s="80" t="s">
        <v>4356</v>
      </c>
      <c r="G8" s="80" t="b">
        <v>0</v>
      </c>
      <c r="H8" s="80" t="b">
        <v>0</v>
      </c>
      <c r="I8" s="80" t="b">
        <v>0</v>
      </c>
      <c r="J8" s="80" t="b">
        <v>0</v>
      </c>
      <c r="K8" s="80" t="b">
        <v>0</v>
      </c>
      <c r="L8" s="80" t="b">
        <v>0</v>
      </c>
    </row>
    <row r="9" spans="1:12" ht="15">
      <c r="A9" s="112" t="s">
        <v>4122</v>
      </c>
      <c r="B9" s="112" t="s">
        <v>4122</v>
      </c>
      <c r="C9" s="80">
        <v>12</v>
      </c>
      <c r="D9" s="113">
        <v>0.0065606576921775584</v>
      </c>
      <c r="E9" s="113">
        <v>0.14387865318319965</v>
      </c>
      <c r="F9" s="80" t="s">
        <v>4356</v>
      </c>
      <c r="G9" s="80" t="b">
        <v>0</v>
      </c>
      <c r="H9" s="80" t="b">
        <v>0</v>
      </c>
      <c r="I9" s="80" t="b">
        <v>0</v>
      </c>
      <c r="J9" s="80" t="b">
        <v>0</v>
      </c>
      <c r="K9" s="80" t="b">
        <v>0</v>
      </c>
      <c r="L9" s="80" t="b">
        <v>0</v>
      </c>
    </row>
    <row r="10" spans="1:12" ht="15">
      <c r="A10" s="112" t="s">
        <v>4144</v>
      </c>
      <c r="B10" s="112" t="s">
        <v>4149</v>
      </c>
      <c r="C10" s="80">
        <v>11</v>
      </c>
      <c r="D10" s="113">
        <v>0.00661251030436745</v>
      </c>
      <c r="E10" s="113">
        <v>2.2772965847895206</v>
      </c>
      <c r="F10" s="80" t="s">
        <v>4356</v>
      </c>
      <c r="G10" s="80" t="b">
        <v>0</v>
      </c>
      <c r="H10" s="80" t="b">
        <v>0</v>
      </c>
      <c r="I10" s="80" t="b">
        <v>0</v>
      </c>
      <c r="J10" s="80" t="b">
        <v>0</v>
      </c>
      <c r="K10" s="80" t="b">
        <v>0</v>
      </c>
      <c r="L10" s="80" t="b">
        <v>0</v>
      </c>
    </row>
    <row r="11" spans="1:12" ht="15">
      <c r="A11" s="112" t="s">
        <v>4130</v>
      </c>
      <c r="B11" s="112" t="s">
        <v>4123</v>
      </c>
      <c r="C11" s="80">
        <v>11</v>
      </c>
      <c r="D11" s="113">
        <v>0.0061949789747037295</v>
      </c>
      <c r="E11" s="113">
        <v>0.8215082212991153</v>
      </c>
      <c r="F11" s="80" t="s">
        <v>4356</v>
      </c>
      <c r="G11" s="80" t="b">
        <v>0</v>
      </c>
      <c r="H11" s="80" t="b">
        <v>0</v>
      </c>
      <c r="I11" s="80" t="b">
        <v>0</v>
      </c>
      <c r="J11" s="80" t="b">
        <v>0</v>
      </c>
      <c r="K11" s="80" t="b">
        <v>0</v>
      </c>
      <c r="L11" s="80" t="b">
        <v>0</v>
      </c>
    </row>
    <row r="12" spans="1:12" ht="15">
      <c r="A12" s="112" t="s">
        <v>4133</v>
      </c>
      <c r="B12" s="112" t="s">
        <v>4140</v>
      </c>
      <c r="C12" s="80">
        <v>11</v>
      </c>
      <c r="D12" s="113">
        <v>0.0061949789747037295</v>
      </c>
      <c r="E12" s="113">
        <v>1.3911322741246281</v>
      </c>
      <c r="F12" s="80" t="s">
        <v>4356</v>
      </c>
      <c r="G12" s="80" t="b">
        <v>0</v>
      </c>
      <c r="H12" s="80" t="b">
        <v>0</v>
      </c>
      <c r="I12" s="80" t="b">
        <v>0</v>
      </c>
      <c r="J12" s="80" t="b">
        <v>0</v>
      </c>
      <c r="K12" s="80" t="b">
        <v>0</v>
      </c>
      <c r="L12" s="80" t="b">
        <v>0</v>
      </c>
    </row>
    <row r="13" spans="1:12" ht="15">
      <c r="A13" s="112" t="s">
        <v>4140</v>
      </c>
      <c r="B13" s="112" t="s">
        <v>4123</v>
      </c>
      <c r="C13" s="80">
        <v>11</v>
      </c>
      <c r="D13" s="113">
        <v>0.0061949789747037295</v>
      </c>
      <c r="E13" s="113">
        <v>1.004438904885102</v>
      </c>
      <c r="F13" s="80" t="s">
        <v>4356</v>
      </c>
      <c r="G13" s="80" t="b">
        <v>0</v>
      </c>
      <c r="H13" s="80" t="b">
        <v>0</v>
      </c>
      <c r="I13" s="80" t="b">
        <v>0</v>
      </c>
      <c r="J13" s="80" t="b">
        <v>0</v>
      </c>
      <c r="K13" s="80" t="b">
        <v>0</v>
      </c>
      <c r="L13" s="80" t="b">
        <v>0</v>
      </c>
    </row>
    <row r="14" spans="1:12" ht="15">
      <c r="A14" s="112" t="s">
        <v>4136</v>
      </c>
      <c r="B14" s="112" t="s">
        <v>4154</v>
      </c>
      <c r="C14" s="80">
        <v>10</v>
      </c>
      <c r="D14" s="113">
        <v>0.0058120807976956915</v>
      </c>
      <c r="E14" s="113">
        <v>1.6410823172272526</v>
      </c>
      <c r="F14" s="80" t="s">
        <v>4356</v>
      </c>
      <c r="G14" s="80" t="b">
        <v>0</v>
      </c>
      <c r="H14" s="80" t="b">
        <v>0</v>
      </c>
      <c r="I14" s="80" t="b">
        <v>0</v>
      </c>
      <c r="J14" s="80" t="b">
        <v>0</v>
      </c>
      <c r="K14" s="80" t="b">
        <v>0</v>
      </c>
      <c r="L14" s="80" t="b">
        <v>0</v>
      </c>
    </row>
    <row r="15" spans="1:12" ht="15">
      <c r="A15" s="112" t="s">
        <v>4146</v>
      </c>
      <c r="B15" s="112" t="s">
        <v>4162</v>
      </c>
      <c r="C15" s="80">
        <v>10</v>
      </c>
      <c r="D15" s="113">
        <v>0.010167481494559802</v>
      </c>
      <c r="E15" s="113">
        <v>2.277296584789521</v>
      </c>
      <c r="F15" s="80" t="s">
        <v>4356</v>
      </c>
      <c r="G15" s="80" t="b">
        <v>0</v>
      </c>
      <c r="H15" s="80" t="b">
        <v>0</v>
      </c>
      <c r="I15" s="80" t="b">
        <v>0</v>
      </c>
      <c r="J15" s="80" t="b">
        <v>0</v>
      </c>
      <c r="K15" s="80" t="b">
        <v>1</v>
      </c>
      <c r="L15" s="80" t="b">
        <v>0</v>
      </c>
    </row>
    <row r="16" spans="1:12" ht="15">
      <c r="A16" s="112" t="s">
        <v>4125</v>
      </c>
      <c r="B16" s="112" t="s">
        <v>4123</v>
      </c>
      <c r="C16" s="80">
        <v>9</v>
      </c>
      <c r="D16" s="113">
        <v>0.005610746462295682</v>
      </c>
      <c r="E16" s="113">
        <v>0.4006589331628657</v>
      </c>
      <c r="F16" s="80" t="s">
        <v>4356</v>
      </c>
      <c r="G16" s="80" t="b">
        <v>0</v>
      </c>
      <c r="H16" s="80" t="b">
        <v>0</v>
      </c>
      <c r="I16" s="80" t="b">
        <v>0</v>
      </c>
      <c r="J16" s="80" t="b">
        <v>0</v>
      </c>
      <c r="K16" s="80" t="b">
        <v>0</v>
      </c>
      <c r="L16" s="80" t="b">
        <v>0</v>
      </c>
    </row>
    <row r="17" spans="1:12" ht="15">
      <c r="A17" s="112" t="s">
        <v>4127</v>
      </c>
      <c r="B17" s="112" t="s">
        <v>4131</v>
      </c>
      <c r="C17" s="80">
        <v>9</v>
      </c>
      <c r="D17" s="113">
        <v>0.005410235703573368</v>
      </c>
      <c r="E17" s="113">
        <v>1.0424828580087968</v>
      </c>
      <c r="F17" s="80" t="s">
        <v>4356</v>
      </c>
      <c r="G17" s="80" t="b">
        <v>0</v>
      </c>
      <c r="H17" s="80" t="b">
        <v>0</v>
      </c>
      <c r="I17" s="80" t="b">
        <v>0</v>
      </c>
      <c r="J17" s="80" t="b">
        <v>0</v>
      </c>
      <c r="K17" s="80" t="b">
        <v>0</v>
      </c>
      <c r="L17" s="80" t="b">
        <v>0</v>
      </c>
    </row>
    <row r="18" spans="1:12" ht="15">
      <c r="A18" s="112" t="s">
        <v>4131</v>
      </c>
      <c r="B18" s="112" t="s">
        <v>4166</v>
      </c>
      <c r="C18" s="80">
        <v>9</v>
      </c>
      <c r="D18" s="113">
        <v>0.005410235703573368</v>
      </c>
      <c r="E18" s="113">
        <v>1.6404744872023465</v>
      </c>
      <c r="F18" s="80" t="s">
        <v>4356</v>
      </c>
      <c r="G18" s="80" t="b">
        <v>0</v>
      </c>
      <c r="H18" s="80" t="b">
        <v>0</v>
      </c>
      <c r="I18" s="80" t="b">
        <v>0</v>
      </c>
      <c r="J18" s="80" t="b">
        <v>0</v>
      </c>
      <c r="K18" s="80" t="b">
        <v>0</v>
      </c>
      <c r="L18" s="80" t="b">
        <v>0</v>
      </c>
    </row>
    <row r="19" spans="1:12" ht="15">
      <c r="A19" s="112" t="s">
        <v>4166</v>
      </c>
      <c r="B19" s="112" t="s">
        <v>4158</v>
      </c>
      <c r="C19" s="80">
        <v>9</v>
      </c>
      <c r="D19" s="113">
        <v>0.005410235703573368</v>
      </c>
      <c r="E19" s="113">
        <v>2.193750533339446</v>
      </c>
      <c r="F19" s="80" t="s">
        <v>4356</v>
      </c>
      <c r="G19" s="80" t="b">
        <v>0</v>
      </c>
      <c r="H19" s="80" t="b">
        <v>0</v>
      </c>
      <c r="I19" s="80" t="b">
        <v>0</v>
      </c>
      <c r="J19" s="80" t="b">
        <v>0</v>
      </c>
      <c r="K19" s="80" t="b">
        <v>0</v>
      </c>
      <c r="L19" s="80" t="b">
        <v>0</v>
      </c>
    </row>
    <row r="20" spans="1:12" ht="15">
      <c r="A20" s="112" t="s">
        <v>4122</v>
      </c>
      <c r="B20" s="112" t="s">
        <v>4129</v>
      </c>
      <c r="C20" s="80">
        <v>8</v>
      </c>
      <c r="D20" s="113">
        <v>0.005189392721730571</v>
      </c>
      <c r="E20" s="113">
        <v>0.540990645433007</v>
      </c>
      <c r="F20" s="80" t="s">
        <v>4356</v>
      </c>
      <c r="G20" s="80" t="b">
        <v>0</v>
      </c>
      <c r="H20" s="80" t="b">
        <v>0</v>
      </c>
      <c r="I20" s="80" t="b">
        <v>0</v>
      </c>
      <c r="J20" s="80" t="b">
        <v>0</v>
      </c>
      <c r="K20" s="80" t="b">
        <v>0</v>
      </c>
      <c r="L20" s="80" t="b">
        <v>0</v>
      </c>
    </row>
    <row r="21" spans="1:12" ht="15">
      <c r="A21" s="112" t="s">
        <v>2874</v>
      </c>
      <c r="B21" s="112" t="s">
        <v>4153</v>
      </c>
      <c r="C21" s="80">
        <v>7</v>
      </c>
      <c r="D21" s="113">
        <v>0.005662599074485575</v>
      </c>
      <c r="E21" s="113">
        <v>1.315598192970604</v>
      </c>
      <c r="F21" s="80" t="s">
        <v>4356</v>
      </c>
      <c r="G21" s="80" t="b">
        <v>0</v>
      </c>
      <c r="H21" s="80" t="b">
        <v>0</v>
      </c>
      <c r="I21" s="80" t="b">
        <v>0</v>
      </c>
      <c r="J21" s="80" t="b">
        <v>0</v>
      </c>
      <c r="K21" s="80" t="b">
        <v>0</v>
      </c>
      <c r="L21" s="80" t="b">
        <v>0</v>
      </c>
    </row>
    <row r="22" spans="1:12" ht="15">
      <c r="A22" s="112" t="s">
        <v>4124</v>
      </c>
      <c r="B22" s="112" t="s">
        <v>4125</v>
      </c>
      <c r="C22" s="80">
        <v>7</v>
      </c>
      <c r="D22" s="113">
        <v>0.00454071863151425</v>
      </c>
      <c r="E22" s="113">
        <v>0.42184823223280377</v>
      </c>
      <c r="F22" s="80" t="s">
        <v>4356</v>
      </c>
      <c r="G22" s="80" t="b">
        <v>0</v>
      </c>
      <c r="H22" s="80" t="b">
        <v>0</v>
      </c>
      <c r="I22" s="80" t="b">
        <v>0</v>
      </c>
      <c r="J22" s="80" t="b">
        <v>0</v>
      </c>
      <c r="K22" s="80" t="b">
        <v>0</v>
      </c>
      <c r="L22" s="80" t="b">
        <v>0</v>
      </c>
    </row>
    <row r="23" spans="1:12" ht="15">
      <c r="A23" s="112" t="s">
        <v>2874</v>
      </c>
      <c r="B23" s="112" t="s">
        <v>4124</v>
      </c>
      <c r="C23" s="80">
        <v>6</v>
      </c>
      <c r="D23" s="113">
        <v>0.004273912230352559</v>
      </c>
      <c r="E23" s="113">
        <v>0.6118293057528165</v>
      </c>
      <c r="F23" s="80" t="s">
        <v>4356</v>
      </c>
      <c r="G23" s="80" t="b">
        <v>0</v>
      </c>
      <c r="H23" s="80" t="b">
        <v>0</v>
      </c>
      <c r="I23" s="80" t="b">
        <v>0</v>
      </c>
      <c r="J23" s="80" t="b">
        <v>0</v>
      </c>
      <c r="K23" s="80" t="b">
        <v>0</v>
      </c>
      <c r="L23" s="80" t="b">
        <v>0</v>
      </c>
    </row>
    <row r="24" spans="1:12" ht="15">
      <c r="A24" s="112" t="s">
        <v>4123</v>
      </c>
      <c r="B24" s="112" t="s">
        <v>4129</v>
      </c>
      <c r="C24" s="80">
        <v>6</v>
      </c>
      <c r="D24" s="113">
        <v>0.004066992597823922</v>
      </c>
      <c r="E24" s="113">
        <v>0.44896875502515704</v>
      </c>
      <c r="F24" s="80" t="s">
        <v>4356</v>
      </c>
      <c r="G24" s="80" t="b">
        <v>0</v>
      </c>
      <c r="H24" s="80" t="b">
        <v>0</v>
      </c>
      <c r="I24" s="80" t="b">
        <v>0</v>
      </c>
      <c r="J24" s="80" t="b">
        <v>0</v>
      </c>
      <c r="K24" s="80" t="b">
        <v>0</v>
      </c>
      <c r="L24" s="80" t="b">
        <v>0</v>
      </c>
    </row>
    <row r="25" spans="1:12" ht="15">
      <c r="A25" s="112" t="s">
        <v>4124</v>
      </c>
      <c r="B25" s="112" t="s">
        <v>4129</v>
      </c>
      <c r="C25" s="80">
        <v>6</v>
      </c>
      <c r="D25" s="113">
        <v>0.004527161393265598</v>
      </c>
      <c r="E25" s="113">
        <v>0.7139233852438586</v>
      </c>
      <c r="F25" s="80" t="s">
        <v>4356</v>
      </c>
      <c r="G25" s="80" t="b">
        <v>0</v>
      </c>
      <c r="H25" s="80" t="b">
        <v>0</v>
      </c>
      <c r="I25" s="80" t="b">
        <v>0</v>
      </c>
      <c r="J25" s="80" t="b">
        <v>0</v>
      </c>
      <c r="K25" s="80" t="b">
        <v>0</v>
      </c>
      <c r="L25" s="80" t="b">
        <v>0</v>
      </c>
    </row>
    <row r="26" spans="1:12" ht="15">
      <c r="A26" s="112" t="s">
        <v>4125</v>
      </c>
      <c r="B26" s="112" t="s">
        <v>4126</v>
      </c>
      <c r="C26" s="80">
        <v>6</v>
      </c>
      <c r="D26" s="113">
        <v>0.004527161393265598</v>
      </c>
      <c r="E26" s="113">
        <v>0.726512512551879</v>
      </c>
      <c r="F26" s="80" t="s">
        <v>4356</v>
      </c>
      <c r="G26" s="80" t="b">
        <v>0</v>
      </c>
      <c r="H26" s="80" t="b">
        <v>0</v>
      </c>
      <c r="I26" s="80" t="b">
        <v>0</v>
      </c>
      <c r="J26" s="80" t="b">
        <v>0</v>
      </c>
      <c r="K26" s="80" t="b">
        <v>0</v>
      </c>
      <c r="L26" s="80" t="b">
        <v>0</v>
      </c>
    </row>
    <row r="27" spans="1:12" ht="15">
      <c r="A27" s="112" t="s">
        <v>4131</v>
      </c>
      <c r="B27" s="112" t="s">
        <v>4159</v>
      </c>
      <c r="C27" s="80">
        <v>6</v>
      </c>
      <c r="D27" s="113">
        <v>0.004066992597823922</v>
      </c>
      <c r="E27" s="113">
        <v>1.3296846542492091</v>
      </c>
      <c r="F27" s="80" t="s">
        <v>4356</v>
      </c>
      <c r="G27" s="80" t="b">
        <v>0</v>
      </c>
      <c r="H27" s="80" t="b">
        <v>0</v>
      </c>
      <c r="I27" s="80" t="b">
        <v>0</v>
      </c>
      <c r="J27" s="80" t="b">
        <v>0</v>
      </c>
      <c r="K27" s="80" t="b">
        <v>0</v>
      </c>
      <c r="L27" s="80" t="b">
        <v>0</v>
      </c>
    </row>
    <row r="28" spans="1:12" ht="15">
      <c r="A28" s="112" t="s">
        <v>4127</v>
      </c>
      <c r="B28" s="112" t="s">
        <v>4143</v>
      </c>
      <c r="C28" s="80">
        <v>5</v>
      </c>
      <c r="D28" s="113">
        <v>0.003561593525293798</v>
      </c>
      <c r="E28" s="113">
        <v>1.2047459176409092</v>
      </c>
      <c r="F28" s="80" t="s">
        <v>4356</v>
      </c>
      <c r="G28" s="80" t="b">
        <v>0</v>
      </c>
      <c r="H28" s="80" t="b">
        <v>0</v>
      </c>
      <c r="I28" s="80" t="b">
        <v>0</v>
      </c>
      <c r="J28" s="80" t="b">
        <v>0</v>
      </c>
      <c r="K28" s="80" t="b">
        <v>0</v>
      </c>
      <c r="L28" s="80" t="b">
        <v>0</v>
      </c>
    </row>
    <row r="29" spans="1:12" ht="15">
      <c r="A29" s="112" t="s">
        <v>4165</v>
      </c>
      <c r="B29" s="112" t="s">
        <v>4123</v>
      </c>
      <c r="C29" s="80">
        <v>5</v>
      </c>
      <c r="D29" s="113">
        <v>0.003561593525293798</v>
      </c>
      <c r="E29" s="113">
        <v>0.9050542727491901</v>
      </c>
      <c r="F29" s="80" t="s">
        <v>4356</v>
      </c>
      <c r="G29" s="80" t="b">
        <v>0</v>
      </c>
      <c r="H29" s="80" t="b">
        <v>0</v>
      </c>
      <c r="I29" s="80" t="b">
        <v>0</v>
      </c>
      <c r="J29" s="80" t="b">
        <v>0</v>
      </c>
      <c r="K29" s="80" t="b">
        <v>0</v>
      </c>
      <c r="L29" s="80" t="b">
        <v>0</v>
      </c>
    </row>
    <row r="30" spans="1:12" ht="15">
      <c r="A30" s="112" t="s">
        <v>4134</v>
      </c>
      <c r="B30" s="112" t="s">
        <v>4175</v>
      </c>
      <c r="C30" s="80">
        <v>5</v>
      </c>
      <c r="D30" s="113">
        <v>0.003561593525293798</v>
      </c>
      <c r="E30" s="113">
        <v>1.6043595102025128</v>
      </c>
      <c r="F30" s="80" t="s">
        <v>4356</v>
      </c>
      <c r="G30" s="80" t="b">
        <v>0</v>
      </c>
      <c r="H30" s="80" t="b">
        <v>0</v>
      </c>
      <c r="I30" s="80" t="b">
        <v>0</v>
      </c>
      <c r="J30" s="80" t="b">
        <v>0</v>
      </c>
      <c r="K30" s="80" t="b">
        <v>0</v>
      </c>
      <c r="L30" s="80" t="b">
        <v>0</v>
      </c>
    </row>
    <row r="31" spans="1:12" ht="15">
      <c r="A31" s="112" t="s">
        <v>4175</v>
      </c>
      <c r="B31" s="112" t="s">
        <v>4195</v>
      </c>
      <c r="C31" s="80">
        <v>5</v>
      </c>
      <c r="D31" s="113">
        <v>0.003561593525293798</v>
      </c>
      <c r="E31" s="113">
        <v>2.3364180369081775</v>
      </c>
      <c r="F31" s="80" t="s">
        <v>4356</v>
      </c>
      <c r="G31" s="80" t="b">
        <v>0</v>
      </c>
      <c r="H31" s="80" t="b">
        <v>0</v>
      </c>
      <c r="I31" s="80" t="b">
        <v>0</v>
      </c>
      <c r="J31" s="80" t="b">
        <v>0</v>
      </c>
      <c r="K31" s="80" t="b">
        <v>0</v>
      </c>
      <c r="L31" s="80" t="b">
        <v>0</v>
      </c>
    </row>
    <row r="32" spans="1:12" ht="15">
      <c r="A32" s="112" t="s">
        <v>4216</v>
      </c>
      <c r="B32" s="112" t="s">
        <v>4250</v>
      </c>
      <c r="C32" s="80">
        <v>5</v>
      </c>
      <c r="D32" s="113">
        <v>0.003561593525293798</v>
      </c>
      <c r="E32" s="113">
        <v>2.473591229933489</v>
      </c>
      <c r="F32" s="80" t="s">
        <v>4356</v>
      </c>
      <c r="G32" s="80" t="b">
        <v>0</v>
      </c>
      <c r="H32" s="80" t="b">
        <v>0</v>
      </c>
      <c r="I32" s="80" t="b">
        <v>0</v>
      </c>
      <c r="J32" s="80" t="b">
        <v>0</v>
      </c>
      <c r="K32" s="80" t="b">
        <v>0</v>
      </c>
      <c r="L32" s="80" t="b">
        <v>0</v>
      </c>
    </row>
    <row r="33" spans="1:12" ht="15">
      <c r="A33" s="112" t="s">
        <v>4128</v>
      </c>
      <c r="B33" s="112" t="s">
        <v>4123</v>
      </c>
      <c r="C33" s="80">
        <v>5</v>
      </c>
      <c r="D33" s="113">
        <v>0.003561593525293798</v>
      </c>
      <c r="E33" s="113">
        <v>0.5528717546378277</v>
      </c>
      <c r="F33" s="80" t="s">
        <v>4356</v>
      </c>
      <c r="G33" s="80" t="b">
        <v>0</v>
      </c>
      <c r="H33" s="80" t="b">
        <v>0</v>
      </c>
      <c r="I33" s="80" t="b">
        <v>0</v>
      </c>
      <c r="J33" s="80" t="b">
        <v>0</v>
      </c>
      <c r="K33" s="80" t="b">
        <v>0</v>
      </c>
      <c r="L33" s="80" t="b">
        <v>0</v>
      </c>
    </row>
    <row r="34" spans="1:12" ht="15">
      <c r="A34" s="112" t="s">
        <v>4127</v>
      </c>
      <c r="B34" s="112" t="s">
        <v>4124</v>
      </c>
      <c r="C34" s="80">
        <v>5</v>
      </c>
      <c r="D34" s="113">
        <v>0.0037726344943879975</v>
      </c>
      <c r="E34" s="113">
        <v>0.5057759133048904</v>
      </c>
      <c r="F34" s="80" t="s">
        <v>4356</v>
      </c>
      <c r="G34" s="80" t="b">
        <v>0</v>
      </c>
      <c r="H34" s="80" t="b">
        <v>0</v>
      </c>
      <c r="I34" s="80" t="b">
        <v>0</v>
      </c>
      <c r="J34" s="80" t="b">
        <v>0</v>
      </c>
      <c r="K34" s="80" t="b">
        <v>0</v>
      </c>
      <c r="L34" s="80" t="b">
        <v>0</v>
      </c>
    </row>
    <row r="35" spans="1:12" ht="15">
      <c r="A35" s="112" t="s">
        <v>2725</v>
      </c>
      <c r="B35" s="112" t="s">
        <v>4128</v>
      </c>
      <c r="C35" s="80">
        <v>5</v>
      </c>
      <c r="D35" s="113">
        <v>0.003561593525293798</v>
      </c>
      <c r="E35" s="113">
        <v>0.9532012850568462</v>
      </c>
      <c r="F35" s="80" t="s">
        <v>4356</v>
      </c>
      <c r="G35" s="80" t="b">
        <v>0</v>
      </c>
      <c r="H35" s="80" t="b">
        <v>0</v>
      </c>
      <c r="I35" s="80" t="b">
        <v>0</v>
      </c>
      <c r="J35" s="80" t="b">
        <v>0</v>
      </c>
      <c r="K35" s="80" t="b">
        <v>0</v>
      </c>
      <c r="L35" s="80" t="b">
        <v>0</v>
      </c>
    </row>
    <row r="36" spans="1:12" ht="15">
      <c r="A36" s="112" t="s">
        <v>4125</v>
      </c>
      <c r="B36" s="112" t="s">
        <v>4127</v>
      </c>
      <c r="C36" s="80">
        <v>5</v>
      </c>
      <c r="D36" s="113">
        <v>0.003561593525293798</v>
      </c>
      <c r="E36" s="113">
        <v>0.41538218998357207</v>
      </c>
      <c r="F36" s="80" t="s">
        <v>4356</v>
      </c>
      <c r="G36" s="80" t="b">
        <v>0</v>
      </c>
      <c r="H36" s="80" t="b">
        <v>0</v>
      </c>
      <c r="I36" s="80" t="b">
        <v>0</v>
      </c>
      <c r="J36" s="80" t="b">
        <v>0</v>
      </c>
      <c r="K36" s="80" t="b">
        <v>0</v>
      </c>
      <c r="L36" s="80" t="b">
        <v>0</v>
      </c>
    </row>
    <row r="37" spans="1:12" ht="15">
      <c r="A37" s="112" t="s">
        <v>4162</v>
      </c>
      <c r="B37" s="112" t="s">
        <v>4150</v>
      </c>
      <c r="C37" s="80">
        <v>5</v>
      </c>
      <c r="D37" s="113">
        <v>0.005083740747279901</v>
      </c>
      <c r="E37" s="113">
        <v>1.8135392916278399</v>
      </c>
      <c r="F37" s="80" t="s">
        <v>4356</v>
      </c>
      <c r="G37" s="80" t="b">
        <v>0</v>
      </c>
      <c r="H37" s="80" t="b">
        <v>1</v>
      </c>
      <c r="I37" s="80" t="b">
        <v>0</v>
      </c>
      <c r="J37" s="80" t="b">
        <v>0</v>
      </c>
      <c r="K37" s="80" t="b">
        <v>0</v>
      </c>
      <c r="L37" s="80" t="b">
        <v>0</v>
      </c>
    </row>
    <row r="38" spans="1:12" ht="15">
      <c r="A38" s="112" t="s">
        <v>4150</v>
      </c>
      <c r="B38" s="112" t="s">
        <v>4146</v>
      </c>
      <c r="C38" s="80">
        <v>5</v>
      </c>
      <c r="D38" s="113">
        <v>0.005083740747279901</v>
      </c>
      <c r="E38" s="113">
        <v>1.7209940840222335</v>
      </c>
      <c r="F38" s="80" t="s">
        <v>4356</v>
      </c>
      <c r="G38" s="80" t="b">
        <v>0</v>
      </c>
      <c r="H38" s="80" t="b">
        <v>0</v>
      </c>
      <c r="I38" s="80" t="b">
        <v>0</v>
      </c>
      <c r="J38" s="80" t="b">
        <v>0</v>
      </c>
      <c r="K38" s="80" t="b">
        <v>0</v>
      </c>
      <c r="L38" s="80" t="b">
        <v>0</v>
      </c>
    </row>
    <row r="39" spans="1:12" ht="15">
      <c r="A39" s="112" t="s">
        <v>4181</v>
      </c>
      <c r="B39" s="112" t="s">
        <v>4145</v>
      </c>
      <c r="C39" s="80">
        <v>5</v>
      </c>
      <c r="D39" s="113">
        <v>0.0044281876208339494</v>
      </c>
      <c r="E39" s="113">
        <v>2.415599282955802</v>
      </c>
      <c r="F39" s="80" t="s">
        <v>4356</v>
      </c>
      <c r="G39" s="80" t="b">
        <v>0</v>
      </c>
      <c r="H39" s="80" t="b">
        <v>0</v>
      </c>
      <c r="I39" s="80" t="b">
        <v>0</v>
      </c>
      <c r="J39" s="80" t="b">
        <v>0</v>
      </c>
      <c r="K39" s="80" t="b">
        <v>0</v>
      </c>
      <c r="L39" s="80" t="b">
        <v>0</v>
      </c>
    </row>
    <row r="40" spans="1:12" ht="15">
      <c r="A40" s="112" t="s">
        <v>4122</v>
      </c>
      <c r="B40" s="112" t="s">
        <v>4159</v>
      </c>
      <c r="C40" s="80">
        <v>5</v>
      </c>
      <c r="D40" s="113">
        <v>0.0037726344943879975</v>
      </c>
      <c r="E40" s="113">
        <v>0.7048474480716767</v>
      </c>
      <c r="F40" s="80" t="s">
        <v>4356</v>
      </c>
      <c r="G40" s="80" t="b">
        <v>0</v>
      </c>
      <c r="H40" s="80" t="b">
        <v>0</v>
      </c>
      <c r="I40" s="80" t="b">
        <v>0</v>
      </c>
      <c r="J40" s="80" t="b">
        <v>0</v>
      </c>
      <c r="K40" s="80" t="b">
        <v>0</v>
      </c>
      <c r="L40" s="80" t="b">
        <v>0</v>
      </c>
    </row>
    <row r="41" spans="1:12" ht="15">
      <c r="A41" s="112" t="s">
        <v>4159</v>
      </c>
      <c r="B41" s="112" t="s">
        <v>4122</v>
      </c>
      <c r="C41" s="80">
        <v>5</v>
      </c>
      <c r="D41" s="113">
        <v>0.0037726344943879975</v>
      </c>
      <c r="E41" s="113">
        <v>0.7242967195723191</v>
      </c>
      <c r="F41" s="80" t="s">
        <v>4356</v>
      </c>
      <c r="G41" s="80" t="b">
        <v>0</v>
      </c>
      <c r="H41" s="80" t="b">
        <v>0</v>
      </c>
      <c r="I41" s="80" t="b">
        <v>0</v>
      </c>
      <c r="J41" s="80" t="b">
        <v>0</v>
      </c>
      <c r="K41" s="80" t="b">
        <v>0</v>
      </c>
      <c r="L41" s="80" t="b">
        <v>0</v>
      </c>
    </row>
    <row r="42" spans="1:12" ht="15">
      <c r="A42" s="112" t="s">
        <v>2874</v>
      </c>
      <c r="B42" s="112" t="s">
        <v>4123</v>
      </c>
      <c r="C42" s="80">
        <v>4</v>
      </c>
      <c r="D42" s="113">
        <v>0.0030181075955103983</v>
      </c>
      <c r="E42" s="113">
        <v>0.2152276478530411</v>
      </c>
      <c r="F42" s="80" t="s">
        <v>4356</v>
      </c>
      <c r="G42" s="80" t="b">
        <v>0</v>
      </c>
      <c r="H42" s="80" t="b">
        <v>0</v>
      </c>
      <c r="I42" s="80" t="b">
        <v>0</v>
      </c>
      <c r="J42" s="80" t="b">
        <v>0</v>
      </c>
      <c r="K42" s="80" t="b">
        <v>0</v>
      </c>
      <c r="L42" s="80" t="b">
        <v>0</v>
      </c>
    </row>
    <row r="43" spans="1:12" ht="15">
      <c r="A43" s="112" t="s">
        <v>4134</v>
      </c>
      <c r="B43" s="112" t="s">
        <v>4122</v>
      </c>
      <c r="C43" s="80">
        <v>4</v>
      </c>
      <c r="D43" s="113">
        <v>0.0030181075955103983</v>
      </c>
      <c r="E43" s="113">
        <v>0.235276241552949</v>
      </c>
      <c r="F43" s="80" t="s">
        <v>4356</v>
      </c>
      <c r="G43" s="80" t="b">
        <v>0</v>
      </c>
      <c r="H43" s="80" t="b">
        <v>0</v>
      </c>
      <c r="I43" s="80" t="b">
        <v>0</v>
      </c>
      <c r="J43" s="80" t="b">
        <v>0</v>
      </c>
      <c r="K43" s="80" t="b">
        <v>0</v>
      </c>
      <c r="L43" s="80" t="b">
        <v>0</v>
      </c>
    </row>
    <row r="44" spans="1:12" ht="15">
      <c r="A44" s="112" t="s">
        <v>4235</v>
      </c>
      <c r="B44" s="112" t="s">
        <v>4236</v>
      </c>
      <c r="C44" s="80">
        <v>4</v>
      </c>
      <c r="D44" s="113">
        <v>0.0030181075955103983</v>
      </c>
      <c r="E44" s="113">
        <v>2.7166292786197834</v>
      </c>
      <c r="F44" s="80" t="s">
        <v>4356</v>
      </c>
      <c r="G44" s="80" t="b">
        <v>0</v>
      </c>
      <c r="H44" s="80" t="b">
        <v>0</v>
      </c>
      <c r="I44" s="80" t="b">
        <v>0</v>
      </c>
      <c r="J44" s="80" t="b">
        <v>0</v>
      </c>
      <c r="K44" s="80" t="b">
        <v>0</v>
      </c>
      <c r="L44" s="80" t="b">
        <v>0</v>
      </c>
    </row>
    <row r="45" spans="1:12" ht="15">
      <c r="A45" s="112" t="s">
        <v>4129</v>
      </c>
      <c r="B45" s="112" t="s">
        <v>4144</v>
      </c>
      <c r="C45" s="80">
        <v>4</v>
      </c>
      <c r="D45" s="113">
        <v>0.0030181075955103983</v>
      </c>
      <c r="E45" s="113">
        <v>1.3879948822832104</v>
      </c>
      <c r="F45" s="80" t="s">
        <v>4356</v>
      </c>
      <c r="G45" s="80" t="b">
        <v>0</v>
      </c>
      <c r="H45" s="80" t="b">
        <v>0</v>
      </c>
      <c r="I45" s="80" t="b">
        <v>0</v>
      </c>
      <c r="J45" s="80" t="b">
        <v>0</v>
      </c>
      <c r="K45" s="80" t="b">
        <v>0</v>
      </c>
      <c r="L45" s="80" t="b">
        <v>0</v>
      </c>
    </row>
    <row r="46" spans="1:12" ht="15">
      <c r="A46" s="112" t="s">
        <v>4126</v>
      </c>
      <c r="B46" s="112" t="s">
        <v>4122</v>
      </c>
      <c r="C46" s="80">
        <v>4</v>
      </c>
      <c r="D46" s="113">
        <v>0.0030181075955103983</v>
      </c>
      <c r="E46" s="113">
        <v>0.2719990485776888</v>
      </c>
      <c r="F46" s="80" t="s">
        <v>4356</v>
      </c>
      <c r="G46" s="80" t="b">
        <v>0</v>
      </c>
      <c r="H46" s="80" t="b">
        <v>0</v>
      </c>
      <c r="I46" s="80" t="b">
        <v>0</v>
      </c>
      <c r="J46" s="80" t="b">
        <v>0</v>
      </c>
      <c r="K46" s="80" t="b">
        <v>0</v>
      </c>
      <c r="L46" s="80" t="b">
        <v>0</v>
      </c>
    </row>
    <row r="47" spans="1:12" ht="15">
      <c r="A47" s="112" t="s">
        <v>2725</v>
      </c>
      <c r="B47" s="112" t="s">
        <v>4124</v>
      </c>
      <c r="C47" s="80">
        <v>4</v>
      </c>
      <c r="D47" s="113">
        <v>0.0030181075955103983</v>
      </c>
      <c r="E47" s="113">
        <v>0.5057759133048904</v>
      </c>
      <c r="F47" s="80" t="s">
        <v>4356</v>
      </c>
      <c r="G47" s="80" t="b">
        <v>0</v>
      </c>
      <c r="H47" s="80" t="b">
        <v>0</v>
      </c>
      <c r="I47" s="80" t="b">
        <v>0</v>
      </c>
      <c r="J47" s="80" t="b">
        <v>0</v>
      </c>
      <c r="K47" s="80" t="b">
        <v>0</v>
      </c>
      <c r="L47" s="80" t="b">
        <v>0</v>
      </c>
    </row>
    <row r="48" spans="1:12" ht="15">
      <c r="A48" s="112" t="s">
        <v>4192</v>
      </c>
      <c r="B48" s="112" t="s">
        <v>4151</v>
      </c>
      <c r="C48" s="80">
        <v>4</v>
      </c>
      <c r="D48" s="113">
        <v>0.0030181075955103983</v>
      </c>
      <c r="E48" s="113">
        <v>2.1425980108920646</v>
      </c>
      <c r="F48" s="80" t="s">
        <v>4356</v>
      </c>
      <c r="G48" s="80" t="b">
        <v>0</v>
      </c>
      <c r="H48" s="80" t="b">
        <v>0</v>
      </c>
      <c r="I48" s="80" t="b">
        <v>0</v>
      </c>
      <c r="J48" s="80" t="b">
        <v>0</v>
      </c>
      <c r="K48" s="80" t="b">
        <v>0</v>
      </c>
      <c r="L48" s="80" t="b">
        <v>0</v>
      </c>
    </row>
    <row r="49" spans="1:12" ht="15">
      <c r="A49" s="112" t="s">
        <v>2725</v>
      </c>
      <c r="B49" s="112" t="s">
        <v>4123</v>
      </c>
      <c r="C49" s="80">
        <v>4</v>
      </c>
      <c r="D49" s="113">
        <v>0.0030181075955103983</v>
      </c>
      <c r="E49" s="113">
        <v>0.2852655144607961</v>
      </c>
      <c r="F49" s="80" t="s">
        <v>4356</v>
      </c>
      <c r="G49" s="80" t="b">
        <v>0</v>
      </c>
      <c r="H49" s="80" t="b">
        <v>0</v>
      </c>
      <c r="I49" s="80" t="b">
        <v>0</v>
      </c>
      <c r="J49" s="80" t="b">
        <v>0</v>
      </c>
      <c r="K49" s="80" t="b">
        <v>0</v>
      </c>
      <c r="L49" s="80" t="b">
        <v>0</v>
      </c>
    </row>
    <row r="50" spans="1:12" ht="15">
      <c r="A50" s="112" t="s">
        <v>2725</v>
      </c>
      <c r="B50" s="112" t="s">
        <v>2874</v>
      </c>
      <c r="C50" s="80">
        <v>4</v>
      </c>
      <c r="D50" s="113">
        <v>0.0030181075955103983</v>
      </c>
      <c r="E50" s="113">
        <v>0.6954399795498454</v>
      </c>
      <c r="F50" s="80" t="s">
        <v>4356</v>
      </c>
      <c r="G50" s="80" t="b">
        <v>0</v>
      </c>
      <c r="H50" s="80" t="b">
        <v>0</v>
      </c>
      <c r="I50" s="80" t="b">
        <v>0</v>
      </c>
      <c r="J50" s="80" t="b">
        <v>0</v>
      </c>
      <c r="K50" s="80" t="b">
        <v>0</v>
      </c>
      <c r="L50" s="80" t="b">
        <v>0</v>
      </c>
    </row>
    <row r="51" spans="1:12" ht="15">
      <c r="A51" s="112" t="s">
        <v>4132</v>
      </c>
      <c r="B51" s="112" t="s">
        <v>4124</v>
      </c>
      <c r="C51" s="80">
        <v>4</v>
      </c>
      <c r="D51" s="113">
        <v>0.00354255009666716</v>
      </c>
      <c r="E51" s="113">
        <v>0.7461080686152598</v>
      </c>
      <c r="F51" s="80" t="s">
        <v>4356</v>
      </c>
      <c r="G51" s="80" t="b">
        <v>0</v>
      </c>
      <c r="H51" s="80" t="b">
        <v>0</v>
      </c>
      <c r="I51" s="80" t="b">
        <v>0</v>
      </c>
      <c r="J51" s="80" t="b">
        <v>0</v>
      </c>
      <c r="K51" s="80" t="b">
        <v>0</v>
      </c>
      <c r="L51" s="80" t="b">
        <v>0</v>
      </c>
    </row>
    <row r="52" spans="1:12" ht="15">
      <c r="A52" s="112" t="s">
        <v>4122</v>
      </c>
      <c r="B52" s="112" t="s">
        <v>4143</v>
      </c>
      <c r="C52" s="80">
        <v>4</v>
      </c>
      <c r="D52" s="113">
        <v>0.0030181075955103983</v>
      </c>
      <c r="E52" s="113">
        <v>0.6700853418124647</v>
      </c>
      <c r="F52" s="80" t="s">
        <v>4356</v>
      </c>
      <c r="G52" s="80" t="b">
        <v>0</v>
      </c>
      <c r="H52" s="80" t="b">
        <v>0</v>
      </c>
      <c r="I52" s="80" t="b">
        <v>0</v>
      </c>
      <c r="J52" s="80" t="b">
        <v>0</v>
      </c>
      <c r="K52" s="80" t="b">
        <v>0</v>
      </c>
      <c r="L52" s="80" t="b">
        <v>0</v>
      </c>
    </row>
    <row r="53" spans="1:12" ht="15">
      <c r="A53" s="112" t="s">
        <v>4225</v>
      </c>
      <c r="B53" s="112" t="s">
        <v>4204</v>
      </c>
      <c r="C53" s="80">
        <v>4</v>
      </c>
      <c r="D53" s="113">
        <v>0.0030181075955103983</v>
      </c>
      <c r="E53" s="113">
        <v>2.364446760508421</v>
      </c>
      <c r="F53" s="80" t="s">
        <v>4356</v>
      </c>
      <c r="G53" s="80" t="b">
        <v>0</v>
      </c>
      <c r="H53" s="80" t="b">
        <v>1</v>
      </c>
      <c r="I53" s="80" t="b">
        <v>0</v>
      </c>
      <c r="J53" s="80" t="b">
        <v>0</v>
      </c>
      <c r="K53" s="80" t="b">
        <v>0</v>
      </c>
      <c r="L53" s="80" t="b">
        <v>0</v>
      </c>
    </row>
    <row r="54" spans="1:12" ht="15">
      <c r="A54" s="112" t="s">
        <v>4291</v>
      </c>
      <c r="B54" s="112" t="s">
        <v>4269</v>
      </c>
      <c r="C54" s="80">
        <v>4</v>
      </c>
      <c r="D54" s="113">
        <v>0.004066992597823921</v>
      </c>
      <c r="E54" s="113">
        <v>2.619719265611727</v>
      </c>
      <c r="F54" s="80" t="s">
        <v>4356</v>
      </c>
      <c r="G54" s="80" t="b">
        <v>0</v>
      </c>
      <c r="H54" s="80" t="b">
        <v>0</v>
      </c>
      <c r="I54" s="80" t="b">
        <v>0</v>
      </c>
      <c r="J54" s="80" t="b">
        <v>0</v>
      </c>
      <c r="K54" s="80" t="b">
        <v>0</v>
      </c>
      <c r="L54" s="80" t="b">
        <v>0</v>
      </c>
    </row>
    <row r="55" spans="1:12" ht="15">
      <c r="A55" s="112" t="s">
        <v>4239</v>
      </c>
      <c r="B55" s="112" t="s">
        <v>4272</v>
      </c>
      <c r="C55" s="80">
        <v>3</v>
      </c>
      <c r="D55" s="113">
        <v>0.0024268281747795322</v>
      </c>
      <c r="E55" s="113">
        <v>2.8415680152280833</v>
      </c>
      <c r="F55" s="80" t="s">
        <v>4356</v>
      </c>
      <c r="G55" s="80" t="b">
        <v>0</v>
      </c>
      <c r="H55" s="80" t="b">
        <v>0</v>
      </c>
      <c r="I55" s="80" t="b">
        <v>0</v>
      </c>
      <c r="J55" s="80" t="b">
        <v>0</v>
      </c>
      <c r="K55" s="80" t="b">
        <v>0</v>
      </c>
      <c r="L55" s="80" t="b">
        <v>0</v>
      </c>
    </row>
    <row r="56" spans="1:12" ht="15">
      <c r="A56" s="112" t="s">
        <v>4167</v>
      </c>
      <c r="B56" s="112" t="s">
        <v>4136</v>
      </c>
      <c r="C56" s="80">
        <v>3</v>
      </c>
      <c r="D56" s="113">
        <v>0.0024268281747795322</v>
      </c>
      <c r="E56" s="113">
        <v>1.348652493325189</v>
      </c>
      <c r="F56" s="80" t="s">
        <v>4356</v>
      </c>
      <c r="G56" s="80" t="b">
        <v>0</v>
      </c>
      <c r="H56" s="80" t="b">
        <v>0</v>
      </c>
      <c r="I56" s="80" t="b">
        <v>0</v>
      </c>
      <c r="J56" s="80" t="b">
        <v>0</v>
      </c>
      <c r="K56" s="80" t="b">
        <v>0</v>
      </c>
      <c r="L56" s="80" t="b">
        <v>0</v>
      </c>
    </row>
    <row r="57" spans="1:12" ht="15">
      <c r="A57" s="112" t="s">
        <v>4124</v>
      </c>
      <c r="B57" s="112" t="s">
        <v>4142</v>
      </c>
      <c r="C57" s="80">
        <v>3</v>
      </c>
      <c r="D57" s="113">
        <v>0.0024268281747795322</v>
      </c>
      <c r="E57" s="113">
        <v>1.1118633939158962</v>
      </c>
      <c r="F57" s="80" t="s">
        <v>4356</v>
      </c>
      <c r="G57" s="80" t="b">
        <v>0</v>
      </c>
      <c r="H57" s="80" t="b">
        <v>0</v>
      </c>
      <c r="I57" s="80" t="b">
        <v>0</v>
      </c>
      <c r="J57" s="80" t="b">
        <v>0</v>
      </c>
      <c r="K57" s="80" t="b">
        <v>0</v>
      </c>
      <c r="L57" s="80" t="b">
        <v>0</v>
      </c>
    </row>
    <row r="58" spans="1:12" ht="15">
      <c r="A58" s="112" t="s">
        <v>4175</v>
      </c>
      <c r="B58" s="112" t="s">
        <v>4297</v>
      </c>
      <c r="C58" s="80">
        <v>3</v>
      </c>
      <c r="D58" s="113">
        <v>0.0024268281747795322</v>
      </c>
      <c r="E58" s="113">
        <v>2.415599282955802</v>
      </c>
      <c r="F58" s="80" t="s">
        <v>4356</v>
      </c>
      <c r="G58" s="80" t="b">
        <v>0</v>
      </c>
      <c r="H58" s="80" t="b">
        <v>0</v>
      </c>
      <c r="I58" s="80" t="b">
        <v>0</v>
      </c>
      <c r="J58" s="80" t="b">
        <v>0</v>
      </c>
      <c r="K58" s="80" t="b">
        <v>0</v>
      </c>
      <c r="L58" s="80" t="b">
        <v>0</v>
      </c>
    </row>
    <row r="59" spans="1:12" ht="15">
      <c r="A59" s="112" t="s">
        <v>4124</v>
      </c>
      <c r="B59" s="112" t="s">
        <v>2874</v>
      </c>
      <c r="C59" s="80">
        <v>3</v>
      </c>
      <c r="D59" s="113">
        <v>0.0024268281747795322</v>
      </c>
      <c r="E59" s="113">
        <v>0.3337121435322525</v>
      </c>
      <c r="F59" s="80" t="s">
        <v>4356</v>
      </c>
      <c r="G59" s="80" t="b">
        <v>0</v>
      </c>
      <c r="H59" s="80" t="b">
        <v>0</v>
      </c>
      <c r="I59" s="80" t="b">
        <v>0</v>
      </c>
      <c r="J59" s="80" t="b">
        <v>0</v>
      </c>
      <c r="K59" s="80" t="b">
        <v>0</v>
      </c>
      <c r="L59" s="80" t="b">
        <v>0</v>
      </c>
    </row>
    <row r="60" spans="1:12" ht="15">
      <c r="A60" s="112" t="s">
        <v>4153</v>
      </c>
      <c r="B60" s="112" t="s">
        <v>2874</v>
      </c>
      <c r="C60" s="80">
        <v>3</v>
      </c>
      <c r="D60" s="113">
        <v>0.0026569125725003705</v>
      </c>
      <c r="E60" s="113">
        <v>0.9964699752138266</v>
      </c>
      <c r="F60" s="80" t="s">
        <v>4356</v>
      </c>
      <c r="G60" s="80" t="b">
        <v>0</v>
      </c>
      <c r="H60" s="80" t="b">
        <v>0</v>
      </c>
      <c r="I60" s="80" t="b">
        <v>0</v>
      </c>
      <c r="J60" s="80" t="b">
        <v>0</v>
      </c>
      <c r="K60" s="80" t="b">
        <v>0</v>
      </c>
      <c r="L60" s="80" t="b">
        <v>0</v>
      </c>
    </row>
    <row r="61" spans="1:12" ht="15">
      <c r="A61" s="112" t="s">
        <v>4136</v>
      </c>
      <c r="B61" s="112" t="s">
        <v>4123</v>
      </c>
      <c r="C61" s="80">
        <v>3</v>
      </c>
      <c r="D61" s="113">
        <v>0.0024268281747795322</v>
      </c>
      <c r="E61" s="113">
        <v>0.3152287378382394</v>
      </c>
      <c r="F61" s="80" t="s">
        <v>4356</v>
      </c>
      <c r="G61" s="80" t="b">
        <v>0</v>
      </c>
      <c r="H61" s="80" t="b">
        <v>0</v>
      </c>
      <c r="I61" s="80" t="b">
        <v>0</v>
      </c>
      <c r="J61" s="80" t="b">
        <v>0</v>
      </c>
      <c r="K61" s="80" t="b">
        <v>0</v>
      </c>
      <c r="L61" s="80" t="b">
        <v>0</v>
      </c>
    </row>
    <row r="62" spans="1:12" ht="15">
      <c r="A62" s="112" t="s">
        <v>4136</v>
      </c>
      <c r="B62" s="112" t="s">
        <v>4155</v>
      </c>
      <c r="C62" s="80">
        <v>3</v>
      </c>
      <c r="D62" s="113">
        <v>0.0024268281747795322</v>
      </c>
      <c r="E62" s="113">
        <v>1.5705012429415455</v>
      </c>
      <c r="F62" s="80" t="s">
        <v>4356</v>
      </c>
      <c r="G62" s="80" t="b">
        <v>0</v>
      </c>
      <c r="H62" s="80" t="b">
        <v>0</v>
      </c>
      <c r="I62" s="80" t="b">
        <v>0</v>
      </c>
      <c r="J62" s="80" t="b">
        <v>0</v>
      </c>
      <c r="K62" s="80" t="b">
        <v>0</v>
      </c>
      <c r="L62" s="80" t="b">
        <v>0</v>
      </c>
    </row>
    <row r="63" spans="1:12" ht="15">
      <c r="A63" s="112" t="s">
        <v>4122</v>
      </c>
      <c r="B63" s="112" t="s">
        <v>4131</v>
      </c>
      <c r="C63" s="80">
        <v>3</v>
      </c>
      <c r="D63" s="113">
        <v>0.0024268281747795322</v>
      </c>
      <c r="E63" s="113">
        <v>0.12761104046874638</v>
      </c>
      <c r="F63" s="80" t="s">
        <v>4356</v>
      </c>
      <c r="G63" s="80" t="b">
        <v>0</v>
      </c>
      <c r="H63" s="80" t="b">
        <v>0</v>
      </c>
      <c r="I63" s="80" t="b">
        <v>0</v>
      </c>
      <c r="J63" s="80" t="b">
        <v>0</v>
      </c>
      <c r="K63" s="80" t="b">
        <v>0</v>
      </c>
      <c r="L63" s="80" t="b">
        <v>0</v>
      </c>
    </row>
    <row r="64" spans="1:12" ht="15">
      <c r="A64" s="112" t="s">
        <v>4125</v>
      </c>
      <c r="B64" s="112" t="s">
        <v>4140</v>
      </c>
      <c r="C64" s="80">
        <v>3</v>
      </c>
      <c r="D64" s="113">
        <v>0.0024268281747795322</v>
      </c>
      <c r="E64" s="113">
        <v>0.678207832977324</v>
      </c>
      <c r="F64" s="80" t="s">
        <v>4356</v>
      </c>
      <c r="G64" s="80" t="b">
        <v>0</v>
      </c>
      <c r="H64" s="80" t="b">
        <v>0</v>
      </c>
      <c r="I64" s="80" t="b">
        <v>0</v>
      </c>
      <c r="J64" s="80" t="b">
        <v>0</v>
      </c>
      <c r="K64" s="80" t="b">
        <v>0</v>
      </c>
      <c r="L64" s="80" t="b">
        <v>0</v>
      </c>
    </row>
    <row r="65" spans="1:12" ht="15">
      <c r="A65" s="112" t="s">
        <v>4236</v>
      </c>
      <c r="B65" s="112" t="s">
        <v>4252</v>
      </c>
      <c r="C65" s="80">
        <v>3</v>
      </c>
      <c r="D65" s="113">
        <v>0.0024268281747795322</v>
      </c>
      <c r="E65" s="113">
        <v>2.7166292786197834</v>
      </c>
      <c r="F65" s="80" t="s">
        <v>4356</v>
      </c>
      <c r="G65" s="80" t="b">
        <v>0</v>
      </c>
      <c r="H65" s="80" t="b">
        <v>0</v>
      </c>
      <c r="I65" s="80" t="b">
        <v>0</v>
      </c>
      <c r="J65" s="80" t="b">
        <v>0</v>
      </c>
      <c r="K65" s="80" t="b">
        <v>0</v>
      </c>
      <c r="L65" s="80" t="b">
        <v>0</v>
      </c>
    </row>
    <row r="66" spans="1:12" ht="15">
      <c r="A66" s="112" t="s">
        <v>4252</v>
      </c>
      <c r="B66" s="112" t="s">
        <v>4237</v>
      </c>
      <c r="C66" s="80">
        <v>3</v>
      </c>
      <c r="D66" s="113">
        <v>0.0024268281747795322</v>
      </c>
      <c r="E66" s="113">
        <v>2.5916905420114835</v>
      </c>
      <c r="F66" s="80" t="s">
        <v>4356</v>
      </c>
      <c r="G66" s="80" t="b">
        <v>0</v>
      </c>
      <c r="H66" s="80" t="b">
        <v>0</v>
      </c>
      <c r="I66" s="80" t="b">
        <v>0</v>
      </c>
      <c r="J66" s="80" t="b">
        <v>0</v>
      </c>
      <c r="K66" s="80" t="b">
        <v>0</v>
      </c>
      <c r="L66" s="80" t="b">
        <v>0</v>
      </c>
    </row>
    <row r="67" spans="1:12" ht="15">
      <c r="A67" s="112" t="s">
        <v>4132</v>
      </c>
      <c r="B67" s="112" t="s">
        <v>2874</v>
      </c>
      <c r="C67" s="80">
        <v>3</v>
      </c>
      <c r="D67" s="113">
        <v>0.0024268281747795322</v>
      </c>
      <c r="E67" s="113">
        <v>0.810833398251915</v>
      </c>
      <c r="F67" s="80" t="s">
        <v>4356</v>
      </c>
      <c r="G67" s="80" t="b">
        <v>0</v>
      </c>
      <c r="H67" s="80" t="b">
        <v>0</v>
      </c>
      <c r="I67" s="80" t="b">
        <v>0</v>
      </c>
      <c r="J67" s="80" t="b">
        <v>0</v>
      </c>
      <c r="K67" s="80" t="b">
        <v>0</v>
      </c>
      <c r="L67" s="80" t="b">
        <v>0</v>
      </c>
    </row>
    <row r="68" spans="1:12" ht="15">
      <c r="A68" s="112" t="s">
        <v>4133</v>
      </c>
      <c r="B68" s="112" t="s">
        <v>4126</v>
      </c>
      <c r="C68" s="80">
        <v>3</v>
      </c>
      <c r="D68" s="113">
        <v>0.0024268281747795322</v>
      </c>
      <c r="E68" s="113">
        <v>0.5741355275966394</v>
      </c>
      <c r="F68" s="80" t="s">
        <v>4356</v>
      </c>
      <c r="G68" s="80" t="b">
        <v>0</v>
      </c>
      <c r="H68" s="80" t="b">
        <v>0</v>
      </c>
      <c r="I68" s="80" t="b">
        <v>0</v>
      </c>
      <c r="J68" s="80" t="b">
        <v>0</v>
      </c>
      <c r="K68" s="80" t="b">
        <v>0</v>
      </c>
      <c r="L68" s="80" t="b">
        <v>0</v>
      </c>
    </row>
    <row r="69" spans="1:12" ht="15">
      <c r="A69" s="112" t="s">
        <v>2725</v>
      </c>
      <c r="B69" s="112" t="s">
        <v>4127</v>
      </c>
      <c r="C69" s="80">
        <v>3</v>
      </c>
      <c r="D69" s="113">
        <v>0.0024268281747795322</v>
      </c>
      <c r="E69" s="113">
        <v>0.43032253977650864</v>
      </c>
      <c r="F69" s="80" t="s">
        <v>4356</v>
      </c>
      <c r="G69" s="80" t="b">
        <v>0</v>
      </c>
      <c r="H69" s="80" t="b">
        <v>0</v>
      </c>
      <c r="I69" s="80" t="b">
        <v>0</v>
      </c>
      <c r="J69" s="80" t="b">
        <v>0</v>
      </c>
      <c r="K69" s="80" t="b">
        <v>0</v>
      </c>
      <c r="L69" s="80" t="b">
        <v>0</v>
      </c>
    </row>
    <row r="70" spans="1:12" ht="15">
      <c r="A70" s="112" t="s">
        <v>4127</v>
      </c>
      <c r="B70" s="112" t="s">
        <v>2874</v>
      </c>
      <c r="C70" s="80">
        <v>3</v>
      </c>
      <c r="D70" s="113">
        <v>0.0024268281747795322</v>
      </c>
      <c r="E70" s="113">
        <v>0.47359122993348907</v>
      </c>
      <c r="F70" s="80" t="s">
        <v>4356</v>
      </c>
      <c r="G70" s="80" t="b">
        <v>0</v>
      </c>
      <c r="H70" s="80" t="b">
        <v>0</v>
      </c>
      <c r="I70" s="80" t="b">
        <v>0</v>
      </c>
      <c r="J70" s="80" t="b">
        <v>0</v>
      </c>
      <c r="K70" s="80" t="b">
        <v>0</v>
      </c>
      <c r="L70" s="80" t="b">
        <v>0</v>
      </c>
    </row>
    <row r="71" spans="1:12" ht="15">
      <c r="A71" s="112" t="s">
        <v>2874</v>
      </c>
      <c r="B71" s="112" t="s">
        <v>2725</v>
      </c>
      <c r="C71" s="80">
        <v>3</v>
      </c>
      <c r="D71" s="113">
        <v>0.0024268281747795322</v>
      </c>
      <c r="E71" s="113">
        <v>0.7087393187608728</v>
      </c>
      <c r="F71" s="80" t="s">
        <v>4356</v>
      </c>
      <c r="G71" s="80" t="b">
        <v>0</v>
      </c>
      <c r="H71" s="80" t="b">
        <v>0</v>
      </c>
      <c r="I71" s="80" t="b">
        <v>0</v>
      </c>
      <c r="J71" s="80" t="b">
        <v>0</v>
      </c>
      <c r="K71" s="80" t="b">
        <v>0</v>
      </c>
      <c r="L71" s="80" t="b">
        <v>0</v>
      </c>
    </row>
    <row r="72" spans="1:12" ht="15">
      <c r="A72" s="112" t="s">
        <v>4188</v>
      </c>
      <c r="B72" s="112" t="s">
        <v>4147</v>
      </c>
      <c r="C72" s="80">
        <v>3</v>
      </c>
      <c r="D72" s="113">
        <v>0.0026569125725003705</v>
      </c>
      <c r="E72" s="113">
        <v>1.9828971680245526</v>
      </c>
      <c r="F72" s="80" t="s">
        <v>4356</v>
      </c>
      <c r="G72" s="80" t="b">
        <v>0</v>
      </c>
      <c r="H72" s="80" t="b">
        <v>0</v>
      </c>
      <c r="I72" s="80" t="b">
        <v>0</v>
      </c>
      <c r="J72" s="80" t="b">
        <v>0</v>
      </c>
      <c r="K72" s="80" t="b">
        <v>0</v>
      </c>
      <c r="L72" s="80" t="b">
        <v>0</v>
      </c>
    </row>
    <row r="73" spans="1:12" ht="15">
      <c r="A73" s="112" t="s">
        <v>4134</v>
      </c>
      <c r="B73" s="112" t="s">
        <v>4128</v>
      </c>
      <c r="C73" s="80">
        <v>3</v>
      </c>
      <c r="D73" s="113">
        <v>0.0024268281747795322</v>
      </c>
      <c r="E73" s="113">
        <v>0.7652108027014572</v>
      </c>
      <c r="F73" s="80" t="s">
        <v>4356</v>
      </c>
      <c r="G73" s="80" t="b">
        <v>0</v>
      </c>
      <c r="H73" s="80" t="b">
        <v>0</v>
      </c>
      <c r="I73" s="80" t="b">
        <v>0</v>
      </c>
      <c r="J73" s="80" t="b">
        <v>0</v>
      </c>
      <c r="K73" s="80" t="b">
        <v>0</v>
      </c>
      <c r="L73" s="80" t="b">
        <v>0</v>
      </c>
    </row>
    <row r="74" spans="1:12" ht="15">
      <c r="A74" s="112" t="s">
        <v>4150</v>
      </c>
      <c r="B74" s="112" t="s">
        <v>4221</v>
      </c>
      <c r="C74" s="80">
        <v>3</v>
      </c>
      <c r="D74" s="113">
        <v>0.003050244448367941</v>
      </c>
      <c r="E74" s="113">
        <v>2.06341676484444</v>
      </c>
      <c r="F74" s="80" t="s">
        <v>4356</v>
      </c>
      <c r="G74" s="80" t="b">
        <v>0</v>
      </c>
      <c r="H74" s="80" t="b">
        <v>0</v>
      </c>
      <c r="I74" s="80" t="b">
        <v>0</v>
      </c>
      <c r="J74" s="80" t="b">
        <v>0</v>
      </c>
      <c r="K74" s="80" t="b">
        <v>0</v>
      </c>
      <c r="L74" s="80" t="b">
        <v>0</v>
      </c>
    </row>
    <row r="75" spans="1:12" ht="15">
      <c r="A75" s="112" t="s">
        <v>4222</v>
      </c>
      <c r="B75" s="112" t="s">
        <v>4122</v>
      </c>
      <c r="C75" s="80">
        <v>3</v>
      </c>
      <c r="D75" s="113">
        <v>0.0024268281747795322</v>
      </c>
      <c r="E75" s="113">
        <v>0.9795692246756252</v>
      </c>
      <c r="F75" s="80" t="s">
        <v>4356</v>
      </c>
      <c r="G75" s="80" t="b">
        <v>0</v>
      </c>
      <c r="H75" s="80" t="b">
        <v>0</v>
      </c>
      <c r="I75" s="80" t="b">
        <v>0</v>
      </c>
      <c r="J75" s="80" t="b">
        <v>0</v>
      </c>
      <c r="K75" s="80" t="b">
        <v>0</v>
      </c>
      <c r="L75" s="80" t="b">
        <v>0</v>
      </c>
    </row>
    <row r="76" spans="1:12" ht="15">
      <c r="A76" s="112" t="s">
        <v>4137</v>
      </c>
      <c r="B76" s="112" t="s">
        <v>4124</v>
      </c>
      <c r="C76" s="80">
        <v>3</v>
      </c>
      <c r="D76" s="113">
        <v>0.0026569125725003705</v>
      </c>
      <c r="E76" s="113">
        <v>0.8068059089688715</v>
      </c>
      <c r="F76" s="80" t="s">
        <v>4356</v>
      </c>
      <c r="G76" s="80" t="b">
        <v>0</v>
      </c>
      <c r="H76" s="80" t="b">
        <v>0</v>
      </c>
      <c r="I76" s="80" t="b">
        <v>0</v>
      </c>
      <c r="J76" s="80" t="b">
        <v>0</v>
      </c>
      <c r="K76" s="80" t="b">
        <v>0</v>
      </c>
      <c r="L76" s="80" t="b">
        <v>0</v>
      </c>
    </row>
    <row r="77" spans="1:12" ht="15">
      <c r="A77" s="112" t="s">
        <v>4121</v>
      </c>
      <c r="B77" s="112" t="s">
        <v>4128</v>
      </c>
      <c r="C77" s="80">
        <v>3</v>
      </c>
      <c r="D77" s="113">
        <v>0.0024268281747795322</v>
      </c>
      <c r="E77" s="113">
        <v>1.1573212677127709</v>
      </c>
      <c r="F77" s="80" t="s">
        <v>4356</v>
      </c>
      <c r="G77" s="80" t="b">
        <v>1</v>
      </c>
      <c r="H77" s="80" t="b">
        <v>0</v>
      </c>
      <c r="I77" s="80" t="b">
        <v>0</v>
      </c>
      <c r="J77" s="80" t="b">
        <v>0</v>
      </c>
      <c r="K77" s="80" t="b">
        <v>0</v>
      </c>
      <c r="L77" s="80" t="b">
        <v>0</v>
      </c>
    </row>
    <row r="78" spans="1:12" ht="15">
      <c r="A78" s="112" t="s">
        <v>4129</v>
      </c>
      <c r="B78" s="112" t="s">
        <v>4122</v>
      </c>
      <c r="C78" s="80">
        <v>3</v>
      </c>
      <c r="D78" s="113">
        <v>0.0024268281747795322</v>
      </c>
      <c r="E78" s="113">
        <v>0.18717753517737135</v>
      </c>
      <c r="F78" s="80" t="s">
        <v>4356</v>
      </c>
      <c r="G78" s="80" t="b">
        <v>0</v>
      </c>
      <c r="H78" s="80" t="b">
        <v>0</v>
      </c>
      <c r="I78" s="80" t="b">
        <v>0</v>
      </c>
      <c r="J78" s="80" t="b">
        <v>0</v>
      </c>
      <c r="K78" s="80" t="b">
        <v>0</v>
      </c>
      <c r="L78" s="80" t="b">
        <v>0</v>
      </c>
    </row>
    <row r="79" spans="1:12" ht="15">
      <c r="A79" s="112" t="s">
        <v>4129</v>
      </c>
      <c r="B79" s="112" t="s">
        <v>4123</v>
      </c>
      <c r="C79" s="80">
        <v>3</v>
      </c>
      <c r="D79" s="113">
        <v>0.0026569125725003705</v>
      </c>
      <c r="E79" s="113">
        <v>0.271025075346186</v>
      </c>
      <c r="F79" s="80" t="s">
        <v>4356</v>
      </c>
      <c r="G79" s="80" t="b">
        <v>0</v>
      </c>
      <c r="H79" s="80" t="b">
        <v>0</v>
      </c>
      <c r="I79" s="80" t="b">
        <v>0</v>
      </c>
      <c r="J79" s="80" t="b">
        <v>0</v>
      </c>
      <c r="K79" s="80" t="b">
        <v>0</v>
      </c>
      <c r="L79" s="80" t="b">
        <v>0</v>
      </c>
    </row>
    <row r="80" spans="1:12" ht="15">
      <c r="A80" s="112" t="s">
        <v>4177</v>
      </c>
      <c r="B80" s="112" t="s">
        <v>4147</v>
      </c>
      <c r="C80" s="80">
        <v>3</v>
      </c>
      <c r="D80" s="113">
        <v>0.0026569125725003705</v>
      </c>
      <c r="E80" s="113">
        <v>1.7276246629212466</v>
      </c>
      <c r="F80" s="80" t="s">
        <v>4356</v>
      </c>
      <c r="G80" s="80" t="b">
        <v>0</v>
      </c>
      <c r="H80" s="80" t="b">
        <v>0</v>
      </c>
      <c r="I80" s="80" t="b">
        <v>0</v>
      </c>
      <c r="J80" s="80" t="b">
        <v>0</v>
      </c>
      <c r="K80" s="80" t="b">
        <v>0</v>
      </c>
      <c r="L80" s="80" t="b">
        <v>0</v>
      </c>
    </row>
    <row r="81" spans="1:12" ht="15">
      <c r="A81" s="112" t="s">
        <v>2725</v>
      </c>
      <c r="B81" s="112" t="s">
        <v>2725</v>
      </c>
      <c r="C81" s="80">
        <v>3</v>
      </c>
      <c r="D81" s="113">
        <v>0.0024268281747795322</v>
      </c>
      <c r="E81" s="113">
        <v>0.7787771853686279</v>
      </c>
      <c r="F81" s="80" t="s">
        <v>4356</v>
      </c>
      <c r="G81" s="80" t="b">
        <v>0</v>
      </c>
      <c r="H81" s="80" t="b">
        <v>0</v>
      </c>
      <c r="I81" s="80" t="b">
        <v>0</v>
      </c>
      <c r="J81" s="80" t="b">
        <v>0</v>
      </c>
      <c r="K81" s="80" t="b">
        <v>0</v>
      </c>
      <c r="L81" s="80" t="b">
        <v>0</v>
      </c>
    </row>
    <row r="82" spans="1:12" ht="15">
      <c r="A82" s="112" t="s">
        <v>4147</v>
      </c>
      <c r="B82" s="112" t="s">
        <v>4199</v>
      </c>
      <c r="C82" s="80">
        <v>3</v>
      </c>
      <c r="D82" s="113">
        <v>0.0026569125725003705</v>
      </c>
      <c r="E82" s="113">
        <v>2.2395080239001213</v>
      </c>
      <c r="F82" s="80" t="s">
        <v>4356</v>
      </c>
      <c r="G82" s="80" t="b">
        <v>0</v>
      </c>
      <c r="H82" s="80" t="b">
        <v>0</v>
      </c>
      <c r="I82" s="80" t="b">
        <v>0</v>
      </c>
      <c r="J82" s="80" t="b">
        <v>0</v>
      </c>
      <c r="K82" s="80" t="b">
        <v>0</v>
      </c>
      <c r="L82" s="80" t="b">
        <v>0</v>
      </c>
    </row>
    <row r="83" spans="1:12" ht="15">
      <c r="A83" s="112" t="s">
        <v>4143</v>
      </c>
      <c r="B83" s="112" t="s">
        <v>4122</v>
      </c>
      <c r="C83" s="80">
        <v>3</v>
      </c>
      <c r="D83" s="113">
        <v>0.0024268281747795322</v>
      </c>
      <c r="E83" s="113">
        <v>0.678539229011644</v>
      </c>
      <c r="F83" s="80" t="s">
        <v>4356</v>
      </c>
      <c r="G83" s="80" t="b">
        <v>0</v>
      </c>
      <c r="H83" s="80" t="b">
        <v>0</v>
      </c>
      <c r="I83" s="80" t="b">
        <v>0</v>
      </c>
      <c r="J83" s="80" t="b">
        <v>0</v>
      </c>
      <c r="K83" s="80" t="b">
        <v>0</v>
      </c>
      <c r="L83" s="80" t="b">
        <v>0</v>
      </c>
    </row>
    <row r="84" spans="1:12" ht="15">
      <c r="A84" s="112" t="s">
        <v>4122</v>
      </c>
      <c r="B84" s="112" t="s">
        <v>4123</v>
      </c>
      <c r="C84" s="80">
        <v>3</v>
      </c>
      <c r="D84" s="113">
        <v>0.0024268281747795322</v>
      </c>
      <c r="E84" s="113">
        <v>-0.3743337979759482</v>
      </c>
      <c r="F84" s="80" t="s">
        <v>4356</v>
      </c>
      <c r="G84" s="80" t="b">
        <v>0</v>
      </c>
      <c r="H84" s="80" t="b">
        <v>0</v>
      </c>
      <c r="I84" s="80" t="b">
        <v>0</v>
      </c>
      <c r="J84" s="80" t="b">
        <v>0</v>
      </c>
      <c r="K84" s="80" t="b">
        <v>0</v>
      </c>
      <c r="L84" s="80" t="b">
        <v>0</v>
      </c>
    </row>
    <row r="85" spans="1:12" ht="15">
      <c r="A85" s="112" t="s">
        <v>4122</v>
      </c>
      <c r="B85" s="112" t="s">
        <v>4304</v>
      </c>
      <c r="C85" s="80">
        <v>3</v>
      </c>
      <c r="D85" s="113">
        <v>0.0024268281747795322</v>
      </c>
      <c r="E85" s="113">
        <v>1.181968702791339</v>
      </c>
      <c r="F85" s="80" t="s">
        <v>4356</v>
      </c>
      <c r="G85" s="80" t="b">
        <v>0</v>
      </c>
      <c r="H85" s="80" t="b">
        <v>0</v>
      </c>
      <c r="I85" s="80" t="b">
        <v>0</v>
      </c>
      <c r="J85" s="80" t="b">
        <v>0</v>
      </c>
      <c r="K85" s="80" t="b">
        <v>0</v>
      </c>
      <c r="L85" s="80" t="b">
        <v>0</v>
      </c>
    </row>
    <row r="86" spans="1:12" ht="15">
      <c r="A86" s="112" t="s">
        <v>4304</v>
      </c>
      <c r="B86" s="112" t="s">
        <v>4305</v>
      </c>
      <c r="C86" s="80">
        <v>3</v>
      </c>
      <c r="D86" s="113">
        <v>0.0024268281747795322</v>
      </c>
      <c r="E86" s="113">
        <v>2.8415680152280833</v>
      </c>
      <c r="F86" s="80" t="s">
        <v>4356</v>
      </c>
      <c r="G86" s="80" t="b">
        <v>0</v>
      </c>
      <c r="H86" s="80" t="b">
        <v>0</v>
      </c>
      <c r="I86" s="80" t="b">
        <v>0</v>
      </c>
      <c r="J86" s="80" t="b">
        <v>0</v>
      </c>
      <c r="K86" s="80" t="b">
        <v>0</v>
      </c>
      <c r="L86" s="80" t="b">
        <v>0</v>
      </c>
    </row>
    <row r="87" spans="1:12" ht="15">
      <c r="A87" s="112" t="s">
        <v>4305</v>
      </c>
      <c r="B87" s="112" t="s">
        <v>4128</v>
      </c>
      <c r="C87" s="80">
        <v>3</v>
      </c>
      <c r="D87" s="113">
        <v>0.0024268281747795322</v>
      </c>
      <c r="E87" s="113">
        <v>1.8562912720487899</v>
      </c>
      <c r="F87" s="80" t="s">
        <v>4356</v>
      </c>
      <c r="G87" s="80" t="b">
        <v>0</v>
      </c>
      <c r="H87" s="80" t="b">
        <v>0</v>
      </c>
      <c r="I87" s="80" t="b">
        <v>0</v>
      </c>
      <c r="J87" s="80" t="b">
        <v>0</v>
      </c>
      <c r="K87" s="80" t="b">
        <v>0</v>
      </c>
      <c r="L87" s="80" t="b">
        <v>0</v>
      </c>
    </row>
    <row r="88" spans="1:12" ht="15">
      <c r="A88" s="112" t="s">
        <v>4128</v>
      </c>
      <c r="B88" s="112" t="s">
        <v>4306</v>
      </c>
      <c r="C88" s="80">
        <v>3</v>
      </c>
      <c r="D88" s="113">
        <v>0.0024268281747795322</v>
      </c>
      <c r="E88" s="113">
        <v>1.8873255057887586</v>
      </c>
      <c r="F88" s="80" t="s">
        <v>4356</v>
      </c>
      <c r="G88" s="80" t="b">
        <v>0</v>
      </c>
      <c r="H88" s="80" t="b">
        <v>0</v>
      </c>
      <c r="I88" s="80" t="b">
        <v>0</v>
      </c>
      <c r="J88" s="80" t="b">
        <v>0</v>
      </c>
      <c r="K88" s="80" t="b">
        <v>0</v>
      </c>
      <c r="L88" s="80" t="b">
        <v>0</v>
      </c>
    </row>
    <row r="89" spans="1:12" ht="15">
      <c r="A89" s="112" t="s">
        <v>4124</v>
      </c>
      <c r="B89" s="112" t="s">
        <v>4124</v>
      </c>
      <c r="C89" s="80">
        <v>3</v>
      </c>
      <c r="D89" s="113">
        <v>0.0026569125725003705</v>
      </c>
      <c r="E89" s="113">
        <v>0.14404807728729732</v>
      </c>
      <c r="F89" s="80" t="s">
        <v>4356</v>
      </c>
      <c r="G89" s="80" t="b">
        <v>0</v>
      </c>
      <c r="H89" s="80" t="b">
        <v>0</v>
      </c>
      <c r="I89" s="80" t="b">
        <v>0</v>
      </c>
      <c r="J89" s="80" t="b">
        <v>0</v>
      </c>
      <c r="K89" s="80" t="b">
        <v>0</v>
      </c>
      <c r="L89" s="80" t="b">
        <v>0</v>
      </c>
    </row>
    <row r="90" spans="1:12" ht="15">
      <c r="A90" s="112" t="s">
        <v>4124</v>
      </c>
      <c r="B90" s="112" t="s">
        <v>4164</v>
      </c>
      <c r="C90" s="80">
        <v>3</v>
      </c>
      <c r="D90" s="113">
        <v>0.0024268281747795322</v>
      </c>
      <c r="E90" s="113">
        <v>1.1118633939158962</v>
      </c>
      <c r="F90" s="80" t="s">
        <v>4356</v>
      </c>
      <c r="G90" s="80" t="b">
        <v>0</v>
      </c>
      <c r="H90" s="80" t="b">
        <v>0</v>
      </c>
      <c r="I90" s="80" t="b">
        <v>0</v>
      </c>
      <c r="J90" s="80" t="b">
        <v>0</v>
      </c>
      <c r="K90" s="80" t="b">
        <v>0</v>
      </c>
      <c r="L90" s="80" t="b">
        <v>0</v>
      </c>
    </row>
    <row r="91" spans="1:12" ht="15">
      <c r="A91" s="112" t="s">
        <v>2725</v>
      </c>
      <c r="B91" s="112" t="s">
        <v>4126</v>
      </c>
      <c r="C91" s="80">
        <v>3</v>
      </c>
      <c r="D91" s="113">
        <v>0.0024268281747795322</v>
      </c>
      <c r="E91" s="113">
        <v>0.6622716162971908</v>
      </c>
      <c r="F91" s="80" t="s">
        <v>4356</v>
      </c>
      <c r="G91" s="80" t="b">
        <v>0</v>
      </c>
      <c r="H91" s="80" t="b">
        <v>0</v>
      </c>
      <c r="I91" s="80" t="b">
        <v>0</v>
      </c>
      <c r="J91" s="80" t="b">
        <v>0</v>
      </c>
      <c r="K91" s="80" t="b">
        <v>0</v>
      </c>
      <c r="L91" s="80" t="b">
        <v>0</v>
      </c>
    </row>
    <row r="92" spans="1:12" ht="15">
      <c r="A92" s="112" t="s">
        <v>4128</v>
      </c>
      <c r="B92" s="112" t="s">
        <v>4143</v>
      </c>
      <c r="C92" s="80">
        <v>3</v>
      </c>
      <c r="D92" s="113">
        <v>0.0024268281747795322</v>
      </c>
      <c r="E92" s="113">
        <v>1.2505034082015842</v>
      </c>
      <c r="F92" s="80" t="s">
        <v>4356</v>
      </c>
      <c r="G92" s="80" t="b">
        <v>0</v>
      </c>
      <c r="H92" s="80" t="b">
        <v>0</v>
      </c>
      <c r="I92" s="80" t="b">
        <v>0</v>
      </c>
      <c r="J92" s="80" t="b">
        <v>0</v>
      </c>
      <c r="K92" s="80" t="b">
        <v>0</v>
      </c>
      <c r="L92" s="80" t="b">
        <v>0</v>
      </c>
    </row>
    <row r="93" spans="1:12" ht="15">
      <c r="A93" s="112" t="s">
        <v>4160</v>
      </c>
      <c r="B93" s="112" t="s">
        <v>4285</v>
      </c>
      <c r="C93" s="80">
        <v>3</v>
      </c>
      <c r="D93" s="113">
        <v>0.0024268281747795322</v>
      </c>
      <c r="E93" s="113">
        <v>2.0176592742837647</v>
      </c>
      <c r="F93" s="80" t="s">
        <v>4356</v>
      </c>
      <c r="G93" s="80" t="b">
        <v>0</v>
      </c>
      <c r="H93" s="80" t="b">
        <v>0</v>
      </c>
      <c r="I93" s="80" t="b">
        <v>0</v>
      </c>
      <c r="J93" s="80" t="b">
        <v>0</v>
      </c>
      <c r="K93" s="80" t="b">
        <v>0</v>
      </c>
      <c r="L93" s="80" t="b">
        <v>0</v>
      </c>
    </row>
    <row r="94" spans="1:12" ht="15">
      <c r="A94" s="112" t="s">
        <v>4261</v>
      </c>
      <c r="B94" s="112" t="s">
        <v>4136</v>
      </c>
      <c r="C94" s="80">
        <v>3</v>
      </c>
      <c r="D94" s="113">
        <v>0.003050244448367941</v>
      </c>
      <c r="E94" s="113">
        <v>1.8715312386055267</v>
      </c>
      <c r="F94" s="80" t="s">
        <v>4356</v>
      </c>
      <c r="G94" s="80" t="b">
        <v>0</v>
      </c>
      <c r="H94" s="80" t="b">
        <v>0</v>
      </c>
      <c r="I94" s="80" t="b">
        <v>0</v>
      </c>
      <c r="J94" s="80" t="b">
        <v>0</v>
      </c>
      <c r="K94" s="80" t="b">
        <v>0</v>
      </c>
      <c r="L94" s="80" t="b">
        <v>0</v>
      </c>
    </row>
    <row r="95" spans="1:12" ht="15">
      <c r="A95" s="112" t="s">
        <v>4230</v>
      </c>
      <c r="B95" s="112" t="s">
        <v>4180</v>
      </c>
      <c r="C95" s="80">
        <v>3</v>
      </c>
      <c r="D95" s="113">
        <v>0.0026569125725003705</v>
      </c>
      <c r="E95" s="113">
        <v>2.8415680152280833</v>
      </c>
      <c r="F95" s="80" t="s">
        <v>4356</v>
      </c>
      <c r="G95" s="80" t="b">
        <v>0</v>
      </c>
      <c r="H95" s="80" t="b">
        <v>0</v>
      </c>
      <c r="I95" s="80" t="b">
        <v>0</v>
      </c>
      <c r="J95" s="80" t="b">
        <v>0</v>
      </c>
      <c r="K95" s="80" t="b">
        <v>0</v>
      </c>
      <c r="L95" s="80" t="b">
        <v>0</v>
      </c>
    </row>
    <row r="96" spans="1:12" ht="15">
      <c r="A96" s="112" t="s">
        <v>4157</v>
      </c>
      <c r="B96" s="112" t="s">
        <v>4137</v>
      </c>
      <c r="C96" s="80">
        <v>3</v>
      </c>
      <c r="D96" s="113">
        <v>0.003050244448367941</v>
      </c>
      <c r="E96" s="113">
        <v>1.8135392916278399</v>
      </c>
      <c r="F96" s="80" t="s">
        <v>4356</v>
      </c>
      <c r="G96" s="80" t="b">
        <v>0</v>
      </c>
      <c r="H96" s="80" t="b">
        <v>0</v>
      </c>
      <c r="I96" s="80" t="b">
        <v>0</v>
      </c>
      <c r="J96" s="80" t="b">
        <v>0</v>
      </c>
      <c r="K96" s="80" t="b">
        <v>0</v>
      </c>
      <c r="L96" s="80" t="b">
        <v>0</v>
      </c>
    </row>
    <row r="97" spans="1:12" ht="15">
      <c r="A97" s="112" t="s">
        <v>4124</v>
      </c>
      <c r="B97" s="112" t="s">
        <v>4135</v>
      </c>
      <c r="C97" s="80">
        <v>3</v>
      </c>
      <c r="D97" s="113">
        <v>0.0024268281747795322</v>
      </c>
      <c r="E97" s="113">
        <v>0.8777801878825281</v>
      </c>
      <c r="F97" s="80" t="s">
        <v>4356</v>
      </c>
      <c r="G97" s="80" t="b">
        <v>0</v>
      </c>
      <c r="H97" s="80" t="b">
        <v>0</v>
      </c>
      <c r="I97" s="80" t="b">
        <v>0</v>
      </c>
      <c r="J97" s="80" t="b">
        <v>0</v>
      </c>
      <c r="K97" s="80" t="b">
        <v>0</v>
      </c>
      <c r="L97" s="80" t="b">
        <v>0</v>
      </c>
    </row>
    <row r="98" spans="1:12" ht="15">
      <c r="A98" s="112" t="s">
        <v>4127</v>
      </c>
      <c r="B98" s="112" t="s">
        <v>2725</v>
      </c>
      <c r="C98" s="80">
        <v>3</v>
      </c>
      <c r="D98" s="113">
        <v>0.0024268281747795322</v>
      </c>
      <c r="E98" s="113">
        <v>0.6818671723605716</v>
      </c>
      <c r="F98" s="80" t="s">
        <v>4356</v>
      </c>
      <c r="G98" s="80" t="b">
        <v>0</v>
      </c>
      <c r="H98" s="80" t="b">
        <v>0</v>
      </c>
      <c r="I98" s="80" t="b">
        <v>0</v>
      </c>
      <c r="J98" s="80" t="b">
        <v>0</v>
      </c>
      <c r="K98" s="80" t="b">
        <v>0</v>
      </c>
      <c r="L98" s="80" t="b">
        <v>0</v>
      </c>
    </row>
    <row r="99" spans="1:12" ht="15">
      <c r="A99" s="112" t="s">
        <v>4223</v>
      </c>
      <c r="B99" s="112" t="s">
        <v>4225</v>
      </c>
      <c r="C99" s="80">
        <v>3</v>
      </c>
      <c r="D99" s="113">
        <v>0.0024268281747795322</v>
      </c>
      <c r="E99" s="113">
        <v>2.1725612342695078</v>
      </c>
      <c r="F99" s="80" t="s">
        <v>4356</v>
      </c>
      <c r="G99" s="80" t="b">
        <v>0</v>
      </c>
      <c r="H99" s="80" t="b">
        <v>0</v>
      </c>
      <c r="I99" s="80" t="b">
        <v>0</v>
      </c>
      <c r="J99" s="80" t="b">
        <v>0</v>
      </c>
      <c r="K99" s="80" t="b">
        <v>1</v>
      </c>
      <c r="L99" s="80" t="b">
        <v>0</v>
      </c>
    </row>
    <row r="100" spans="1:12" ht="15">
      <c r="A100" s="112" t="s">
        <v>4223</v>
      </c>
      <c r="B100" s="112" t="s">
        <v>4129</v>
      </c>
      <c r="C100" s="80">
        <v>3</v>
      </c>
      <c r="D100" s="113">
        <v>0.0024268281747795322</v>
      </c>
      <c r="E100" s="113">
        <v>1.406644440302876</v>
      </c>
      <c r="F100" s="80" t="s">
        <v>4356</v>
      </c>
      <c r="G100" s="80" t="b">
        <v>0</v>
      </c>
      <c r="H100" s="80" t="b">
        <v>0</v>
      </c>
      <c r="I100" s="80" t="b">
        <v>0</v>
      </c>
      <c r="J100" s="80" t="b">
        <v>0</v>
      </c>
      <c r="K100" s="80" t="b">
        <v>0</v>
      </c>
      <c r="L100" s="80" t="b">
        <v>0</v>
      </c>
    </row>
    <row r="101" spans="1:12" ht="15">
      <c r="A101" s="112" t="s">
        <v>4159</v>
      </c>
      <c r="B101" s="112" t="s">
        <v>4131</v>
      </c>
      <c r="C101" s="80">
        <v>3</v>
      </c>
      <c r="D101" s="113">
        <v>0.0024268281747795322</v>
      </c>
      <c r="E101" s="113">
        <v>1.0882403485694718</v>
      </c>
      <c r="F101" s="80" t="s">
        <v>4356</v>
      </c>
      <c r="G101" s="80" t="b">
        <v>0</v>
      </c>
      <c r="H101" s="80" t="b">
        <v>0</v>
      </c>
      <c r="I101" s="80" t="b">
        <v>0</v>
      </c>
      <c r="J101" s="80" t="b">
        <v>0</v>
      </c>
      <c r="K101" s="80" t="b">
        <v>0</v>
      </c>
      <c r="L101" s="80" t="b">
        <v>0</v>
      </c>
    </row>
    <row r="102" spans="1:12" ht="15">
      <c r="A102" s="112" t="s">
        <v>4275</v>
      </c>
      <c r="B102" s="112" t="s">
        <v>4233</v>
      </c>
      <c r="C102" s="80">
        <v>3</v>
      </c>
      <c r="D102" s="113">
        <v>0.0024268281747795322</v>
      </c>
      <c r="E102" s="113">
        <v>2.7166292786197834</v>
      </c>
      <c r="F102" s="80" t="s">
        <v>4356</v>
      </c>
      <c r="G102" s="80" t="b">
        <v>0</v>
      </c>
      <c r="H102" s="80" t="b">
        <v>0</v>
      </c>
      <c r="I102" s="80" t="b">
        <v>0</v>
      </c>
      <c r="J102" s="80" t="b">
        <v>0</v>
      </c>
      <c r="K102" s="80" t="b">
        <v>0</v>
      </c>
      <c r="L102" s="80" t="b">
        <v>0</v>
      </c>
    </row>
    <row r="103" spans="1:12" ht="15">
      <c r="A103" s="112" t="s">
        <v>4125</v>
      </c>
      <c r="B103" s="112" t="s">
        <v>4124</v>
      </c>
      <c r="C103" s="80">
        <v>3</v>
      </c>
      <c r="D103" s="113">
        <v>0.0024268281747795322</v>
      </c>
      <c r="E103" s="113">
        <v>0.14404807728729732</v>
      </c>
      <c r="F103" s="80" t="s">
        <v>4356</v>
      </c>
      <c r="G103" s="80" t="b">
        <v>0</v>
      </c>
      <c r="H103" s="80" t="b">
        <v>0</v>
      </c>
      <c r="I103" s="80" t="b">
        <v>0</v>
      </c>
      <c r="J103" s="80" t="b">
        <v>0</v>
      </c>
      <c r="K103" s="80" t="b">
        <v>0</v>
      </c>
      <c r="L103" s="80" t="b">
        <v>0</v>
      </c>
    </row>
    <row r="104" spans="1:12" ht="15">
      <c r="A104" s="112" t="s">
        <v>4127</v>
      </c>
      <c r="B104" s="112" t="s">
        <v>4164</v>
      </c>
      <c r="C104" s="80">
        <v>3</v>
      </c>
      <c r="D104" s="113">
        <v>0.0024268281747795322</v>
      </c>
      <c r="E104" s="113">
        <v>1.2517424803171326</v>
      </c>
      <c r="F104" s="80" t="s">
        <v>4356</v>
      </c>
      <c r="G104" s="80" t="b">
        <v>0</v>
      </c>
      <c r="H104" s="80" t="b">
        <v>0</v>
      </c>
      <c r="I104" s="80" t="b">
        <v>0</v>
      </c>
      <c r="J104" s="80" t="b">
        <v>0</v>
      </c>
      <c r="K104" s="80" t="b">
        <v>0</v>
      </c>
      <c r="L104" s="80" t="b">
        <v>0</v>
      </c>
    </row>
    <row r="105" spans="1:12" ht="15">
      <c r="A105" s="112" t="s">
        <v>4128</v>
      </c>
      <c r="B105" s="112" t="s">
        <v>4126</v>
      </c>
      <c r="C105" s="80">
        <v>3</v>
      </c>
      <c r="D105" s="113">
        <v>0.0024268281747795322</v>
      </c>
      <c r="E105" s="113">
        <v>0.8329678434661658</v>
      </c>
      <c r="F105" s="80" t="s">
        <v>4356</v>
      </c>
      <c r="G105" s="80" t="b">
        <v>0</v>
      </c>
      <c r="H105" s="80" t="b">
        <v>0</v>
      </c>
      <c r="I105" s="80" t="b">
        <v>0</v>
      </c>
      <c r="J105" s="80" t="b">
        <v>0</v>
      </c>
      <c r="K105" s="80" t="b">
        <v>0</v>
      </c>
      <c r="L105" s="80" t="b">
        <v>0</v>
      </c>
    </row>
    <row r="106" spans="1:12" ht="15">
      <c r="A106" s="112" t="s">
        <v>4131</v>
      </c>
      <c r="B106" s="112" t="s">
        <v>4127</v>
      </c>
      <c r="C106" s="80">
        <v>3</v>
      </c>
      <c r="D106" s="113">
        <v>0.0024268281747795322</v>
      </c>
      <c r="E106" s="113">
        <v>0.4413179240779718</v>
      </c>
      <c r="F106" s="80" t="s">
        <v>4356</v>
      </c>
      <c r="G106" s="80" t="b">
        <v>0</v>
      </c>
      <c r="H106" s="80" t="b">
        <v>0</v>
      </c>
      <c r="I106" s="80" t="b">
        <v>0</v>
      </c>
      <c r="J106" s="80" t="b">
        <v>0</v>
      </c>
      <c r="K106" s="80" t="b">
        <v>0</v>
      </c>
      <c r="L106" s="80" t="b">
        <v>0</v>
      </c>
    </row>
    <row r="107" spans="1:12" ht="15">
      <c r="A107" s="112" t="s">
        <v>4197</v>
      </c>
      <c r="B107" s="112" t="s">
        <v>4198</v>
      </c>
      <c r="C107" s="80">
        <v>3</v>
      </c>
      <c r="D107" s="113">
        <v>0.003050244448367941</v>
      </c>
      <c r="E107" s="113">
        <v>2.8415680152280833</v>
      </c>
      <c r="F107" s="80" t="s">
        <v>4356</v>
      </c>
      <c r="G107" s="80" t="b">
        <v>0</v>
      </c>
      <c r="H107" s="80" t="b">
        <v>0</v>
      </c>
      <c r="I107" s="80" t="b">
        <v>0</v>
      </c>
      <c r="J107" s="80" t="b">
        <v>0</v>
      </c>
      <c r="K107" s="80" t="b">
        <v>0</v>
      </c>
      <c r="L107" s="80" t="b">
        <v>0</v>
      </c>
    </row>
    <row r="108" spans="1:12" ht="15">
      <c r="A108" s="112" t="s">
        <v>4210</v>
      </c>
      <c r="B108" s="112" t="s">
        <v>4171</v>
      </c>
      <c r="C108" s="80">
        <v>3</v>
      </c>
      <c r="D108" s="113">
        <v>0.003050244448367941</v>
      </c>
      <c r="E108" s="113">
        <v>2.415599282955802</v>
      </c>
      <c r="F108" s="80" t="s">
        <v>4356</v>
      </c>
      <c r="G108" s="80" t="b">
        <v>0</v>
      </c>
      <c r="H108" s="80" t="b">
        <v>0</v>
      </c>
      <c r="I108" s="80" t="b">
        <v>0</v>
      </c>
      <c r="J108" s="80" t="b">
        <v>0</v>
      </c>
      <c r="K108" s="80" t="b">
        <v>0</v>
      </c>
      <c r="L108" s="80" t="b">
        <v>0</v>
      </c>
    </row>
    <row r="109" spans="1:12" ht="15">
      <c r="A109" s="112" t="s">
        <v>4272</v>
      </c>
      <c r="B109" s="112" t="s">
        <v>4133</v>
      </c>
      <c r="C109" s="80">
        <v>2</v>
      </c>
      <c r="D109" s="113">
        <v>0.00177127504833358</v>
      </c>
      <c r="E109" s="113">
        <v>1.7276246629212466</v>
      </c>
      <c r="F109" s="80" t="s">
        <v>4356</v>
      </c>
      <c r="G109" s="80" t="b">
        <v>0</v>
      </c>
      <c r="H109" s="80" t="b">
        <v>0</v>
      </c>
      <c r="I109" s="80" t="b">
        <v>0</v>
      </c>
      <c r="J109" s="80" t="b">
        <v>0</v>
      </c>
      <c r="K109" s="80" t="b">
        <v>0</v>
      </c>
      <c r="L109" s="80" t="b">
        <v>0</v>
      </c>
    </row>
    <row r="110" spans="1:12" ht="15">
      <c r="A110" s="112" t="s">
        <v>4130</v>
      </c>
      <c r="B110" s="112" t="s">
        <v>2874</v>
      </c>
      <c r="C110" s="80">
        <v>2</v>
      </c>
      <c r="D110" s="113">
        <v>0.00177127504833358</v>
      </c>
      <c r="E110" s="113">
        <v>0.49131999689392064</v>
      </c>
      <c r="F110" s="80" t="s">
        <v>4356</v>
      </c>
      <c r="G110" s="80" t="b">
        <v>0</v>
      </c>
      <c r="H110" s="80" t="b">
        <v>0</v>
      </c>
      <c r="I110" s="80" t="b">
        <v>0</v>
      </c>
      <c r="J110" s="80" t="b">
        <v>0</v>
      </c>
      <c r="K110" s="80" t="b">
        <v>0</v>
      </c>
      <c r="L110" s="80" t="b">
        <v>0</v>
      </c>
    </row>
    <row r="111" spans="1:12" ht="15">
      <c r="A111" s="112" t="s">
        <v>4313</v>
      </c>
      <c r="B111" s="112" t="s">
        <v>4296</v>
      </c>
      <c r="C111" s="80">
        <v>2</v>
      </c>
      <c r="D111" s="113">
        <v>0.00177127504833358</v>
      </c>
      <c r="E111" s="113">
        <v>3.0176592742837647</v>
      </c>
      <c r="F111" s="80" t="s">
        <v>4356</v>
      </c>
      <c r="G111" s="80" t="b">
        <v>0</v>
      </c>
      <c r="H111" s="80" t="b">
        <v>0</v>
      </c>
      <c r="I111" s="80" t="b">
        <v>0</v>
      </c>
      <c r="J111" s="80" t="b">
        <v>0</v>
      </c>
      <c r="K111" s="80" t="b">
        <v>0</v>
      </c>
      <c r="L111" s="80" t="b">
        <v>0</v>
      </c>
    </row>
    <row r="112" spans="1:12" ht="15">
      <c r="A112" s="112" t="s">
        <v>4149</v>
      </c>
      <c r="B112" s="112" t="s">
        <v>4123</v>
      </c>
      <c r="C112" s="80">
        <v>2</v>
      </c>
      <c r="D112" s="113">
        <v>0.00177127504833358</v>
      </c>
      <c r="E112" s="113">
        <v>0.6320530006854524</v>
      </c>
      <c r="F112" s="80" t="s">
        <v>4356</v>
      </c>
      <c r="G112" s="80" t="b">
        <v>0</v>
      </c>
      <c r="H112" s="80" t="b">
        <v>0</v>
      </c>
      <c r="I112" s="80" t="b">
        <v>0</v>
      </c>
      <c r="J112" s="80" t="b">
        <v>0</v>
      </c>
      <c r="K112" s="80" t="b">
        <v>0</v>
      </c>
      <c r="L112" s="80" t="b">
        <v>0</v>
      </c>
    </row>
    <row r="113" spans="1:12" ht="15">
      <c r="A113" s="112" t="s">
        <v>4154</v>
      </c>
      <c r="B113" s="112" t="s">
        <v>4241</v>
      </c>
      <c r="C113" s="80">
        <v>2</v>
      </c>
      <c r="D113" s="113">
        <v>0.00177127504833358</v>
      </c>
      <c r="E113" s="113">
        <v>1.6903003398974343</v>
      </c>
      <c r="F113" s="80" t="s">
        <v>4356</v>
      </c>
      <c r="G113" s="80" t="b">
        <v>0</v>
      </c>
      <c r="H113" s="80" t="b">
        <v>0</v>
      </c>
      <c r="I113" s="80" t="b">
        <v>0</v>
      </c>
      <c r="J113" s="80" t="b">
        <v>0</v>
      </c>
      <c r="K113" s="80" t="b">
        <v>0</v>
      </c>
      <c r="L113" s="80" t="b">
        <v>0</v>
      </c>
    </row>
    <row r="114" spans="1:12" ht="15">
      <c r="A114" s="112" t="s">
        <v>4133</v>
      </c>
      <c r="B114" s="112" t="s">
        <v>2874</v>
      </c>
      <c r="C114" s="80">
        <v>2</v>
      </c>
      <c r="D114" s="113">
        <v>0.00177127504833358</v>
      </c>
      <c r="E114" s="113">
        <v>0.3062738951853129</v>
      </c>
      <c r="F114" s="80" t="s">
        <v>4356</v>
      </c>
      <c r="G114" s="80" t="b">
        <v>0</v>
      </c>
      <c r="H114" s="80" t="b">
        <v>0</v>
      </c>
      <c r="I114" s="80" t="b">
        <v>0</v>
      </c>
      <c r="J114" s="80" t="b">
        <v>0</v>
      </c>
      <c r="K114" s="80" t="b">
        <v>0</v>
      </c>
      <c r="L114" s="80" t="b">
        <v>0</v>
      </c>
    </row>
    <row r="115" spans="1:12" ht="15">
      <c r="A115" s="112" t="s">
        <v>4130</v>
      </c>
      <c r="B115" s="112" t="s">
        <v>4124</v>
      </c>
      <c r="C115" s="80">
        <v>2</v>
      </c>
      <c r="D115" s="113">
        <v>0.00177127504833358</v>
      </c>
      <c r="E115" s="113">
        <v>0.30165593064896545</v>
      </c>
      <c r="F115" s="80" t="s">
        <v>4356</v>
      </c>
      <c r="G115" s="80" t="b">
        <v>0</v>
      </c>
      <c r="H115" s="80" t="b">
        <v>0</v>
      </c>
      <c r="I115" s="80" t="b">
        <v>0</v>
      </c>
      <c r="J115" s="80" t="b">
        <v>0</v>
      </c>
      <c r="K115" s="80" t="b">
        <v>0</v>
      </c>
      <c r="L115" s="80" t="b">
        <v>0</v>
      </c>
    </row>
    <row r="116" spans="1:12" ht="15">
      <c r="A116" s="112" t="s">
        <v>2874</v>
      </c>
      <c r="B116" s="112" t="s">
        <v>4137</v>
      </c>
      <c r="C116" s="80">
        <v>2</v>
      </c>
      <c r="D116" s="113">
        <v>0.00177127504833358</v>
      </c>
      <c r="E116" s="113">
        <v>0.7435014250200849</v>
      </c>
      <c r="F116" s="80" t="s">
        <v>4356</v>
      </c>
      <c r="G116" s="80" t="b">
        <v>0</v>
      </c>
      <c r="H116" s="80" t="b">
        <v>0</v>
      </c>
      <c r="I116" s="80" t="b">
        <v>0</v>
      </c>
      <c r="J116" s="80" t="b">
        <v>0</v>
      </c>
      <c r="K116" s="80" t="b">
        <v>0</v>
      </c>
      <c r="L116" s="80" t="b">
        <v>0</v>
      </c>
    </row>
    <row r="117" spans="1:12" ht="15">
      <c r="A117" s="112" t="s">
        <v>4315</v>
      </c>
      <c r="B117" s="112" t="s">
        <v>4147</v>
      </c>
      <c r="C117" s="80">
        <v>2</v>
      </c>
      <c r="D117" s="113">
        <v>0.00177127504833358</v>
      </c>
      <c r="E117" s="113">
        <v>2.204745917640909</v>
      </c>
      <c r="F117" s="80" t="s">
        <v>4356</v>
      </c>
      <c r="G117" s="80" t="b">
        <v>0</v>
      </c>
      <c r="H117" s="80" t="b">
        <v>0</v>
      </c>
      <c r="I117" s="80" t="b">
        <v>0</v>
      </c>
      <c r="J117" s="80" t="b">
        <v>0</v>
      </c>
      <c r="K117" s="80" t="b">
        <v>0</v>
      </c>
      <c r="L117" s="80" t="b">
        <v>0</v>
      </c>
    </row>
    <row r="118" spans="1:12" ht="15">
      <c r="A118" s="112" t="s">
        <v>4147</v>
      </c>
      <c r="B118" s="112" t="s">
        <v>4316</v>
      </c>
      <c r="C118" s="80">
        <v>2</v>
      </c>
      <c r="D118" s="113">
        <v>0.00177127504833358</v>
      </c>
      <c r="E118" s="113">
        <v>2.239508023900121</v>
      </c>
      <c r="F118" s="80" t="s">
        <v>4356</v>
      </c>
      <c r="G118" s="80" t="b">
        <v>0</v>
      </c>
      <c r="H118" s="80" t="b">
        <v>0</v>
      </c>
      <c r="I118" s="80" t="b">
        <v>0</v>
      </c>
      <c r="J118" s="80" t="b">
        <v>0</v>
      </c>
      <c r="K118" s="80" t="b">
        <v>0</v>
      </c>
      <c r="L118" s="80" t="b">
        <v>0</v>
      </c>
    </row>
    <row r="119" spans="1:12" ht="15">
      <c r="A119" s="112" t="s">
        <v>4316</v>
      </c>
      <c r="B119" s="112" t="s">
        <v>4206</v>
      </c>
      <c r="C119" s="80">
        <v>2</v>
      </c>
      <c r="D119" s="113">
        <v>0.00177127504833358</v>
      </c>
      <c r="E119" s="113">
        <v>2.7166292786197834</v>
      </c>
      <c r="F119" s="80" t="s">
        <v>4356</v>
      </c>
      <c r="G119" s="80" t="b">
        <v>0</v>
      </c>
      <c r="H119" s="80" t="b">
        <v>0</v>
      </c>
      <c r="I119" s="80" t="b">
        <v>0</v>
      </c>
      <c r="J119" s="80" t="b">
        <v>0</v>
      </c>
      <c r="K119" s="80" t="b">
        <v>0</v>
      </c>
      <c r="L119" s="80" t="b">
        <v>0</v>
      </c>
    </row>
    <row r="120" spans="1:12" ht="15">
      <c r="A120" s="112" t="s">
        <v>4206</v>
      </c>
      <c r="B120" s="112" t="s">
        <v>4122</v>
      </c>
      <c r="C120" s="80">
        <v>2</v>
      </c>
      <c r="D120" s="113">
        <v>0.00177127504833358</v>
      </c>
      <c r="E120" s="113">
        <v>0.9003879786280005</v>
      </c>
      <c r="F120" s="80" t="s">
        <v>4356</v>
      </c>
      <c r="G120" s="80" t="b">
        <v>0</v>
      </c>
      <c r="H120" s="80" t="b">
        <v>0</v>
      </c>
      <c r="I120" s="80" t="b">
        <v>0</v>
      </c>
      <c r="J120" s="80" t="b">
        <v>0</v>
      </c>
      <c r="K120" s="80" t="b">
        <v>0</v>
      </c>
      <c r="L120" s="80" t="b">
        <v>0</v>
      </c>
    </row>
    <row r="121" spans="1:12" ht="15">
      <c r="A121" s="112" t="s">
        <v>4122</v>
      </c>
      <c r="B121" s="112" t="s">
        <v>4133</v>
      </c>
      <c r="C121" s="80">
        <v>2</v>
      </c>
      <c r="D121" s="113">
        <v>0.00177127504833358</v>
      </c>
      <c r="E121" s="113">
        <v>0.06802535048450227</v>
      </c>
      <c r="F121" s="80" t="s">
        <v>4356</v>
      </c>
      <c r="G121" s="80" t="b">
        <v>0</v>
      </c>
      <c r="H121" s="80" t="b">
        <v>0</v>
      </c>
      <c r="I121" s="80" t="b">
        <v>0</v>
      </c>
      <c r="J121" s="80" t="b">
        <v>0</v>
      </c>
      <c r="K121" s="80" t="b">
        <v>0</v>
      </c>
      <c r="L121" s="80" t="b">
        <v>0</v>
      </c>
    </row>
    <row r="122" spans="1:12" ht="15">
      <c r="A122" s="112" t="s">
        <v>4153</v>
      </c>
      <c r="B122" s="112" t="s">
        <v>4126</v>
      </c>
      <c r="C122" s="80">
        <v>2</v>
      </c>
      <c r="D122" s="113">
        <v>0.00177127504833358</v>
      </c>
      <c r="E122" s="113">
        <v>0.9121490895137906</v>
      </c>
      <c r="F122" s="80" t="s">
        <v>4356</v>
      </c>
      <c r="G122" s="80" t="b">
        <v>0</v>
      </c>
      <c r="H122" s="80" t="b">
        <v>0</v>
      </c>
      <c r="I122" s="80" t="b">
        <v>0</v>
      </c>
      <c r="J122" s="80" t="b">
        <v>0</v>
      </c>
      <c r="K122" s="80" t="b">
        <v>0</v>
      </c>
      <c r="L122" s="80" t="b">
        <v>0</v>
      </c>
    </row>
    <row r="123" spans="1:12" ht="15">
      <c r="A123" s="112" t="s">
        <v>4126</v>
      </c>
      <c r="B123" s="112" t="s">
        <v>2874</v>
      </c>
      <c r="C123" s="80">
        <v>2</v>
      </c>
      <c r="D123" s="113">
        <v>0.00177127504833358</v>
      </c>
      <c r="E123" s="113">
        <v>0.46499105817157144</v>
      </c>
      <c r="F123" s="80" t="s">
        <v>4356</v>
      </c>
      <c r="G123" s="80" t="b">
        <v>0</v>
      </c>
      <c r="H123" s="80" t="b">
        <v>0</v>
      </c>
      <c r="I123" s="80" t="b">
        <v>0</v>
      </c>
      <c r="J123" s="80" t="b">
        <v>0</v>
      </c>
      <c r="K123" s="80" t="b">
        <v>0</v>
      </c>
      <c r="L123" s="80" t="b">
        <v>0</v>
      </c>
    </row>
    <row r="124" spans="1:12" ht="15">
      <c r="A124" s="112" t="s">
        <v>4124</v>
      </c>
      <c r="B124" s="112" t="s">
        <v>4298</v>
      </c>
      <c r="C124" s="80">
        <v>2</v>
      </c>
      <c r="D124" s="113">
        <v>0.00177127504833358</v>
      </c>
      <c r="E124" s="113">
        <v>1.3037489201548091</v>
      </c>
      <c r="F124" s="80" t="s">
        <v>4356</v>
      </c>
      <c r="G124" s="80" t="b">
        <v>0</v>
      </c>
      <c r="H124" s="80" t="b">
        <v>0</v>
      </c>
      <c r="I124" s="80" t="b">
        <v>0</v>
      </c>
      <c r="J124" s="80" t="b">
        <v>0</v>
      </c>
      <c r="K124" s="80" t="b">
        <v>0</v>
      </c>
      <c r="L124" s="80" t="b">
        <v>0</v>
      </c>
    </row>
    <row r="125" spans="1:12" ht="15">
      <c r="A125" s="112" t="s">
        <v>4153</v>
      </c>
      <c r="B125" s="112" t="s">
        <v>4317</v>
      </c>
      <c r="C125" s="80">
        <v>2</v>
      </c>
      <c r="D125" s="113">
        <v>0.0020334962989119604</v>
      </c>
      <c r="E125" s="113">
        <v>2.1425980108920646</v>
      </c>
      <c r="F125" s="80" t="s">
        <v>4356</v>
      </c>
      <c r="G125" s="80" t="b">
        <v>0</v>
      </c>
      <c r="H125" s="80" t="b">
        <v>0</v>
      </c>
      <c r="I125" s="80" t="b">
        <v>0</v>
      </c>
      <c r="J125" s="80" t="b">
        <v>0</v>
      </c>
      <c r="K125" s="80" t="b">
        <v>0</v>
      </c>
      <c r="L125" s="80" t="b">
        <v>0</v>
      </c>
    </row>
    <row r="126" spans="1:12" ht="15">
      <c r="A126" s="112" t="s">
        <v>4172</v>
      </c>
      <c r="B126" s="112" t="s">
        <v>4246</v>
      </c>
      <c r="C126" s="80">
        <v>2</v>
      </c>
      <c r="D126" s="113">
        <v>0.00177127504833358</v>
      </c>
      <c r="E126" s="113">
        <v>2.619719265611727</v>
      </c>
      <c r="F126" s="80" t="s">
        <v>4356</v>
      </c>
      <c r="G126" s="80" t="b">
        <v>0</v>
      </c>
      <c r="H126" s="80" t="b">
        <v>0</v>
      </c>
      <c r="I126" s="80" t="b">
        <v>0</v>
      </c>
      <c r="J126" s="80" t="b">
        <v>0</v>
      </c>
      <c r="K126" s="80" t="b">
        <v>0</v>
      </c>
      <c r="L126" s="80" t="b">
        <v>0</v>
      </c>
    </row>
    <row r="127" spans="1:12" ht="15">
      <c r="A127" s="112" t="s">
        <v>4126</v>
      </c>
      <c r="B127" s="112" t="s">
        <v>4160</v>
      </c>
      <c r="C127" s="80">
        <v>2</v>
      </c>
      <c r="D127" s="113">
        <v>0.00177127504833358</v>
      </c>
      <c r="E127" s="113">
        <v>1.046847663411247</v>
      </c>
      <c r="F127" s="80" t="s">
        <v>4356</v>
      </c>
      <c r="G127" s="80" t="b">
        <v>0</v>
      </c>
      <c r="H127" s="80" t="b">
        <v>0</v>
      </c>
      <c r="I127" s="80" t="b">
        <v>0</v>
      </c>
      <c r="J127" s="80" t="b">
        <v>0</v>
      </c>
      <c r="K127" s="80" t="b">
        <v>0</v>
      </c>
      <c r="L127" s="80" t="b">
        <v>0</v>
      </c>
    </row>
    <row r="128" spans="1:12" ht="15">
      <c r="A128" s="112" t="s">
        <v>4160</v>
      </c>
      <c r="B128" s="112" t="s">
        <v>4232</v>
      </c>
      <c r="C128" s="80">
        <v>2</v>
      </c>
      <c r="D128" s="113">
        <v>0.00177127504833358</v>
      </c>
      <c r="E128" s="113">
        <v>1.9665067518363832</v>
      </c>
      <c r="F128" s="80" t="s">
        <v>4356</v>
      </c>
      <c r="G128" s="80" t="b">
        <v>0</v>
      </c>
      <c r="H128" s="80" t="b">
        <v>0</v>
      </c>
      <c r="I128" s="80" t="b">
        <v>0</v>
      </c>
      <c r="J128" s="80" t="b">
        <v>0</v>
      </c>
      <c r="K128" s="80" t="b">
        <v>0</v>
      </c>
      <c r="L128" s="80" t="b">
        <v>0</v>
      </c>
    </row>
    <row r="129" spans="1:12" ht="15">
      <c r="A129" s="112" t="s">
        <v>4250</v>
      </c>
      <c r="B129" s="112" t="s">
        <v>4136</v>
      </c>
      <c r="C129" s="80">
        <v>2</v>
      </c>
      <c r="D129" s="113">
        <v>0.00177127504833358</v>
      </c>
      <c r="E129" s="113">
        <v>1.473591229933489</v>
      </c>
      <c r="F129" s="80" t="s">
        <v>4356</v>
      </c>
      <c r="G129" s="80" t="b">
        <v>0</v>
      </c>
      <c r="H129" s="80" t="b">
        <v>0</v>
      </c>
      <c r="I129" s="80" t="b">
        <v>0</v>
      </c>
      <c r="J129" s="80" t="b">
        <v>0</v>
      </c>
      <c r="K129" s="80" t="b">
        <v>0</v>
      </c>
      <c r="L129" s="80" t="b">
        <v>0</v>
      </c>
    </row>
    <row r="130" spans="1:12" ht="15">
      <c r="A130" s="112" t="s">
        <v>4217</v>
      </c>
      <c r="B130" s="112" t="s">
        <v>4127</v>
      </c>
      <c r="C130" s="80">
        <v>2</v>
      </c>
      <c r="D130" s="113">
        <v>0.00177127504833358</v>
      </c>
      <c r="E130" s="113">
        <v>1.1573212677127709</v>
      </c>
      <c r="F130" s="80" t="s">
        <v>4356</v>
      </c>
      <c r="G130" s="80" t="b">
        <v>0</v>
      </c>
      <c r="H130" s="80" t="b">
        <v>0</v>
      </c>
      <c r="I130" s="80" t="b">
        <v>0</v>
      </c>
      <c r="J130" s="80" t="b">
        <v>0</v>
      </c>
      <c r="K130" s="80" t="b">
        <v>0</v>
      </c>
      <c r="L130" s="80" t="b">
        <v>0</v>
      </c>
    </row>
    <row r="131" spans="1:12" ht="15">
      <c r="A131" s="112" t="s">
        <v>4251</v>
      </c>
      <c r="B131" s="112" t="s">
        <v>4136</v>
      </c>
      <c r="C131" s="80">
        <v>2</v>
      </c>
      <c r="D131" s="113">
        <v>0.00177127504833358</v>
      </c>
      <c r="E131" s="113">
        <v>1.473591229933489</v>
      </c>
      <c r="F131" s="80" t="s">
        <v>4356</v>
      </c>
      <c r="G131" s="80" t="b">
        <v>0</v>
      </c>
      <c r="H131" s="80" t="b">
        <v>0</v>
      </c>
      <c r="I131" s="80" t="b">
        <v>0</v>
      </c>
      <c r="J131" s="80" t="b">
        <v>0</v>
      </c>
      <c r="K131" s="80" t="b">
        <v>0</v>
      </c>
      <c r="L131" s="80" t="b">
        <v>0</v>
      </c>
    </row>
    <row r="132" spans="1:12" ht="15">
      <c r="A132" s="112" t="s">
        <v>4216</v>
      </c>
      <c r="B132" s="112" t="s">
        <v>4318</v>
      </c>
      <c r="C132" s="80">
        <v>2</v>
      </c>
      <c r="D132" s="113">
        <v>0.00177127504833358</v>
      </c>
      <c r="E132" s="113">
        <v>2.473591229933489</v>
      </c>
      <c r="F132" s="80" t="s">
        <v>4356</v>
      </c>
      <c r="G132" s="80" t="b">
        <v>0</v>
      </c>
      <c r="H132" s="80" t="b">
        <v>0</v>
      </c>
      <c r="I132" s="80" t="b">
        <v>0</v>
      </c>
      <c r="J132" s="80" t="b">
        <v>0</v>
      </c>
      <c r="K132" s="80" t="b">
        <v>0</v>
      </c>
      <c r="L132" s="80" t="b">
        <v>0</v>
      </c>
    </row>
    <row r="133" spans="1:12" ht="15">
      <c r="A133" s="112" t="s">
        <v>4165</v>
      </c>
      <c r="B133" s="112" t="s">
        <v>4136</v>
      </c>
      <c r="C133" s="80">
        <v>2</v>
      </c>
      <c r="D133" s="113">
        <v>0.00177127504833358</v>
      </c>
      <c r="E133" s="113">
        <v>1.0933799882218829</v>
      </c>
      <c r="F133" s="80" t="s">
        <v>4356</v>
      </c>
      <c r="G133" s="80" t="b">
        <v>0</v>
      </c>
      <c r="H133" s="80" t="b">
        <v>0</v>
      </c>
      <c r="I133" s="80" t="b">
        <v>0</v>
      </c>
      <c r="J133" s="80" t="b">
        <v>0</v>
      </c>
      <c r="K133" s="80" t="b">
        <v>0</v>
      </c>
      <c r="L133" s="80" t="b">
        <v>0</v>
      </c>
    </row>
    <row r="134" spans="1:12" ht="15">
      <c r="A134" s="112" t="s">
        <v>4160</v>
      </c>
      <c r="B134" s="112" t="s">
        <v>4128</v>
      </c>
      <c r="C134" s="80">
        <v>2</v>
      </c>
      <c r="D134" s="113">
        <v>0.00177127504833358</v>
      </c>
      <c r="E134" s="113">
        <v>0.9812300086570896</v>
      </c>
      <c r="F134" s="80" t="s">
        <v>4356</v>
      </c>
      <c r="G134" s="80" t="b">
        <v>0</v>
      </c>
      <c r="H134" s="80" t="b">
        <v>0</v>
      </c>
      <c r="I134" s="80" t="b">
        <v>0</v>
      </c>
      <c r="J134" s="80" t="b">
        <v>0</v>
      </c>
      <c r="K134" s="80" t="b">
        <v>0</v>
      </c>
      <c r="L134" s="80" t="b">
        <v>0</v>
      </c>
    </row>
    <row r="135" spans="1:12" ht="15">
      <c r="A135" s="112" t="s">
        <v>4134</v>
      </c>
      <c r="B135" s="112" t="s">
        <v>4154</v>
      </c>
      <c r="C135" s="80">
        <v>2</v>
      </c>
      <c r="D135" s="113">
        <v>0.00177127504833358</v>
      </c>
      <c r="E135" s="113">
        <v>0.8210686201664581</v>
      </c>
      <c r="F135" s="80" t="s">
        <v>4356</v>
      </c>
      <c r="G135" s="80" t="b">
        <v>0</v>
      </c>
      <c r="H135" s="80" t="b">
        <v>0</v>
      </c>
      <c r="I135" s="80" t="b">
        <v>0</v>
      </c>
      <c r="J135" s="80" t="b">
        <v>0</v>
      </c>
      <c r="K135" s="80" t="b">
        <v>0</v>
      </c>
      <c r="L135" s="80" t="b">
        <v>0</v>
      </c>
    </row>
    <row r="136" spans="1:12" ht="15">
      <c r="A136" s="112" t="s">
        <v>4165</v>
      </c>
      <c r="B136" s="112" t="s">
        <v>4154</v>
      </c>
      <c r="C136" s="80">
        <v>2</v>
      </c>
      <c r="D136" s="113">
        <v>0.00177127504833358</v>
      </c>
      <c r="E136" s="113">
        <v>1.3100890981858282</v>
      </c>
      <c r="F136" s="80" t="s">
        <v>4356</v>
      </c>
      <c r="G136" s="80" t="b">
        <v>0</v>
      </c>
      <c r="H136" s="80" t="b">
        <v>0</v>
      </c>
      <c r="I136" s="80" t="b">
        <v>0</v>
      </c>
      <c r="J136" s="80" t="b">
        <v>0</v>
      </c>
      <c r="K136" s="80" t="b">
        <v>0</v>
      </c>
      <c r="L136" s="80" t="b">
        <v>0</v>
      </c>
    </row>
    <row r="137" spans="1:12" ht="15">
      <c r="A137" s="112" t="s">
        <v>4136</v>
      </c>
      <c r="B137" s="112" t="s">
        <v>4182</v>
      </c>
      <c r="C137" s="80">
        <v>2</v>
      </c>
      <c r="D137" s="113">
        <v>0.00177127504833358</v>
      </c>
      <c r="E137" s="113">
        <v>1.473591229933489</v>
      </c>
      <c r="F137" s="80" t="s">
        <v>4356</v>
      </c>
      <c r="G137" s="80" t="b">
        <v>0</v>
      </c>
      <c r="H137" s="80" t="b">
        <v>0</v>
      </c>
      <c r="I137" s="80" t="b">
        <v>0</v>
      </c>
      <c r="J137" s="80" t="b">
        <v>0</v>
      </c>
      <c r="K137" s="80" t="b">
        <v>0</v>
      </c>
      <c r="L137" s="80" t="b">
        <v>0</v>
      </c>
    </row>
    <row r="138" spans="1:12" ht="15">
      <c r="A138" s="112" t="s">
        <v>4155</v>
      </c>
      <c r="B138" s="112" t="s">
        <v>4133</v>
      </c>
      <c r="C138" s="80">
        <v>2</v>
      </c>
      <c r="D138" s="113">
        <v>0.00177127504833358</v>
      </c>
      <c r="E138" s="113">
        <v>1.5057759133048902</v>
      </c>
      <c r="F138" s="80" t="s">
        <v>4356</v>
      </c>
      <c r="G138" s="80" t="b">
        <v>0</v>
      </c>
      <c r="H138" s="80" t="b">
        <v>0</v>
      </c>
      <c r="I138" s="80" t="b">
        <v>0</v>
      </c>
      <c r="J138" s="80" t="b">
        <v>0</v>
      </c>
      <c r="K138" s="80" t="b">
        <v>0</v>
      </c>
      <c r="L138" s="80" t="b">
        <v>0</v>
      </c>
    </row>
    <row r="139" spans="1:12" ht="15">
      <c r="A139" s="112" t="s">
        <v>4229</v>
      </c>
      <c r="B139" s="112" t="s">
        <v>4134</v>
      </c>
      <c r="C139" s="80">
        <v>2</v>
      </c>
      <c r="D139" s="113">
        <v>0.00177127504833358</v>
      </c>
      <c r="E139" s="113">
        <v>1.4155992829558022</v>
      </c>
      <c r="F139" s="80" t="s">
        <v>4356</v>
      </c>
      <c r="G139" s="80" t="b">
        <v>1</v>
      </c>
      <c r="H139" s="80" t="b">
        <v>0</v>
      </c>
      <c r="I139" s="80" t="b">
        <v>0</v>
      </c>
      <c r="J139" s="80" t="b">
        <v>0</v>
      </c>
      <c r="K139" s="80" t="b">
        <v>0</v>
      </c>
      <c r="L139" s="80" t="b">
        <v>0</v>
      </c>
    </row>
    <row r="140" spans="1:12" ht="15">
      <c r="A140" s="112" t="s">
        <v>4160</v>
      </c>
      <c r="B140" s="112" t="s">
        <v>4123</v>
      </c>
      <c r="C140" s="80">
        <v>2</v>
      </c>
      <c r="D140" s="113">
        <v>0.00177127504833358</v>
      </c>
      <c r="E140" s="113">
        <v>0.4102042510690961</v>
      </c>
      <c r="F140" s="80" t="s">
        <v>4356</v>
      </c>
      <c r="G140" s="80" t="b">
        <v>0</v>
      </c>
      <c r="H140" s="80" t="b">
        <v>0</v>
      </c>
      <c r="I140" s="80" t="b">
        <v>0</v>
      </c>
      <c r="J140" s="80" t="b">
        <v>0</v>
      </c>
      <c r="K140" s="80" t="b">
        <v>0</v>
      </c>
      <c r="L140" s="80" t="b">
        <v>0</v>
      </c>
    </row>
    <row r="141" spans="1:12" ht="15">
      <c r="A141" s="112" t="s">
        <v>4191</v>
      </c>
      <c r="B141" s="112" t="s">
        <v>2725</v>
      </c>
      <c r="C141" s="80">
        <v>2</v>
      </c>
      <c r="D141" s="113">
        <v>0.00177127504833358</v>
      </c>
      <c r="E141" s="113">
        <v>1.3016559306489655</v>
      </c>
      <c r="F141" s="80" t="s">
        <v>4356</v>
      </c>
      <c r="G141" s="80" t="b">
        <v>0</v>
      </c>
      <c r="H141" s="80" t="b">
        <v>0</v>
      </c>
      <c r="I141" s="80" t="b">
        <v>0</v>
      </c>
      <c r="J141" s="80" t="b">
        <v>0</v>
      </c>
      <c r="K141" s="80" t="b">
        <v>0</v>
      </c>
      <c r="L141" s="80" t="b">
        <v>0</v>
      </c>
    </row>
    <row r="142" spans="1:12" ht="15">
      <c r="A142" s="112" t="s">
        <v>4218</v>
      </c>
      <c r="B142" s="112" t="s">
        <v>4219</v>
      </c>
      <c r="C142" s="80">
        <v>2</v>
      </c>
      <c r="D142" s="113">
        <v>0.00177127504833358</v>
      </c>
      <c r="E142" s="113">
        <v>3.0176592742837647</v>
      </c>
      <c r="F142" s="80" t="s">
        <v>4356</v>
      </c>
      <c r="G142" s="80" t="b">
        <v>0</v>
      </c>
      <c r="H142" s="80" t="b">
        <v>0</v>
      </c>
      <c r="I142" s="80" t="b">
        <v>0</v>
      </c>
      <c r="J142" s="80" t="b">
        <v>0</v>
      </c>
      <c r="K142" s="80" t="b">
        <v>0</v>
      </c>
      <c r="L142" s="80" t="b">
        <v>0</v>
      </c>
    </row>
    <row r="143" spans="1:12" ht="15">
      <c r="A143" s="112" t="s">
        <v>4219</v>
      </c>
      <c r="B143" s="112" t="s">
        <v>4136</v>
      </c>
      <c r="C143" s="80">
        <v>2</v>
      </c>
      <c r="D143" s="113">
        <v>0.00177127504833358</v>
      </c>
      <c r="E143" s="113">
        <v>1.8715312386055267</v>
      </c>
      <c r="F143" s="80" t="s">
        <v>4356</v>
      </c>
      <c r="G143" s="80" t="b">
        <v>0</v>
      </c>
      <c r="H143" s="80" t="b">
        <v>0</v>
      </c>
      <c r="I143" s="80" t="b">
        <v>0</v>
      </c>
      <c r="J143" s="80" t="b">
        <v>0</v>
      </c>
      <c r="K143" s="80" t="b">
        <v>0</v>
      </c>
      <c r="L143" s="80" t="b">
        <v>0</v>
      </c>
    </row>
    <row r="144" spans="1:12" ht="15">
      <c r="A144" s="112" t="s">
        <v>4253</v>
      </c>
      <c r="B144" s="112" t="s">
        <v>4123</v>
      </c>
      <c r="C144" s="80">
        <v>2</v>
      </c>
      <c r="D144" s="113">
        <v>0.00177127504833358</v>
      </c>
      <c r="E144" s="113">
        <v>1.2852655144607963</v>
      </c>
      <c r="F144" s="80" t="s">
        <v>4356</v>
      </c>
      <c r="G144" s="80" t="b">
        <v>0</v>
      </c>
      <c r="H144" s="80" t="b">
        <v>0</v>
      </c>
      <c r="I144" s="80" t="b">
        <v>0</v>
      </c>
      <c r="J144" s="80" t="b">
        <v>0</v>
      </c>
      <c r="K144" s="80" t="b">
        <v>0</v>
      </c>
      <c r="L144" s="80" t="b">
        <v>0</v>
      </c>
    </row>
    <row r="145" spans="1:12" ht="15">
      <c r="A145" s="112" t="s">
        <v>4122</v>
      </c>
      <c r="B145" s="112" t="s">
        <v>4165</v>
      </c>
      <c r="C145" s="80">
        <v>2</v>
      </c>
      <c r="D145" s="113">
        <v>0.00177127504833358</v>
      </c>
      <c r="E145" s="113">
        <v>0.33687066277708216</v>
      </c>
      <c r="F145" s="80" t="s">
        <v>4356</v>
      </c>
      <c r="G145" s="80" t="b">
        <v>0</v>
      </c>
      <c r="H145" s="80" t="b">
        <v>0</v>
      </c>
      <c r="I145" s="80" t="b">
        <v>0</v>
      </c>
      <c r="J145" s="80" t="b">
        <v>0</v>
      </c>
      <c r="K145" s="80" t="b">
        <v>0</v>
      </c>
      <c r="L145" s="80" t="b">
        <v>0</v>
      </c>
    </row>
    <row r="146" spans="1:12" ht="15">
      <c r="A146" s="112" t="s">
        <v>4319</v>
      </c>
      <c r="B146" s="112" t="s">
        <v>4129</v>
      </c>
      <c r="C146" s="80">
        <v>2</v>
      </c>
      <c r="D146" s="113">
        <v>0.00177127504833358</v>
      </c>
      <c r="E146" s="113">
        <v>1.7746212255974703</v>
      </c>
      <c r="F146" s="80" t="s">
        <v>4356</v>
      </c>
      <c r="G146" s="80" t="b">
        <v>0</v>
      </c>
      <c r="H146" s="80" t="b">
        <v>0</v>
      </c>
      <c r="I146" s="80" t="b">
        <v>0</v>
      </c>
      <c r="J146" s="80" t="b">
        <v>0</v>
      </c>
      <c r="K146" s="80" t="b">
        <v>0</v>
      </c>
      <c r="L146" s="80" t="b">
        <v>0</v>
      </c>
    </row>
    <row r="147" spans="1:12" ht="15">
      <c r="A147" s="112" t="s">
        <v>4140</v>
      </c>
      <c r="B147" s="112" t="s">
        <v>4122</v>
      </c>
      <c r="C147" s="80">
        <v>2</v>
      </c>
      <c r="D147" s="113">
        <v>0.00177127504833358</v>
      </c>
      <c r="E147" s="113">
        <v>0.18022867522204356</v>
      </c>
      <c r="F147" s="80" t="s">
        <v>4356</v>
      </c>
      <c r="G147" s="80" t="b">
        <v>0</v>
      </c>
      <c r="H147" s="80" t="b">
        <v>0</v>
      </c>
      <c r="I147" s="80" t="b">
        <v>0</v>
      </c>
      <c r="J147" s="80" t="b">
        <v>0</v>
      </c>
      <c r="K147" s="80" t="b">
        <v>0</v>
      </c>
      <c r="L147" s="80" t="b">
        <v>0</v>
      </c>
    </row>
    <row r="148" spans="1:12" ht="15">
      <c r="A148" s="112" t="s">
        <v>4122</v>
      </c>
      <c r="B148" s="112" t="s">
        <v>4265</v>
      </c>
      <c r="C148" s="80">
        <v>2</v>
      </c>
      <c r="D148" s="113">
        <v>0.00177127504833358</v>
      </c>
      <c r="E148" s="113">
        <v>0.7840286941193014</v>
      </c>
      <c r="F148" s="80" t="s">
        <v>4356</v>
      </c>
      <c r="G148" s="80" t="b">
        <v>0</v>
      </c>
      <c r="H148" s="80" t="b">
        <v>0</v>
      </c>
      <c r="I148" s="80" t="b">
        <v>0</v>
      </c>
      <c r="J148" s="80" t="b">
        <v>0</v>
      </c>
      <c r="K148" s="80" t="b">
        <v>0</v>
      </c>
      <c r="L148" s="80" t="b">
        <v>0</v>
      </c>
    </row>
    <row r="149" spans="1:12" ht="15">
      <c r="A149" s="112" t="s">
        <v>4265</v>
      </c>
      <c r="B149" s="112" t="s">
        <v>4132</v>
      </c>
      <c r="C149" s="80">
        <v>2</v>
      </c>
      <c r="D149" s="113">
        <v>0.00177127504833358</v>
      </c>
      <c r="E149" s="113">
        <v>1.8001753300698584</v>
      </c>
      <c r="F149" s="80" t="s">
        <v>4356</v>
      </c>
      <c r="G149" s="80" t="b">
        <v>0</v>
      </c>
      <c r="H149" s="80" t="b">
        <v>0</v>
      </c>
      <c r="I149" s="80" t="b">
        <v>0</v>
      </c>
      <c r="J149" s="80" t="b">
        <v>0</v>
      </c>
      <c r="K149" s="80" t="b">
        <v>0</v>
      </c>
      <c r="L149" s="80" t="b">
        <v>0</v>
      </c>
    </row>
    <row r="150" spans="1:12" ht="15">
      <c r="A150" s="112" t="s">
        <v>2874</v>
      </c>
      <c r="B150" s="112" t="s">
        <v>4191</v>
      </c>
      <c r="C150" s="80">
        <v>2</v>
      </c>
      <c r="D150" s="113">
        <v>0.00177127504833358</v>
      </c>
      <c r="E150" s="113">
        <v>1.1025233676617527</v>
      </c>
      <c r="F150" s="80" t="s">
        <v>4356</v>
      </c>
      <c r="G150" s="80" t="b">
        <v>0</v>
      </c>
      <c r="H150" s="80" t="b">
        <v>0</v>
      </c>
      <c r="I150" s="80" t="b">
        <v>0</v>
      </c>
      <c r="J150" s="80" t="b">
        <v>0</v>
      </c>
      <c r="K150" s="80" t="b">
        <v>0</v>
      </c>
      <c r="L150" s="80" t="b">
        <v>0</v>
      </c>
    </row>
    <row r="151" spans="1:12" ht="15">
      <c r="A151" s="112" t="s">
        <v>2874</v>
      </c>
      <c r="B151" s="112" t="s">
        <v>4133</v>
      </c>
      <c r="C151" s="80">
        <v>2</v>
      </c>
      <c r="D151" s="113">
        <v>0.00177127504833358</v>
      </c>
      <c r="E151" s="113">
        <v>0.5326480597051916</v>
      </c>
      <c r="F151" s="80" t="s">
        <v>4356</v>
      </c>
      <c r="G151" s="80" t="b">
        <v>0</v>
      </c>
      <c r="H151" s="80" t="b">
        <v>0</v>
      </c>
      <c r="I151" s="80" t="b">
        <v>0</v>
      </c>
      <c r="J151" s="80" t="b">
        <v>0</v>
      </c>
      <c r="K151" s="80" t="b">
        <v>0</v>
      </c>
      <c r="L151" s="80" t="b">
        <v>0</v>
      </c>
    </row>
    <row r="152" spans="1:12" ht="15">
      <c r="A152" s="112" t="s">
        <v>4147</v>
      </c>
      <c r="B152" s="112" t="s">
        <v>4206</v>
      </c>
      <c r="C152" s="80">
        <v>2</v>
      </c>
      <c r="D152" s="113">
        <v>0.00177127504833358</v>
      </c>
      <c r="E152" s="113">
        <v>1.9384780282361398</v>
      </c>
      <c r="F152" s="80" t="s">
        <v>4356</v>
      </c>
      <c r="G152" s="80" t="b">
        <v>0</v>
      </c>
      <c r="H152" s="80" t="b">
        <v>0</v>
      </c>
      <c r="I152" s="80" t="b">
        <v>0</v>
      </c>
      <c r="J152" s="80" t="b">
        <v>0</v>
      </c>
      <c r="K152" s="80" t="b">
        <v>0</v>
      </c>
      <c r="L152" s="80" t="b">
        <v>0</v>
      </c>
    </row>
    <row r="153" spans="1:12" ht="15">
      <c r="A153" s="112" t="s">
        <v>4183</v>
      </c>
      <c r="B153" s="112" t="s">
        <v>4273</v>
      </c>
      <c r="C153" s="80">
        <v>2</v>
      </c>
      <c r="D153" s="113">
        <v>0.00177127504833358</v>
      </c>
      <c r="E153" s="113">
        <v>2.8415680152280833</v>
      </c>
      <c r="F153" s="80" t="s">
        <v>4356</v>
      </c>
      <c r="G153" s="80" t="b">
        <v>0</v>
      </c>
      <c r="H153" s="80" t="b">
        <v>0</v>
      </c>
      <c r="I153" s="80" t="b">
        <v>0</v>
      </c>
      <c r="J153" s="80" t="b">
        <v>0</v>
      </c>
      <c r="K153" s="80" t="b">
        <v>0</v>
      </c>
      <c r="L153" s="80" t="b">
        <v>0</v>
      </c>
    </row>
    <row r="154" spans="1:12" ht="15">
      <c r="A154" s="112" t="s">
        <v>4150</v>
      </c>
      <c r="B154" s="112" t="s">
        <v>4150</v>
      </c>
      <c r="C154" s="80">
        <v>2</v>
      </c>
      <c r="D154" s="113">
        <v>0.0020334962989119604</v>
      </c>
      <c r="E154" s="113">
        <v>1.1603267778524962</v>
      </c>
      <c r="F154" s="80" t="s">
        <v>4356</v>
      </c>
      <c r="G154" s="80" t="b">
        <v>0</v>
      </c>
      <c r="H154" s="80" t="b">
        <v>0</v>
      </c>
      <c r="I154" s="80" t="b">
        <v>0</v>
      </c>
      <c r="J154" s="80" t="b">
        <v>0</v>
      </c>
      <c r="K154" s="80" t="b">
        <v>0</v>
      </c>
      <c r="L154" s="80" t="b">
        <v>0</v>
      </c>
    </row>
    <row r="155" spans="1:12" ht="15">
      <c r="A155" s="112" t="s">
        <v>4162</v>
      </c>
      <c r="B155" s="112" t="s">
        <v>4146</v>
      </c>
      <c r="C155" s="80">
        <v>2</v>
      </c>
      <c r="D155" s="113">
        <v>0.0020334962989119604</v>
      </c>
      <c r="E155" s="113">
        <v>1.578326580453502</v>
      </c>
      <c r="F155" s="80" t="s">
        <v>4356</v>
      </c>
      <c r="G155" s="80" t="b">
        <v>0</v>
      </c>
      <c r="H155" s="80" t="b">
        <v>1</v>
      </c>
      <c r="I155" s="80" t="b">
        <v>0</v>
      </c>
      <c r="J155" s="80" t="b">
        <v>0</v>
      </c>
      <c r="K155" s="80" t="b">
        <v>0</v>
      </c>
      <c r="L155" s="80" t="b">
        <v>0</v>
      </c>
    </row>
    <row r="156" spans="1:12" ht="15">
      <c r="A156" s="112" t="s">
        <v>4281</v>
      </c>
      <c r="B156" s="112" t="s">
        <v>4123</v>
      </c>
      <c r="C156" s="80">
        <v>2</v>
      </c>
      <c r="D156" s="113">
        <v>0.00177127504833358</v>
      </c>
      <c r="E156" s="113">
        <v>0.984235518796815</v>
      </c>
      <c r="F156" s="80" t="s">
        <v>4356</v>
      </c>
      <c r="G156" s="80" t="b">
        <v>0</v>
      </c>
      <c r="H156" s="80" t="b">
        <v>0</v>
      </c>
      <c r="I156" s="80" t="b">
        <v>0</v>
      </c>
      <c r="J156" s="80" t="b">
        <v>0</v>
      </c>
      <c r="K156" s="80" t="b">
        <v>0</v>
      </c>
      <c r="L156" s="80" t="b">
        <v>0</v>
      </c>
    </row>
    <row r="157" spans="1:12" ht="15">
      <c r="A157" s="112" t="s">
        <v>4130</v>
      </c>
      <c r="B157" s="112" t="s">
        <v>4133</v>
      </c>
      <c r="C157" s="80">
        <v>2</v>
      </c>
      <c r="D157" s="113">
        <v>0.00177127504833358</v>
      </c>
      <c r="E157" s="113">
        <v>0.6995959393210031</v>
      </c>
      <c r="F157" s="80" t="s">
        <v>4356</v>
      </c>
      <c r="G157" s="80" t="b">
        <v>0</v>
      </c>
      <c r="H157" s="80" t="b">
        <v>0</v>
      </c>
      <c r="I157" s="80" t="b">
        <v>0</v>
      </c>
      <c r="J157" s="80" t="b">
        <v>0</v>
      </c>
      <c r="K157" s="80" t="b">
        <v>0</v>
      </c>
      <c r="L157" s="80" t="b">
        <v>0</v>
      </c>
    </row>
    <row r="158" spans="1:12" ht="15">
      <c r="A158" s="112" t="s">
        <v>4130</v>
      </c>
      <c r="B158" s="112" t="s">
        <v>4178</v>
      </c>
      <c r="C158" s="80">
        <v>2</v>
      </c>
      <c r="D158" s="113">
        <v>0.00177127504833358</v>
      </c>
      <c r="E158" s="113">
        <v>1.6374480325721585</v>
      </c>
      <c r="F158" s="80" t="s">
        <v>4356</v>
      </c>
      <c r="G158" s="80" t="b">
        <v>0</v>
      </c>
      <c r="H158" s="80" t="b">
        <v>0</v>
      </c>
      <c r="I158" s="80" t="b">
        <v>0</v>
      </c>
      <c r="J158" s="80" t="b">
        <v>0</v>
      </c>
      <c r="K158" s="80" t="b">
        <v>0</v>
      </c>
      <c r="L158" s="80" t="b">
        <v>0</v>
      </c>
    </row>
    <row r="159" spans="1:12" ht="15">
      <c r="A159" s="112" t="s">
        <v>4125</v>
      </c>
      <c r="B159" s="112" t="s">
        <v>4151</v>
      </c>
      <c r="C159" s="80">
        <v>2</v>
      </c>
      <c r="D159" s="113">
        <v>0.00177127504833358</v>
      </c>
      <c r="E159" s="113">
        <v>0.6047789158187904</v>
      </c>
      <c r="F159" s="80" t="s">
        <v>4356</v>
      </c>
      <c r="G159" s="80" t="b">
        <v>0</v>
      </c>
      <c r="H159" s="80" t="b">
        <v>0</v>
      </c>
      <c r="I159" s="80" t="b">
        <v>0</v>
      </c>
      <c r="J159" s="80" t="b">
        <v>0</v>
      </c>
      <c r="K159" s="80" t="b">
        <v>0</v>
      </c>
      <c r="L159" s="80" t="b">
        <v>0</v>
      </c>
    </row>
    <row r="160" spans="1:12" ht="15">
      <c r="A160" s="112" t="s">
        <v>4151</v>
      </c>
      <c r="B160" s="112" t="s">
        <v>4192</v>
      </c>
      <c r="C160" s="80">
        <v>2</v>
      </c>
      <c r="D160" s="113">
        <v>0.00177127504833358</v>
      </c>
      <c r="E160" s="113">
        <v>1.903715921976928</v>
      </c>
      <c r="F160" s="80" t="s">
        <v>4356</v>
      </c>
      <c r="G160" s="80" t="b">
        <v>0</v>
      </c>
      <c r="H160" s="80" t="b">
        <v>0</v>
      </c>
      <c r="I160" s="80" t="b">
        <v>0</v>
      </c>
      <c r="J160" s="80" t="b">
        <v>0</v>
      </c>
      <c r="K160" s="80" t="b">
        <v>0</v>
      </c>
      <c r="L160" s="80" t="b">
        <v>0</v>
      </c>
    </row>
    <row r="161" spans="1:12" ht="15">
      <c r="A161" s="112" t="s">
        <v>4254</v>
      </c>
      <c r="B161" s="112" t="s">
        <v>4254</v>
      </c>
      <c r="C161" s="80">
        <v>2</v>
      </c>
      <c r="D161" s="113">
        <v>0.00177127504833358</v>
      </c>
      <c r="E161" s="113">
        <v>2.06341676484444</v>
      </c>
      <c r="F161" s="80" t="s">
        <v>4356</v>
      </c>
      <c r="G161" s="80" t="b">
        <v>0</v>
      </c>
      <c r="H161" s="80" t="b">
        <v>0</v>
      </c>
      <c r="I161" s="80" t="b">
        <v>0</v>
      </c>
      <c r="J161" s="80" t="b">
        <v>0</v>
      </c>
      <c r="K161" s="80" t="b">
        <v>0</v>
      </c>
      <c r="L161" s="80" t="b">
        <v>0</v>
      </c>
    </row>
    <row r="162" spans="1:12" ht="15">
      <c r="A162" s="112" t="s">
        <v>4254</v>
      </c>
      <c r="B162" s="112" t="s">
        <v>4137</v>
      </c>
      <c r="C162" s="80">
        <v>2</v>
      </c>
      <c r="D162" s="113">
        <v>0.00177127504833358</v>
      </c>
      <c r="E162" s="113">
        <v>1.6374480325721585</v>
      </c>
      <c r="F162" s="80" t="s">
        <v>4356</v>
      </c>
      <c r="G162" s="80" t="b">
        <v>0</v>
      </c>
      <c r="H162" s="80" t="b">
        <v>0</v>
      </c>
      <c r="I162" s="80" t="b">
        <v>0</v>
      </c>
      <c r="J162" s="80" t="b">
        <v>0</v>
      </c>
      <c r="K162" s="80" t="b">
        <v>0</v>
      </c>
      <c r="L162" s="80" t="b">
        <v>0</v>
      </c>
    </row>
    <row r="163" spans="1:12" ht="15">
      <c r="A163" s="112" t="s">
        <v>4129</v>
      </c>
      <c r="B163" s="112" t="s">
        <v>4137</v>
      </c>
      <c r="C163" s="80">
        <v>2</v>
      </c>
      <c r="D163" s="113">
        <v>0.00177127504833358</v>
      </c>
      <c r="E163" s="113">
        <v>0.9242375891215295</v>
      </c>
      <c r="F163" s="80" t="s">
        <v>4356</v>
      </c>
      <c r="G163" s="80" t="b">
        <v>0</v>
      </c>
      <c r="H163" s="80" t="b">
        <v>0</v>
      </c>
      <c r="I163" s="80" t="b">
        <v>0</v>
      </c>
      <c r="J163" s="80" t="b">
        <v>0</v>
      </c>
      <c r="K163" s="80" t="b">
        <v>0</v>
      </c>
      <c r="L163" s="80" t="b">
        <v>0</v>
      </c>
    </row>
    <row r="164" spans="1:12" ht="15">
      <c r="A164" s="112" t="s">
        <v>4207</v>
      </c>
      <c r="B164" s="112" t="s">
        <v>4238</v>
      </c>
      <c r="C164" s="80">
        <v>2</v>
      </c>
      <c r="D164" s="113">
        <v>0.00177127504833358</v>
      </c>
      <c r="E164" s="113">
        <v>2.6654767561724024</v>
      </c>
      <c r="F164" s="80" t="s">
        <v>4356</v>
      </c>
      <c r="G164" s="80" t="b">
        <v>0</v>
      </c>
      <c r="H164" s="80" t="b">
        <v>0</v>
      </c>
      <c r="I164" s="80" t="b">
        <v>0</v>
      </c>
      <c r="J164" s="80" t="b">
        <v>0</v>
      </c>
      <c r="K164" s="80" t="b">
        <v>0</v>
      </c>
      <c r="L164" s="80" t="b">
        <v>0</v>
      </c>
    </row>
    <row r="165" spans="1:12" ht="15">
      <c r="A165" s="112" t="s">
        <v>4129</v>
      </c>
      <c r="B165" s="112" t="s">
        <v>4124</v>
      </c>
      <c r="C165" s="80">
        <v>2</v>
      </c>
      <c r="D165" s="113">
        <v>0.00177127504833358</v>
      </c>
      <c r="E165" s="113">
        <v>0.3154442151345988</v>
      </c>
      <c r="F165" s="80" t="s">
        <v>4356</v>
      </c>
      <c r="G165" s="80" t="b">
        <v>0</v>
      </c>
      <c r="H165" s="80" t="b">
        <v>0</v>
      </c>
      <c r="I165" s="80" t="b">
        <v>0</v>
      </c>
      <c r="J165" s="80" t="b">
        <v>0</v>
      </c>
      <c r="K165" s="80" t="b">
        <v>0</v>
      </c>
      <c r="L165" s="80" t="b">
        <v>0</v>
      </c>
    </row>
    <row r="166" spans="1:12" ht="15">
      <c r="A166" s="112" t="s">
        <v>4202</v>
      </c>
      <c r="B166" s="112" t="s">
        <v>4170</v>
      </c>
      <c r="C166" s="80">
        <v>2</v>
      </c>
      <c r="D166" s="113">
        <v>0.00177127504833358</v>
      </c>
      <c r="E166" s="113">
        <v>2.2974999708778077</v>
      </c>
      <c r="F166" s="80" t="s">
        <v>4356</v>
      </c>
      <c r="G166" s="80" t="b">
        <v>0</v>
      </c>
      <c r="H166" s="80" t="b">
        <v>0</v>
      </c>
      <c r="I166" s="80" t="b">
        <v>0</v>
      </c>
      <c r="J166" s="80" t="b">
        <v>0</v>
      </c>
      <c r="K166" s="80" t="b">
        <v>0</v>
      </c>
      <c r="L166" s="80" t="b">
        <v>0</v>
      </c>
    </row>
    <row r="167" spans="1:12" ht="15">
      <c r="A167" s="112" t="s">
        <v>4177</v>
      </c>
      <c r="B167" s="112" t="s">
        <v>4132</v>
      </c>
      <c r="C167" s="80">
        <v>2</v>
      </c>
      <c r="D167" s="113">
        <v>0.0020334962989119604</v>
      </c>
      <c r="E167" s="113">
        <v>1.323054075350196</v>
      </c>
      <c r="F167" s="80" t="s">
        <v>4356</v>
      </c>
      <c r="G167" s="80" t="b">
        <v>0</v>
      </c>
      <c r="H167" s="80" t="b">
        <v>0</v>
      </c>
      <c r="I167" s="80" t="b">
        <v>0</v>
      </c>
      <c r="J167" s="80" t="b">
        <v>0</v>
      </c>
      <c r="K167" s="80" t="b">
        <v>0</v>
      </c>
      <c r="L167" s="80" t="b">
        <v>0</v>
      </c>
    </row>
    <row r="168" spans="1:12" ht="15">
      <c r="A168" s="112" t="s">
        <v>4132</v>
      </c>
      <c r="B168" s="112" t="s">
        <v>4177</v>
      </c>
      <c r="C168" s="80">
        <v>2</v>
      </c>
      <c r="D168" s="113">
        <v>0.0020334962989119604</v>
      </c>
      <c r="E168" s="113">
        <v>1.3549014426021906</v>
      </c>
      <c r="F168" s="80" t="s">
        <v>4356</v>
      </c>
      <c r="G168" s="80" t="b">
        <v>0</v>
      </c>
      <c r="H168" s="80" t="b">
        <v>0</v>
      </c>
      <c r="I168" s="80" t="b">
        <v>0</v>
      </c>
      <c r="J168" s="80" t="b">
        <v>0</v>
      </c>
      <c r="K168" s="80" t="b">
        <v>0</v>
      </c>
      <c r="L168" s="80" t="b">
        <v>0</v>
      </c>
    </row>
    <row r="169" spans="1:12" ht="15">
      <c r="A169" s="112" t="s">
        <v>4177</v>
      </c>
      <c r="B169" s="112" t="s">
        <v>4191</v>
      </c>
      <c r="C169" s="80">
        <v>2</v>
      </c>
      <c r="D169" s="113">
        <v>0.0020334962989119604</v>
      </c>
      <c r="E169" s="113">
        <v>1.8203787161581453</v>
      </c>
      <c r="F169" s="80" t="s">
        <v>4356</v>
      </c>
      <c r="G169" s="80" t="b">
        <v>0</v>
      </c>
      <c r="H169" s="80" t="b">
        <v>0</v>
      </c>
      <c r="I169" s="80" t="b">
        <v>0</v>
      </c>
      <c r="J169" s="80" t="b">
        <v>0</v>
      </c>
      <c r="K169" s="80" t="b">
        <v>0</v>
      </c>
      <c r="L169" s="80" t="b">
        <v>0</v>
      </c>
    </row>
    <row r="170" spans="1:12" ht="15">
      <c r="A170" s="112" t="s">
        <v>4191</v>
      </c>
      <c r="B170" s="112" t="s">
        <v>4177</v>
      </c>
      <c r="C170" s="80">
        <v>2</v>
      </c>
      <c r="D170" s="113">
        <v>0.0020334962989119604</v>
      </c>
      <c r="E170" s="113">
        <v>1.8135392916278399</v>
      </c>
      <c r="F170" s="80" t="s">
        <v>4356</v>
      </c>
      <c r="G170" s="80" t="b">
        <v>0</v>
      </c>
      <c r="H170" s="80" t="b">
        <v>0</v>
      </c>
      <c r="I170" s="80" t="b">
        <v>0</v>
      </c>
      <c r="J170" s="80" t="b">
        <v>0</v>
      </c>
      <c r="K170" s="80" t="b">
        <v>0</v>
      </c>
      <c r="L170" s="80" t="b">
        <v>0</v>
      </c>
    </row>
    <row r="171" spans="1:12" ht="15">
      <c r="A171" s="112" t="s">
        <v>4177</v>
      </c>
      <c r="B171" s="112" t="s">
        <v>2874</v>
      </c>
      <c r="C171" s="80">
        <v>2</v>
      </c>
      <c r="D171" s="113">
        <v>0.0020334962989119604</v>
      </c>
      <c r="E171" s="113">
        <v>1.0422274657745019</v>
      </c>
      <c r="F171" s="80" t="s">
        <v>4356</v>
      </c>
      <c r="G171" s="80" t="b">
        <v>0</v>
      </c>
      <c r="H171" s="80" t="b">
        <v>0</v>
      </c>
      <c r="I171" s="80" t="b">
        <v>0</v>
      </c>
      <c r="J171" s="80" t="b">
        <v>0</v>
      </c>
      <c r="K171" s="80" t="b">
        <v>0</v>
      </c>
      <c r="L171" s="80" t="b">
        <v>0</v>
      </c>
    </row>
    <row r="172" spans="1:12" ht="15">
      <c r="A172" s="112" t="s">
        <v>4231</v>
      </c>
      <c r="B172" s="112" t="s">
        <v>4151</v>
      </c>
      <c r="C172" s="80">
        <v>2</v>
      </c>
      <c r="D172" s="113">
        <v>0.00177127504833358</v>
      </c>
      <c r="E172" s="113">
        <v>2.1425980108920646</v>
      </c>
      <c r="F172" s="80" t="s">
        <v>4356</v>
      </c>
      <c r="G172" s="80" t="b">
        <v>0</v>
      </c>
      <c r="H172" s="80" t="b">
        <v>0</v>
      </c>
      <c r="I172" s="80" t="b">
        <v>0</v>
      </c>
      <c r="J172" s="80" t="b">
        <v>0</v>
      </c>
      <c r="K172" s="80" t="b">
        <v>0</v>
      </c>
      <c r="L172" s="80" t="b">
        <v>0</v>
      </c>
    </row>
    <row r="173" spans="1:12" ht="15">
      <c r="A173" s="112" t="s">
        <v>4168</v>
      </c>
      <c r="B173" s="112" t="s">
        <v>4122</v>
      </c>
      <c r="C173" s="80">
        <v>2</v>
      </c>
      <c r="D173" s="113">
        <v>0.0020334962989119604</v>
      </c>
      <c r="E173" s="113">
        <v>0.803477965619944</v>
      </c>
      <c r="F173" s="80" t="s">
        <v>4356</v>
      </c>
      <c r="G173" s="80" t="b">
        <v>0</v>
      </c>
      <c r="H173" s="80" t="b">
        <v>0</v>
      </c>
      <c r="I173" s="80" t="b">
        <v>0</v>
      </c>
      <c r="J173" s="80" t="b">
        <v>0</v>
      </c>
      <c r="K173" s="80" t="b">
        <v>0</v>
      </c>
      <c r="L173" s="80" t="b">
        <v>0</v>
      </c>
    </row>
    <row r="174" spans="1:12" ht="15">
      <c r="A174" s="112" t="s">
        <v>4125</v>
      </c>
      <c r="B174" s="112" t="s">
        <v>4168</v>
      </c>
      <c r="C174" s="80">
        <v>2</v>
      </c>
      <c r="D174" s="113">
        <v>0.0020334962989119604</v>
      </c>
      <c r="E174" s="113">
        <v>1.1788101835465092</v>
      </c>
      <c r="F174" s="80" t="s">
        <v>4356</v>
      </c>
      <c r="G174" s="80" t="b">
        <v>0</v>
      </c>
      <c r="H174" s="80" t="b">
        <v>0</v>
      </c>
      <c r="I174" s="80" t="b">
        <v>0</v>
      </c>
      <c r="J174" s="80" t="b">
        <v>0</v>
      </c>
      <c r="K174" s="80" t="b">
        <v>0</v>
      </c>
      <c r="L174" s="80" t="b">
        <v>0</v>
      </c>
    </row>
    <row r="175" spans="1:12" ht="15">
      <c r="A175" s="112" t="s">
        <v>4168</v>
      </c>
      <c r="B175" s="112" t="s">
        <v>4181</v>
      </c>
      <c r="C175" s="80">
        <v>2</v>
      </c>
      <c r="D175" s="113">
        <v>0.0020334962989119604</v>
      </c>
      <c r="E175" s="113">
        <v>2.2217792569396897</v>
      </c>
      <c r="F175" s="80" t="s">
        <v>4356</v>
      </c>
      <c r="G175" s="80" t="b">
        <v>0</v>
      </c>
      <c r="H175" s="80" t="b">
        <v>0</v>
      </c>
      <c r="I175" s="80" t="b">
        <v>0</v>
      </c>
      <c r="J175" s="80" t="b">
        <v>0</v>
      </c>
      <c r="K175" s="80" t="b">
        <v>0</v>
      </c>
      <c r="L175" s="80" t="b">
        <v>0</v>
      </c>
    </row>
    <row r="176" spans="1:12" ht="15">
      <c r="A176" s="112" t="s">
        <v>4145</v>
      </c>
      <c r="B176" s="112" t="s">
        <v>4126</v>
      </c>
      <c r="C176" s="80">
        <v>2</v>
      </c>
      <c r="D176" s="113">
        <v>0.0020334962989119604</v>
      </c>
      <c r="E176" s="113">
        <v>1.1851503615775283</v>
      </c>
      <c r="F176" s="80" t="s">
        <v>4356</v>
      </c>
      <c r="G176" s="80" t="b">
        <v>0</v>
      </c>
      <c r="H176" s="80" t="b">
        <v>0</v>
      </c>
      <c r="I176" s="80" t="b">
        <v>0</v>
      </c>
      <c r="J176" s="80" t="b">
        <v>0</v>
      </c>
      <c r="K176" s="80" t="b">
        <v>0</v>
      </c>
      <c r="L176" s="80" t="b">
        <v>0</v>
      </c>
    </row>
    <row r="177" spans="1:12" ht="15">
      <c r="A177" s="112" t="s">
        <v>4262</v>
      </c>
      <c r="B177" s="112" t="s">
        <v>4132</v>
      </c>
      <c r="C177" s="80">
        <v>2</v>
      </c>
      <c r="D177" s="113">
        <v>0.0020334962989119604</v>
      </c>
      <c r="E177" s="113">
        <v>1.8001753300698584</v>
      </c>
      <c r="F177" s="80" t="s">
        <v>4356</v>
      </c>
      <c r="G177" s="80" t="b">
        <v>0</v>
      </c>
      <c r="H177" s="80" t="b">
        <v>0</v>
      </c>
      <c r="I177" s="80" t="b">
        <v>0</v>
      </c>
      <c r="J177" s="80" t="b">
        <v>0</v>
      </c>
      <c r="K177" s="80" t="b">
        <v>0</v>
      </c>
      <c r="L177" s="80" t="b">
        <v>0</v>
      </c>
    </row>
    <row r="178" spans="1:12" ht="15">
      <c r="A178" s="112" t="s">
        <v>4132</v>
      </c>
      <c r="B178" s="112" t="s">
        <v>4249</v>
      </c>
      <c r="C178" s="80">
        <v>2</v>
      </c>
      <c r="D178" s="113">
        <v>0.0020334962989119604</v>
      </c>
      <c r="E178" s="113">
        <v>1.7808701748744717</v>
      </c>
      <c r="F178" s="80" t="s">
        <v>4356</v>
      </c>
      <c r="G178" s="80" t="b">
        <v>0</v>
      </c>
      <c r="H178" s="80" t="b">
        <v>0</v>
      </c>
      <c r="I178" s="80" t="b">
        <v>0</v>
      </c>
      <c r="J178" s="80" t="b">
        <v>0</v>
      </c>
      <c r="K178" s="80" t="b">
        <v>0</v>
      </c>
      <c r="L178" s="80" t="b">
        <v>0</v>
      </c>
    </row>
    <row r="179" spans="1:12" ht="15">
      <c r="A179" s="112" t="s">
        <v>4124</v>
      </c>
      <c r="B179" s="112" t="s">
        <v>4278</v>
      </c>
      <c r="C179" s="80">
        <v>2</v>
      </c>
      <c r="D179" s="113">
        <v>0.0020334962989119604</v>
      </c>
      <c r="E179" s="113">
        <v>1.4798401792104905</v>
      </c>
      <c r="F179" s="80" t="s">
        <v>4356</v>
      </c>
      <c r="G179" s="80" t="b">
        <v>0</v>
      </c>
      <c r="H179" s="80" t="b">
        <v>0</v>
      </c>
      <c r="I179" s="80" t="b">
        <v>0</v>
      </c>
      <c r="J179" s="80" t="b">
        <v>0</v>
      </c>
      <c r="K179" s="80" t="b">
        <v>0</v>
      </c>
      <c r="L179" s="80" t="b">
        <v>0</v>
      </c>
    </row>
    <row r="180" spans="1:12" ht="15">
      <c r="A180" s="112" t="s">
        <v>4164</v>
      </c>
      <c r="B180" s="112" t="s">
        <v>4132</v>
      </c>
      <c r="C180" s="80">
        <v>2</v>
      </c>
      <c r="D180" s="113">
        <v>0.00177127504833358</v>
      </c>
      <c r="E180" s="113">
        <v>1.4991453344058772</v>
      </c>
      <c r="F180" s="80" t="s">
        <v>4356</v>
      </c>
      <c r="G180" s="80" t="b">
        <v>0</v>
      </c>
      <c r="H180" s="80" t="b">
        <v>0</v>
      </c>
      <c r="I180" s="80" t="b">
        <v>0</v>
      </c>
      <c r="J180" s="80" t="b">
        <v>0</v>
      </c>
      <c r="K180" s="80" t="b">
        <v>0</v>
      </c>
      <c r="L180" s="80" t="b">
        <v>0</v>
      </c>
    </row>
    <row r="181" spans="1:12" ht="15">
      <c r="A181" s="112" t="s">
        <v>4126</v>
      </c>
      <c r="B181" s="112" t="s">
        <v>4132</v>
      </c>
      <c r="C181" s="80">
        <v>2</v>
      </c>
      <c r="D181" s="113">
        <v>0.00177127504833358</v>
      </c>
      <c r="E181" s="113">
        <v>0.7458176677472657</v>
      </c>
      <c r="F181" s="80" t="s">
        <v>4356</v>
      </c>
      <c r="G181" s="80" t="b">
        <v>0</v>
      </c>
      <c r="H181" s="80" t="b">
        <v>0</v>
      </c>
      <c r="I181" s="80" t="b">
        <v>0</v>
      </c>
      <c r="J181" s="80" t="b">
        <v>0</v>
      </c>
      <c r="K181" s="80" t="b">
        <v>0</v>
      </c>
      <c r="L181" s="80" t="b">
        <v>0</v>
      </c>
    </row>
    <row r="182" spans="1:12" ht="15">
      <c r="A182" s="112" t="s">
        <v>4132</v>
      </c>
      <c r="B182" s="112" t="s">
        <v>4257</v>
      </c>
      <c r="C182" s="80">
        <v>2</v>
      </c>
      <c r="D182" s="113">
        <v>0.00177127504833358</v>
      </c>
      <c r="E182" s="113">
        <v>1.9569614339301529</v>
      </c>
      <c r="F182" s="80" t="s">
        <v>4356</v>
      </c>
      <c r="G182" s="80" t="b">
        <v>0</v>
      </c>
      <c r="H182" s="80" t="b">
        <v>0</v>
      </c>
      <c r="I182" s="80" t="b">
        <v>0</v>
      </c>
      <c r="J182" s="80" t="b">
        <v>1</v>
      </c>
      <c r="K182" s="80" t="b">
        <v>0</v>
      </c>
      <c r="L182" s="80" t="b">
        <v>0</v>
      </c>
    </row>
    <row r="183" spans="1:12" ht="15">
      <c r="A183" s="112" t="s">
        <v>4257</v>
      </c>
      <c r="B183" s="112" t="s">
        <v>4258</v>
      </c>
      <c r="C183" s="80">
        <v>2</v>
      </c>
      <c r="D183" s="113">
        <v>0.00177127504833358</v>
      </c>
      <c r="E183" s="113">
        <v>3.0176592742837647</v>
      </c>
      <c r="F183" s="80" t="s">
        <v>4356</v>
      </c>
      <c r="G183" s="80" t="b">
        <v>1</v>
      </c>
      <c r="H183" s="80" t="b">
        <v>0</v>
      </c>
      <c r="I183" s="80" t="b">
        <v>0</v>
      </c>
      <c r="J183" s="80" t="b">
        <v>1</v>
      </c>
      <c r="K183" s="80" t="b">
        <v>0</v>
      </c>
      <c r="L183" s="80" t="b">
        <v>0</v>
      </c>
    </row>
    <row r="184" spans="1:12" ht="15">
      <c r="A184" s="112" t="s">
        <v>4131</v>
      </c>
      <c r="B184" s="112" t="s">
        <v>4209</v>
      </c>
      <c r="C184" s="80">
        <v>2</v>
      </c>
      <c r="D184" s="113">
        <v>0.00177127504833358</v>
      </c>
      <c r="E184" s="113">
        <v>1.7276246629212466</v>
      </c>
      <c r="F184" s="80" t="s">
        <v>4356</v>
      </c>
      <c r="G184" s="80" t="b">
        <v>0</v>
      </c>
      <c r="H184" s="80" t="b">
        <v>0</v>
      </c>
      <c r="I184" s="80" t="b">
        <v>0</v>
      </c>
      <c r="J184" s="80" t="b">
        <v>0</v>
      </c>
      <c r="K184" s="80" t="b">
        <v>0</v>
      </c>
      <c r="L184" s="80" t="b">
        <v>0</v>
      </c>
    </row>
    <row r="185" spans="1:12" ht="15">
      <c r="A185" s="112" t="s">
        <v>4143</v>
      </c>
      <c r="B185" s="112" t="s">
        <v>4124</v>
      </c>
      <c r="C185" s="80">
        <v>2</v>
      </c>
      <c r="D185" s="113">
        <v>0.00177127504833358</v>
      </c>
      <c r="E185" s="113">
        <v>0.8068059089688715</v>
      </c>
      <c r="F185" s="80" t="s">
        <v>4356</v>
      </c>
      <c r="G185" s="80" t="b">
        <v>0</v>
      </c>
      <c r="H185" s="80" t="b">
        <v>0</v>
      </c>
      <c r="I185" s="80" t="b">
        <v>0</v>
      </c>
      <c r="J185" s="80" t="b">
        <v>0</v>
      </c>
      <c r="K185" s="80" t="b">
        <v>0</v>
      </c>
      <c r="L185" s="80" t="b">
        <v>0</v>
      </c>
    </row>
    <row r="186" spans="1:12" ht="15">
      <c r="A186" s="112" t="s">
        <v>4267</v>
      </c>
      <c r="B186" s="112" t="s">
        <v>4144</v>
      </c>
      <c r="C186" s="80">
        <v>2</v>
      </c>
      <c r="D186" s="113">
        <v>0.00177127504833358</v>
      </c>
      <c r="E186" s="113">
        <v>1.879356576117483</v>
      </c>
      <c r="F186" s="80" t="s">
        <v>4356</v>
      </c>
      <c r="G186" s="80" t="b">
        <v>0</v>
      </c>
      <c r="H186" s="80" t="b">
        <v>0</v>
      </c>
      <c r="I186" s="80" t="b">
        <v>0</v>
      </c>
      <c r="J186" s="80" t="b">
        <v>0</v>
      </c>
      <c r="K186" s="80" t="b">
        <v>0</v>
      </c>
      <c r="L186" s="80" t="b">
        <v>0</v>
      </c>
    </row>
    <row r="187" spans="1:12" ht="15">
      <c r="A187" s="112" t="s">
        <v>4125</v>
      </c>
      <c r="B187" s="112" t="s">
        <v>4122</v>
      </c>
      <c r="C187" s="80">
        <v>2</v>
      </c>
      <c r="D187" s="113">
        <v>0.00177127504833358</v>
      </c>
      <c r="E187" s="113">
        <v>-0.33640112078129253</v>
      </c>
      <c r="F187" s="80" t="s">
        <v>4356</v>
      </c>
      <c r="G187" s="80" t="b">
        <v>0</v>
      </c>
      <c r="H187" s="80" t="b">
        <v>0</v>
      </c>
      <c r="I187" s="80" t="b">
        <v>0</v>
      </c>
      <c r="J187" s="80" t="b">
        <v>0</v>
      </c>
      <c r="K187" s="80" t="b">
        <v>0</v>
      </c>
      <c r="L187" s="80" t="b">
        <v>0</v>
      </c>
    </row>
    <row r="188" spans="1:12" ht="15">
      <c r="A188" s="112" t="s">
        <v>4126</v>
      </c>
      <c r="B188" s="112" t="s">
        <v>2725</v>
      </c>
      <c r="C188" s="80">
        <v>2</v>
      </c>
      <c r="D188" s="113">
        <v>0.0020334962989119604</v>
      </c>
      <c r="E188" s="113">
        <v>0.6732670005986539</v>
      </c>
      <c r="F188" s="80" t="s">
        <v>4356</v>
      </c>
      <c r="G188" s="80" t="b">
        <v>0</v>
      </c>
      <c r="H188" s="80" t="b">
        <v>0</v>
      </c>
      <c r="I188" s="80" t="b">
        <v>0</v>
      </c>
      <c r="J188" s="80" t="b">
        <v>0</v>
      </c>
      <c r="K188" s="80" t="b">
        <v>0</v>
      </c>
      <c r="L188" s="80" t="b">
        <v>0</v>
      </c>
    </row>
    <row r="189" spans="1:12" ht="15">
      <c r="A189" s="112" t="s">
        <v>4125</v>
      </c>
      <c r="B189" s="112" t="s">
        <v>4131</v>
      </c>
      <c r="C189" s="80">
        <v>2</v>
      </c>
      <c r="D189" s="113">
        <v>0.00177127504833358</v>
      </c>
      <c r="E189" s="113">
        <v>0.2493912578322165</v>
      </c>
      <c r="F189" s="80" t="s">
        <v>4356</v>
      </c>
      <c r="G189" s="80" t="b">
        <v>0</v>
      </c>
      <c r="H189" s="80" t="b">
        <v>0</v>
      </c>
      <c r="I189" s="80" t="b">
        <v>0</v>
      </c>
      <c r="J189" s="80" t="b">
        <v>0</v>
      </c>
      <c r="K189" s="80" t="b">
        <v>0</v>
      </c>
      <c r="L189" s="80" t="b">
        <v>0</v>
      </c>
    </row>
    <row r="190" spans="1:12" ht="15">
      <c r="A190" s="112" t="s">
        <v>4159</v>
      </c>
      <c r="B190" s="112" t="s">
        <v>4144</v>
      </c>
      <c r="C190" s="80">
        <v>2</v>
      </c>
      <c r="D190" s="113">
        <v>0.00177127504833358</v>
      </c>
      <c r="E190" s="113">
        <v>1.4022353213978207</v>
      </c>
      <c r="F190" s="80" t="s">
        <v>4356</v>
      </c>
      <c r="G190" s="80" t="b">
        <v>0</v>
      </c>
      <c r="H190" s="80" t="b">
        <v>0</v>
      </c>
      <c r="I190" s="80" t="b">
        <v>0</v>
      </c>
      <c r="J190" s="80" t="b">
        <v>0</v>
      </c>
      <c r="K190" s="80" t="b">
        <v>0</v>
      </c>
      <c r="L190" s="80" t="b">
        <v>0</v>
      </c>
    </row>
    <row r="191" spans="1:12" ht="15">
      <c r="A191" s="112" t="s">
        <v>4134</v>
      </c>
      <c r="B191" s="112" t="s">
        <v>4123</v>
      </c>
      <c r="C191" s="80">
        <v>2</v>
      </c>
      <c r="D191" s="113">
        <v>0.00177127504833358</v>
      </c>
      <c r="E191" s="113">
        <v>0.018093786057782356</v>
      </c>
      <c r="F191" s="80" t="s">
        <v>4356</v>
      </c>
      <c r="G191" s="80" t="b">
        <v>0</v>
      </c>
      <c r="H191" s="80" t="b">
        <v>0</v>
      </c>
      <c r="I191" s="80" t="b">
        <v>0</v>
      </c>
      <c r="J191" s="80" t="b">
        <v>0</v>
      </c>
      <c r="K191" s="80" t="b">
        <v>0</v>
      </c>
      <c r="L191" s="80" t="b">
        <v>0</v>
      </c>
    </row>
    <row r="192" spans="1:12" ht="15">
      <c r="A192" s="112" t="s">
        <v>4136</v>
      </c>
      <c r="B192" s="112" t="s">
        <v>4261</v>
      </c>
      <c r="C192" s="80">
        <v>2</v>
      </c>
      <c r="D192" s="113">
        <v>0.0020334962989119604</v>
      </c>
      <c r="E192" s="113">
        <v>1.6954399795498454</v>
      </c>
      <c r="F192" s="80" t="s">
        <v>4356</v>
      </c>
      <c r="G192" s="80" t="b">
        <v>0</v>
      </c>
      <c r="H192" s="80" t="b">
        <v>0</v>
      </c>
      <c r="I192" s="80" t="b">
        <v>0</v>
      </c>
      <c r="J192" s="80" t="b">
        <v>0</v>
      </c>
      <c r="K192" s="80" t="b">
        <v>0</v>
      </c>
      <c r="L192" s="80" t="b">
        <v>0</v>
      </c>
    </row>
    <row r="193" spans="1:12" ht="15">
      <c r="A193" s="112" t="s">
        <v>4193</v>
      </c>
      <c r="B193" s="112" t="s">
        <v>4230</v>
      </c>
      <c r="C193" s="80">
        <v>2</v>
      </c>
      <c r="D193" s="113">
        <v>0.00177127504833358</v>
      </c>
      <c r="E193" s="113">
        <v>2.8415680152280833</v>
      </c>
      <c r="F193" s="80" t="s">
        <v>4356</v>
      </c>
      <c r="G193" s="80" t="b">
        <v>0</v>
      </c>
      <c r="H193" s="80" t="b">
        <v>0</v>
      </c>
      <c r="I193" s="80" t="b">
        <v>0</v>
      </c>
      <c r="J193" s="80" t="b">
        <v>0</v>
      </c>
      <c r="K193" s="80" t="b">
        <v>0</v>
      </c>
      <c r="L193" s="80" t="b">
        <v>0</v>
      </c>
    </row>
    <row r="194" spans="1:12" ht="15">
      <c r="A194" s="112" t="s">
        <v>4142</v>
      </c>
      <c r="B194" s="112" t="s">
        <v>4142</v>
      </c>
      <c r="C194" s="80">
        <v>2</v>
      </c>
      <c r="D194" s="113">
        <v>0.0020334962989119604</v>
      </c>
      <c r="E194" s="113">
        <v>1.9964699752138266</v>
      </c>
      <c r="F194" s="80" t="s">
        <v>4356</v>
      </c>
      <c r="G194" s="80" t="b">
        <v>0</v>
      </c>
      <c r="H194" s="80" t="b">
        <v>0</v>
      </c>
      <c r="I194" s="80" t="b">
        <v>0</v>
      </c>
      <c r="J194" s="80" t="b">
        <v>0</v>
      </c>
      <c r="K194" s="80" t="b">
        <v>0</v>
      </c>
      <c r="L194" s="80" t="b">
        <v>0</v>
      </c>
    </row>
    <row r="195" spans="1:12" ht="15">
      <c r="A195" s="112" t="s">
        <v>2874</v>
      </c>
      <c r="B195" s="112" t="s">
        <v>4332</v>
      </c>
      <c r="C195" s="80">
        <v>2</v>
      </c>
      <c r="D195" s="113">
        <v>0.00177127504833358</v>
      </c>
      <c r="E195" s="113">
        <v>1.6465914120120284</v>
      </c>
      <c r="F195" s="80" t="s">
        <v>4356</v>
      </c>
      <c r="G195" s="80" t="b">
        <v>0</v>
      </c>
      <c r="H195" s="80" t="b">
        <v>0</v>
      </c>
      <c r="I195" s="80" t="b">
        <v>0</v>
      </c>
      <c r="J195" s="80" t="b">
        <v>0</v>
      </c>
      <c r="K195" s="80" t="b">
        <v>0</v>
      </c>
      <c r="L195" s="80" t="b">
        <v>0</v>
      </c>
    </row>
    <row r="196" spans="1:12" ht="15">
      <c r="A196" s="112" t="s">
        <v>4332</v>
      </c>
      <c r="B196" s="112" t="s">
        <v>4333</v>
      </c>
      <c r="C196" s="80">
        <v>2</v>
      </c>
      <c r="D196" s="113">
        <v>0.00177127504833358</v>
      </c>
      <c r="E196" s="113">
        <v>3.0176592742837647</v>
      </c>
      <c r="F196" s="80" t="s">
        <v>4356</v>
      </c>
      <c r="G196" s="80" t="b">
        <v>0</v>
      </c>
      <c r="H196" s="80" t="b">
        <v>0</v>
      </c>
      <c r="I196" s="80" t="b">
        <v>0</v>
      </c>
      <c r="J196" s="80" t="b">
        <v>0</v>
      </c>
      <c r="K196" s="80" t="b">
        <v>0</v>
      </c>
      <c r="L196" s="80" t="b">
        <v>0</v>
      </c>
    </row>
    <row r="197" spans="1:12" ht="15">
      <c r="A197" s="112" t="s">
        <v>4333</v>
      </c>
      <c r="B197" s="112" t="s">
        <v>4123</v>
      </c>
      <c r="C197" s="80">
        <v>2</v>
      </c>
      <c r="D197" s="113">
        <v>0.00177127504833358</v>
      </c>
      <c r="E197" s="113">
        <v>1.2852655144607963</v>
      </c>
      <c r="F197" s="80" t="s">
        <v>4356</v>
      </c>
      <c r="G197" s="80" t="b">
        <v>0</v>
      </c>
      <c r="H197" s="80" t="b">
        <v>0</v>
      </c>
      <c r="I197" s="80" t="b">
        <v>0</v>
      </c>
      <c r="J197" s="80" t="b">
        <v>0</v>
      </c>
      <c r="K197" s="80" t="b">
        <v>0</v>
      </c>
      <c r="L197" s="80" t="b">
        <v>0</v>
      </c>
    </row>
    <row r="198" spans="1:12" ht="15">
      <c r="A198" s="112" t="s">
        <v>4125</v>
      </c>
      <c r="B198" s="112" t="s">
        <v>4334</v>
      </c>
      <c r="C198" s="80">
        <v>2</v>
      </c>
      <c r="D198" s="113">
        <v>0.00177127504833358</v>
      </c>
      <c r="E198" s="113">
        <v>1.4798401792104905</v>
      </c>
      <c r="F198" s="80" t="s">
        <v>4356</v>
      </c>
      <c r="G198" s="80" t="b">
        <v>0</v>
      </c>
      <c r="H198" s="80" t="b">
        <v>0</v>
      </c>
      <c r="I198" s="80" t="b">
        <v>0</v>
      </c>
      <c r="J198" s="80" t="b">
        <v>0</v>
      </c>
      <c r="K198" s="80" t="b">
        <v>0</v>
      </c>
      <c r="L198" s="80" t="b">
        <v>0</v>
      </c>
    </row>
    <row r="199" spans="1:12" ht="15">
      <c r="A199" s="112" t="s">
        <v>4334</v>
      </c>
      <c r="B199" s="112" t="s">
        <v>4127</v>
      </c>
      <c r="C199" s="80">
        <v>2</v>
      </c>
      <c r="D199" s="113">
        <v>0.00177127504833358</v>
      </c>
      <c r="E199" s="113">
        <v>1.5552612763848086</v>
      </c>
      <c r="F199" s="80" t="s">
        <v>4356</v>
      </c>
      <c r="G199" s="80" t="b">
        <v>0</v>
      </c>
      <c r="H199" s="80" t="b">
        <v>0</v>
      </c>
      <c r="I199" s="80" t="b">
        <v>0</v>
      </c>
      <c r="J199" s="80" t="b">
        <v>0</v>
      </c>
      <c r="K199" s="80" t="b">
        <v>0</v>
      </c>
      <c r="L199" s="80" t="b">
        <v>0</v>
      </c>
    </row>
    <row r="200" spans="1:12" ht="15">
      <c r="A200" s="112" t="s">
        <v>4127</v>
      </c>
      <c r="B200" s="112" t="s">
        <v>4130</v>
      </c>
      <c r="C200" s="80">
        <v>2</v>
      </c>
      <c r="D200" s="113">
        <v>0.00177127504833358</v>
      </c>
      <c r="E200" s="113">
        <v>0.38927034423345314</v>
      </c>
      <c r="F200" s="80" t="s">
        <v>4356</v>
      </c>
      <c r="G200" s="80" t="b">
        <v>0</v>
      </c>
      <c r="H200" s="80" t="b">
        <v>0</v>
      </c>
      <c r="I200" s="80" t="b">
        <v>0</v>
      </c>
      <c r="J200" s="80" t="b">
        <v>0</v>
      </c>
      <c r="K200" s="80" t="b">
        <v>0</v>
      </c>
      <c r="L200" s="80" t="b">
        <v>0</v>
      </c>
    </row>
    <row r="201" spans="1:12" ht="15">
      <c r="A201" s="112" t="s">
        <v>4137</v>
      </c>
      <c r="B201" s="112" t="s">
        <v>4212</v>
      </c>
      <c r="C201" s="80">
        <v>2</v>
      </c>
      <c r="D201" s="113">
        <v>0.0020334962989119604</v>
      </c>
      <c r="E201" s="113">
        <v>1.8415680152280833</v>
      </c>
      <c r="F201" s="80" t="s">
        <v>4356</v>
      </c>
      <c r="G201" s="80" t="b">
        <v>0</v>
      </c>
      <c r="H201" s="80" t="b">
        <v>0</v>
      </c>
      <c r="I201" s="80" t="b">
        <v>0</v>
      </c>
      <c r="J201" s="80" t="b">
        <v>0</v>
      </c>
      <c r="K201" s="80" t="b">
        <v>0</v>
      </c>
      <c r="L201" s="80" t="b">
        <v>0</v>
      </c>
    </row>
    <row r="202" spans="1:12" ht="15">
      <c r="A202" s="112" t="s">
        <v>4212</v>
      </c>
      <c r="B202" s="112" t="s">
        <v>4157</v>
      </c>
      <c r="C202" s="80">
        <v>2</v>
      </c>
      <c r="D202" s="113">
        <v>0.0020334962989119604</v>
      </c>
      <c r="E202" s="113">
        <v>2.239508023900121</v>
      </c>
      <c r="F202" s="80" t="s">
        <v>4356</v>
      </c>
      <c r="G202" s="80" t="b">
        <v>0</v>
      </c>
      <c r="H202" s="80" t="b">
        <v>0</v>
      </c>
      <c r="I202" s="80" t="b">
        <v>0</v>
      </c>
      <c r="J202" s="80" t="b">
        <v>0</v>
      </c>
      <c r="K202" s="80" t="b">
        <v>0</v>
      </c>
      <c r="L202" s="80" t="b">
        <v>0</v>
      </c>
    </row>
    <row r="203" spans="1:12" ht="15">
      <c r="A203" s="112" t="s">
        <v>4137</v>
      </c>
      <c r="B203" s="112" t="s">
        <v>2874</v>
      </c>
      <c r="C203" s="80">
        <v>2</v>
      </c>
      <c r="D203" s="113">
        <v>0.0020334962989119604</v>
      </c>
      <c r="E203" s="113">
        <v>0.8203787161581453</v>
      </c>
      <c r="F203" s="80" t="s">
        <v>4356</v>
      </c>
      <c r="G203" s="80" t="b">
        <v>0</v>
      </c>
      <c r="H203" s="80" t="b">
        <v>0</v>
      </c>
      <c r="I203" s="80" t="b">
        <v>0</v>
      </c>
      <c r="J203" s="80" t="b">
        <v>0</v>
      </c>
      <c r="K203" s="80" t="b">
        <v>0</v>
      </c>
      <c r="L203" s="80" t="b">
        <v>0</v>
      </c>
    </row>
    <row r="204" spans="1:12" ht="15">
      <c r="A204" s="112" t="s">
        <v>4213</v>
      </c>
      <c r="B204" s="112" t="s">
        <v>4126</v>
      </c>
      <c r="C204" s="80">
        <v>2</v>
      </c>
      <c r="D204" s="113">
        <v>0.0020334962989119604</v>
      </c>
      <c r="E204" s="113">
        <v>1.4861803572415095</v>
      </c>
      <c r="F204" s="80" t="s">
        <v>4356</v>
      </c>
      <c r="G204" s="80" t="b">
        <v>0</v>
      </c>
      <c r="H204" s="80" t="b">
        <v>0</v>
      </c>
      <c r="I204" s="80" t="b">
        <v>0</v>
      </c>
      <c r="J204" s="80" t="b">
        <v>0</v>
      </c>
      <c r="K204" s="80" t="b">
        <v>0</v>
      </c>
      <c r="L204" s="80" t="b">
        <v>0</v>
      </c>
    </row>
    <row r="205" spans="1:12" ht="15">
      <c r="A205" s="112" t="s">
        <v>4174</v>
      </c>
      <c r="B205" s="112" t="s">
        <v>4129</v>
      </c>
      <c r="C205" s="80">
        <v>2</v>
      </c>
      <c r="D205" s="113">
        <v>0.00177127504833358</v>
      </c>
      <c r="E205" s="113">
        <v>1.2974999708778079</v>
      </c>
      <c r="F205" s="80" t="s">
        <v>4356</v>
      </c>
      <c r="G205" s="80" t="b">
        <v>0</v>
      </c>
      <c r="H205" s="80" t="b">
        <v>0</v>
      </c>
      <c r="I205" s="80" t="b">
        <v>0</v>
      </c>
      <c r="J205" s="80" t="b">
        <v>0</v>
      </c>
      <c r="K205" s="80" t="b">
        <v>0</v>
      </c>
      <c r="L205" s="80" t="b">
        <v>0</v>
      </c>
    </row>
    <row r="206" spans="1:12" ht="15">
      <c r="A206" s="112" t="s">
        <v>4161</v>
      </c>
      <c r="B206" s="112" t="s">
        <v>4155</v>
      </c>
      <c r="C206" s="80">
        <v>2</v>
      </c>
      <c r="D206" s="113">
        <v>0.00177127504833358</v>
      </c>
      <c r="E206" s="113">
        <v>2.239508023900121</v>
      </c>
      <c r="F206" s="80" t="s">
        <v>4356</v>
      </c>
      <c r="G206" s="80" t="b">
        <v>0</v>
      </c>
      <c r="H206" s="80" t="b">
        <v>0</v>
      </c>
      <c r="I206" s="80" t="b">
        <v>0</v>
      </c>
      <c r="J206" s="80" t="b">
        <v>0</v>
      </c>
      <c r="K206" s="80" t="b">
        <v>0</v>
      </c>
      <c r="L206" s="80" t="b">
        <v>0</v>
      </c>
    </row>
    <row r="207" spans="1:12" ht="15">
      <c r="A207" s="112" t="s">
        <v>4124</v>
      </c>
      <c r="B207" s="112" t="s">
        <v>4276</v>
      </c>
      <c r="C207" s="80">
        <v>2</v>
      </c>
      <c r="D207" s="113">
        <v>0.00177127504833358</v>
      </c>
      <c r="E207" s="113">
        <v>1.3037489201548091</v>
      </c>
      <c r="F207" s="80" t="s">
        <v>4356</v>
      </c>
      <c r="G207" s="80" t="b">
        <v>0</v>
      </c>
      <c r="H207" s="80" t="b">
        <v>0</v>
      </c>
      <c r="I207" s="80" t="b">
        <v>0</v>
      </c>
      <c r="J207" s="80" t="b">
        <v>0</v>
      </c>
      <c r="K207" s="80" t="b">
        <v>0</v>
      </c>
      <c r="L207" s="80" t="b">
        <v>0</v>
      </c>
    </row>
    <row r="208" spans="1:12" ht="15">
      <c r="A208" s="112" t="s">
        <v>4196</v>
      </c>
      <c r="B208" s="112" t="s">
        <v>4135</v>
      </c>
      <c r="C208" s="80">
        <v>2</v>
      </c>
      <c r="D208" s="113">
        <v>0.00177127504833358</v>
      </c>
      <c r="E208" s="113">
        <v>2.239508023900121</v>
      </c>
      <c r="F208" s="80" t="s">
        <v>4356</v>
      </c>
      <c r="G208" s="80" t="b">
        <v>0</v>
      </c>
      <c r="H208" s="80" t="b">
        <v>0</v>
      </c>
      <c r="I208" s="80" t="b">
        <v>0</v>
      </c>
      <c r="J208" s="80" t="b">
        <v>0</v>
      </c>
      <c r="K208" s="80" t="b">
        <v>0</v>
      </c>
      <c r="L208" s="80" t="b">
        <v>0</v>
      </c>
    </row>
    <row r="209" spans="1:12" ht="15">
      <c r="A209" s="112" t="s">
        <v>4131</v>
      </c>
      <c r="B209" s="112" t="s">
        <v>4131</v>
      </c>
      <c r="C209" s="80">
        <v>2</v>
      </c>
      <c r="D209" s="113">
        <v>0.0020334962989119604</v>
      </c>
      <c r="E209" s="113">
        <v>0.4971757415429727</v>
      </c>
      <c r="F209" s="80" t="s">
        <v>4356</v>
      </c>
      <c r="G209" s="80" t="b">
        <v>0</v>
      </c>
      <c r="H209" s="80" t="b">
        <v>0</v>
      </c>
      <c r="I209" s="80" t="b">
        <v>0</v>
      </c>
      <c r="J209" s="80" t="b">
        <v>0</v>
      </c>
      <c r="K209" s="80" t="b">
        <v>0</v>
      </c>
      <c r="L209" s="80" t="b">
        <v>0</v>
      </c>
    </row>
    <row r="210" spans="1:12" ht="15">
      <c r="A210" s="112" t="s">
        <v>4125</v>
      </c>
      <c r="B210" s="112" t="s">
        <v>4134</v>
      </c>
      <c r="C210" s="80">
        <v>2</v>
      </c>
      <c r="D210" s="113">
        <v>0.00177127504833358</v>
      </c>
      <c r="E210" s="113">
        <v>0.17881018354650932</v>
      </c>
      <c r="F210" s="80" t="s">
        <v>4356</v>
      </c>
      <c r="G210" s="80" t="b">
        <v>0</v>
      </c>
      <c r="H210" s="80" t="b">
        <v>0</v>
      </c>
      <c r="I210" s="80" t="b">
        <v>0</v>
      </c>
      <c r="J210" s="80" t="b">
        <v>0</v>
      </c>
      <c r="K210" s="80" t="b">
        <v>0</v>
      </c>
      <c r="L210" s="80" t="b">
        <v>0</v>
      </c>
    </row>
    <row r="211" spans="1:12" ht="15">
      <c r="A211" s="112" t="s">
        <v>4134</v>
      </c>
      <c r="B211" s="112" t="s">
        <v>4223</v>
      </c>
      <c r="C211" s="80">
        <v>2</v>
      </c>
      <c r="D211" s="113">
        <v>0.00177127504833358</v>
      </c>
      <c r="E211" s="113">
        <v>1.206419501530475</v>
      </c>
      <c r="F211" s="80" t="s">
        <v>4356</v>
      </c>
      <c r="G211" s="80" t="b">
        <v>0</v>
      </c>
      <c r="H211" s="80" t="b">
        <v>0</v>
      </c>
      <c r="I211" s="80" t="b">
        <v>0</v>
      </c>
      <c r="J211" s="80" t="b">
        <v>0</v>
      </c>
      <c r="K211" s="80" t="b">
        <v>0</v>
      </c>
      <c r="L211" s="80" t="b">
        <v>0</v>
      </c>
    </row>
    <row r="212" spans="1:12" ht="15">
      <c r="A212" s="112" t="s">
        <v>4267</v>
      </c>
      <c r="B212" s="112" t="s">
        <v>4275</v>
      </c>
      <c r="C212" s="80">
        <v>2</v>
      </c>
      <c r="D212" s="113">
        <v>0.00177127504833358</v>
      </c>
      <c r="E212" s="113">
        <v>2.443628006556046</v>
      </c>
      <c r="F212" s="80" t="s">
        <v>4356</v>
      </c>
      <c r="G212" s="80" t="b">
        <v>0</v>
      </c>
      <c r="H212" s="80" t="b">
        <v>0</v>
      </c>
      <c r="I212" s="80" t="b">
        <v>0</v>
      </c>
      <c r="J212" s="80" t="b">
        <v>0</v>
      </c>
      <c r="K212" s="80" t="b">
        <v>0</v>
      </c>
      <c r="L212" s="80" t="b">
        <v>0</v>
      </c>
    </row>
    <row r="213" spans="1:12" ht="15">
      <c r="A213" s="112" t="s">
        <v>4233</v>
      </c>
      <c r="B213" s="112" t="s">
        <v>4309</v>
      </c>
      <c r="C213" s="80">
        <v>2</v>
      </c>
      <c r="D213" s="113">
        <v>0.00177127504833358</v>
      </c>
      <c r="E213" s="113">
        <v>2.540538019564102</v>
      </c>
      <c r="F213" s="80" t="s">
        <v>4356</v>
      </c>
      <c r="G213" s="80" t="b">
        <v>0</v>
      </c>
      <c r="H213" s="80" t="b">
        <v>0</v>
      </c>
      <c r="I213" s="80" t="b">
        <v>0</v>
      </c>
      <c r="J213" s="80" t="b">
        <v>0</v>
      </c>
      <c r="K213" s="80" t="b">
        <v>0</v>
      </c>
      <c r="L213" s="80" t="b">
        <v>0</v>
      </c>
    </row>
    <row r="214" spans="1:12" ht="15">
      <c r="A214" s="112" t="s">
        <v>4309</v>
      </c>
      <c r="B214" s="112" t="s">
        <v>4265</v>
      </c>
      <c r="C214" s="80">
        <v>2</v>
      </c>
      <c r="D214" s="113">
        <v>0.00177127504833358</v>
      </c>
      <c r="E214" s="113">
        <v>2.443628006556046</v>
      </c>
      <c r="F214" s="80" t="s">
        <v>4356</v>
      </c>
      <c r="G214" s="80" t="b">
        <v>0</v>
      </c>
      <c r="H214" s="80" t="b">
        <v>0</v>
      </c>
      <c r="I214" s="80" t="b">
        <v>0</v>
      </c>
      <c r="J214" s="80" t="b">
        <v>0</v>
      </c>
      <c r="K214" s="80" t="b">
        <v>0</v>
      </c>
      <c r="L214" s="80" t="b">
        <v>0</v>
      </c>
    </row>
    <row r="215" spans="1:12" ht="15">
      <c r="A215" s="112" t="s">
        <v>4335</v>
      </c>
      <c r="B215" s="112" t="s">
        <v>4122</v>
      </c>
      <c r="C215" s="80">
        <v>2</v>
      </c>
      <c r="D215" s="113">
        <v>0.0020334962989119604</v>
      </c>
      <c r="E215" s="113">
        <v>1.2014179742919815</v>
      </c>
      <c r="F215" s="80" t="s">
        <v>4356</v>
      </c>
      <c r="G215" s="80" t="b">
        <v>0</v>
      </c>
      <c r="H215" s="80" t="b">
        <v>0</v>
      </c>
      <c r="I215" s="80" t="b">
        <v>0</v>
      </c>
      <c r="J215" s="80" t="b">
        <v>0</v>
      </c>
      <c r="K215" s="80" t="b">
        <v>0</v>
      </c>
      <c r="L215" s="80" t="b">
        <v>0</v>
      </c>
    </row>
    <row r="216" spans="1:12" ht="15">
      <c r="A216" s="112" t="s">
        <v>4133</v>
      </c>
      <c r="B216" s="112" t="s">
        <v>4133</v>
      </c>
      <c r="C216" s="80">
        <v>2</v>
      </c>
      <c r="D216" s="113">
        <v>0.0020334962989119604</v>
      </c>
      <c r="E216" s="113">
        <v>0.5145498376123955</v>
      </c>
      <c r="F216" s="80" t="s">
        <v>4356</v>
      </c>
      <c r="G216" s="80" t="b">
        <v>0</v>
      </c>
      <c r="H216" s="80" t="b">
        <v>0</v>
      </c>
      <c r="I216" s="80" t="b">
        <v>0</v>
      </c>
      <c r="J216" s="80" t="b">
        <v>0</v>
      </c>
      <c r="K216" s="80" t="b">
        <v>0</v>
      </c>
      <c r="L216" s="80" t="b">
        <v>0</v>
      </c>
    </row>
    <row r="217" spans="1:12" ht="15">
      <c r="A217" s="112" t="s">
        <v>4172</v>
      </c>
      <c r="B217" s="112" t="s">
        <v>4214</v>
      </c>
      <c r="C217" s="80">
        <v>2</v>
      </c>
      <c r="D217" s="113">
        <v>0.00177127504833358</v>
      </c>
      <c r="E217" s="113">
        <v>2.2217792569396897</v>
      </c>
      <c r="F217" s="80" t="s">
        <v>4356</v>
      </c>
      <c r="G217" s="80" t="b">
        <v>0</v>
      </c>
      <c r="H217" s="80" t="b">
        <v>0</v>
      </c>
      <c r="I217" s="80" t="b">
        <v>0</v>
      </c>
      <c r="J217" s="80" t="b">
        <v>0</v>
      </c>
      <c r="K217" s="80" t="b">
        <v>0</v>
      </c>
      <c r="L217" s="80" t="b">
        <v>0</v>
      </c>
    </row>
    <row r="218" spans="1:12" ht="15">
      <c r="A218" s="112" t="s">
        <v>4214</v>
      </c>
      <c r="B218" s="112" t="s">
        <v>4123</v>
      </c>
      <c r="C218" s="80">
        <v>2</v>
      </c>
      <c r="D218" s="113">
        <v>0.00177127504833358</v>
      </c>
      <c r="E218" s="113">
        <v>0.8873255057887586</v>
      </c>
      <c r="F218" s="80" t="s">
        <v>4356</v>
      </c>
      <c r="G218" s="80" t="b">
        <v>0</v>
      </c>
      <c r="H218" s="80" t="b">
        <v>0</v>
      </c>
      <c r="I218" s="80" t="b">
        <v>0</v>
      </c>
      <c r="J218" s="80" t="b">
        <v>0</v>
      </c>
      <c r="K218" s="80" t="b">
        <v>0</v>
      </c>
      <c r="L218" s="80" t="b">
        <v>0</v>
      </c>
    </row>
    <row r="219" spans="1:12" ht="15">
      <c r="A219" s="112" t="s">
        <v>4170</v>
      </c>
      <c r="B219" s="112" t="s">
        <v>4217</v>
      </c>
      <c r="C219" s="80">
        <v>2</v>
      </c>
      <c r="D219" s="113">
        <v>0.00177127504833358</v>
      </c>
      <c r="E219" s="113">
        <v>1.9964699752138266</v>
      </c>
      <c r="F219" s="80" t="s">
        <v>4356</v>
      </c>
      <c r="G219" s="80" t="b">
        <v>0</v>
      </c>
      <c r="H219" s="80" t="b">
        <v>0</v>
      </c>
      <c r="I219" s="80" t="b">
        <v>0</v>
      </c>
      <c r="J219" s="80" t="b">
        <v>0</v>
      </c>
      <c r="K219" s="80" t="b">
        <v>0</v>
      </c>
      <c r="L219" s="80" t="b">
        <v>0</v>
      </c>
    </row>
    <row r="220" spans="1:12" ht="15">
      <c r="A220" s="112" t="s">
        <v>4129</v>
      </c>
      <c r="B220" s="112" t="s">
        <v>4223</v>
      </c>
      <c r="C220" s="80">
        <v>2</v>
      </c>
      <c r="D220" s="113">
        <v>0.00177127504833358</v>
      </c>
      <c r="E220" s="113">
        <v>1.2832595317631974</v>
      </c>
      <c r="F220" s="80" t="s">
        <v>4356</v>
      </c>
      <c r="G220" s="80" t="b">
        <v>0</v>
      </c>
      <c r="H220" s="80" t="b">
        <v>0</v>
      </c>
      <c r="I220" s="80" t="b">
        <v>0</v>
      </c>
      <c r="J220" s="80" t="b">
        <v>0</v>
      </c>
      <c r="K220" s="80" t="b">
        <v>0</v>
      </c>
      <c r="L220" s="80" t="b">
        <v>0</v>
      </c>
    </row>
    <row r="221" spans="1:12" ht="15">
      <c r="A221" s="112" t="s">
        <v>4287</v>
      </c>
      <c r="B221" s="112" t="s">
        <v>4345</v>
      </c>
      <c r="C221" s="80">
        <v>2</v>
      </c>
      <c r="D221" s="113">
        <v>0.0020334962989119604</v>
      </c>
      <c r="E221" s="113">
        <v>2.7166292786197834</v>
      </c>
      <c r="F221" s="80" t="s">
        <v>4356</v>
      </c>
      <c r="G221" s="80" t="b">
        <v>0</v>
      </c>
      <c r="H221" s="80" t="b">
        <v>0</v>
      </c>
      <c r="I221" s="80" t="b">
        <v>0</v>
      </c>
      <c r="J221" s="80" t="b">
        <v>0</v>
      </c>
      <c r="K221" s="80" t="b">
        <v>0</v>
      </c>
      <c r="L221" s="80" t="b">
        <v>0</v>
      </c>
    </row>
    <row r="222" spans="1:12" ht="15">
      <c r="A222" s="112" t="s">
        <v>4289</v>
      </c>
      <c r="B222" s="112" t="s">
        <v>4290</v>
      </c>
      <c r="C222" s="80">
        <v>2</v>
      </c>
      <c r="D222" s="113">
        <v>0.0020334962989119604</v>
      </c>
      <c r="E222" s="113">
        <v>2.415599282955802</v>
      </c>
      <c r="F222" s="80" t="s">
        <v>4356</v>
      </c>
      <c r="G222" s="80" t="b">
        <v>0</v>
      </c>
      <c r="H222" s="80" t="b">
        <v>0</v>
      </c>
      <c r="I222" s="80" t="b">
        <v>0</v>
      </c>
      <c r="J222" s="80" t="b">
        <v>0</v>
      </c>
      <c r="K222" s="80" t="b">
        <v>0</v>
      </c>
      <c r="L222" s="80" t="b">
        <v>0</v>
      </c>
    </row>
    <row r="223" spans="1:12" ht="15">
      <c r="A223" s="112" t="s">
        <v>4290</v>
      </c>
      <c r="B223" s="112" t="s">
        <v>4311</v>
      </c>
      <c r="C223" s="80">
        <v>2</v>
      </c>
      <c r="D223" s="113">
        <v>0.0020334962989119604</v>
      </c>
      <c r="E223" s="113">
        <v>2.540538019564102</v>
      </c>
      <c r="F223" s="80" t="s">
        <v>4356</v>
      </c>
      <c r="G223" s="80" t="b">
        <v>0</v>
      </c>
      <c r="H223" s="80" t="b">
        <v>0</v>
      </c>
      <c r="I223" s="80" t="b">
        <v>0</v>
      </c>
      <c r="J223" s="80" t="b">
        <v>0</v>
      </c>
      <c r="K223" s="80" t="b">
        <v>0</v>
      </c>
      <c r="L223" s="80" t="b">
        <v>0</v>
      </c>
    </row>
    <row r="224" spans="1:12" ht="15">
      <c r="A224" s="112" t="s">
        <v>4311</v>
      </c>
      <c r="B224" s="112" t="s">
        <v>4290</v>
      </c>
      <c r="C224" s="80">
        <v>2</v>
      </c>
      <c r="D224" s="113">
        <v>0.0020334962989119604</v>
      </c>
      <c r="E224" s="113">
        <v>2.540538019564102</v>
      </c>
      <c r="F224" s="80" t="s">
        <v>4356</v>
      </c>
      <c r="G224" s="80" t="b">
        <v>0</v>
      </c>
      <c r="H224" s="80" t="b">
        <v>0</v>
      </c>
      <c r="I224" s="80" t="b">
        <v>0</v>
      </c>
      <c r="J224" s="80" t="b">
        <v>0</v>
      </c>
      <c r="K224" s="80" t="b">
        <v>0</v>
      </c>
      <c r="L224" s="80" t="b">
        <v>0</v>
      </c>
    </row>
    <row r="225" spans="1:12" ht="15">
      <c r="A225" s="112" t="s">
        <v>4294</v>
      </c>
      <c r="B225" s="112" t="s">
        <v>4186</v>
      </c>
      <c r="C225" s="80">
        <v>2</v>
      </c>
      <c r="D225" s="113">
        <v>0.0020334962989119604</v>
      </c>
      <c r="E225" s="113">
        <v>2.415599282955802</v>
      </c>
      <c r="F225" s="80" t="s">
        <v>4356</v>
      </c>
      <c r="G225" s="80" t="b">
        <v>0</v>
      </c>
      <c r="H225" s="80" t="b">
        <v>0</v>
      </c>
      <c r="I225" s="80" t="b">
        <v>0</v>
      </c>
      <c r="J225" s="80" t="b">
        <v>0</v>
      </c>
      <c r="K225" s="80" t="b">
        <v>1</v>
      </c>
      <c r="L225" s="80" t="b">
        <v>0</v>
      </c>
    </row>
    <row r="226" spans="1:12" ht="15">
      <c r="A226" s="112" t="s">
        <v>4153</v>
      </c>
      <c r="B226" s="112" t="s">
        <v>4153</v>
      </c>
      <c r="C226" s="80">
        <v>2</v>
      </c>
      <c r="D226" s="113">
        <v>0.0020334962989119604</v>
      </c>
      <c r="E226" s="113">
        <v>1.2675367475003645</v>
      </c>
      <c r="F226" s="80" t="s">
        <v>4356</v>
      </c>
      <c r="G226" s="80" t="b">
        <v>0</v>
      </c>
      <c r="H226" s="80" t="b">
        <v>0</v>
      </c>
      <c r="I226" s="80" t="b">
        <v>0</v>
      </c>
      <c r="J226" s="80" t="b">
        <v>0</v>
      </c>
      <c r="K226" s="80" t="b">
        <v>0</v>
      </c>
      <c r="L226" s="80" t="b">
        <v>0</v>
      </c>
    </row>
    <row r="227" spans="1:12" ht="15">
      <c r="A227" s="112" t="s">
        <v>4292</v>
      </c>
      <c r="B227" s="112" t="s">
        <v>4293</v>
      </c>
      <c r="C227" s="80">
        <v>2</v>
      </c>
      <c r="D227" s="113">
        <v>0.0020334962989119604</v>
      </c>
      <c r="E227" s="113">
        <v>3.0176592742837647</v>
      </c>
      <c r="F227" s="80" t="s">
        <v>4356</v>
      </c>
      <c r="G227" s="80" t="b">
        <v>0</v>
      </c>
      <c r="H227" s="80" t="b">
        <v>0</v>
      </c>
      <c r="I227" s="80" t="b">
        <v>0</v>
      </c>
      <c r="J227" s="80" t="b">
        <v>0</v>
      </c>
      <c r="K227" s="80" t="b">
        <v>0</v>
      </c>
      <c r="L227" s="80" t="b">
        <v>0</v>
      </c>
    </row>
    <row r="228" spans="1:12" ht="15">
      <c r="A228" s="112" t="s">
        <v>4293</v>
      </c>
      <c r="B228" s="112" t="s">
        <v>4224</v>
      </c>
      <c r="C228" s="80">
        <v>2</v>
      </c>
      <c r="D228" s="113">
        <v>0.0020334962989119604</v>
      </c>
      <c r="E228" s="113">
        <v>3.0176592742837647</v>
      </c>
      <c r="F228" s="80" t="s">
        <v>4356</v>
      </c>
      <c r="G228" s="80" t="b">
        <v>0</v>
      </c>
      <c r="H228" s="80" t="b">
        <v>0</v>
      </c>
      <c r="I228" s="80" t="b">
        <v>0</v>
      </c>
      <c r="J228" s="80" t="b">
        <v>0</v>
      </c>
      <c r="K228" s="80" t="b">
        <v>0</v>
      </c>
      <c r="L228" s="80" t="b">
        <v>0</v>
      </c>
    </row>
    <row r="229" spans="1:12" ht="15">
      <c r="A229" s="112" t="s">
        <v>4349</v>
      </c>
      <c r="B229" s="112" t="s">
        <v>4350</v>
      </c>
      <c r="C229" s="80">
        <v>2</v>
      </c>
      <c r="D229" s="113">
        <v>0.0020334962989119604</v>
      </c>
      <c r="E229" s="113">
        <v>3.0176592742837647</v>
      </c>
      <c r="F229" s="80" t="s">
        <v>4356</v>
      </c>
      <c r="G229" s="80" t="b">
        <v>0</v>
      </c>
      <c r="H229" s="80" t="b">
        <v>0</v>
      </c>
      <c r="I229" s="80" t="b">
        <v>0</v>
      </c>
      <c r="J229" s="80" t="b">
        <v>0</v>
      </c>
      <c r="K229" s="80" t="b">
        <v>0</v>
      </c>
      <c r="L229" s="80" t="b">
        <v>0</v>
      </c>
    </row>
    <row r="230" spans="1:12" ht="15">
      <c r="A230" s="112" t="s">
        <v>4122</v>
      </c>
      <c r="B230" s="112" t="s">
        <v>4125</v>
      </c>
      <c r="C230" s="80">
        <v>24</v>
      </c>
      <c r="D230" s="113">
        <v>0.01935926778415859</v>
      </c>
      <c r="E230" s="113">
        <v>1.059604095802386</v>
      </c>
      <c r="F230" s="80" t="s">
        <v>4101</v>
      </c>
      <c r="G230" s="80" t="b">
        <v>0</v>
      </c>
      <c r="H230" s="80" t="b">
        <v>0</v>
      </c>
      <c r="I230" s="80" t="b">
        <v>0</v>
      </c>
      <c r="J230" s="80" t="b">
        <v>0</v>
      </c>
      <c r="K230" s="80" t="b">
        <v>0</v>
      </c>
      <c r="L230" s="80" t="b">
        <v>0</v>
      </c>
    </row>
    <row r="231" spans="1:12" ht="15">
      <c r="A231" s="112" t="s">
        <v>4123</v>
      </c>
      <c r="B231" s="112" t="s">
        <v>4122</v>
      </c>
      <c r="C231" s="80">
        <v>15</v>
      </c>
      <c r="D231" s="113">
        <v>0.015293539431881914</v>
      </c>
      <c r="E231" s="113">
        <v>1.1601182330792676</v>
      </c>
      <c r="F231" s="80" t="s">
        <v>4101</v>
      </c>
      <c r="G231" s="80" t="b">
        <v>0</v>
      </c>
      <c r="H231" s="80" t="b">
        <v>0</v>
      </c>
      <c r="I231" s="80" t="b">
        <v>0</v>
      </c>
      <c r="J231" s="80" t="b">
        <v>0</v>
      </c>
      <c r="K231" s="80" t="b">
        <v>0</v>
      </c>
      <c r="L231" s="80" t="b">
        <v>0</v>
      </c>
    </row>
    <row r="232" spans="1:12" ht="15">
      <c r="A232" s="112" t="s">
        <v>4144</v>
      </c>
      <c r="B232" s="112" t="s">
        <v>4149</v>
      </c>
      <c r="C232" s="80">
        <v>5</v>
      </c>
      <c r="D232" s="113">
        <v>0.0092116843170044</v>
      </c>
      <c r="E232" s="113">
        <v>2.142389466118836</v>
      </c>
      <c r="F232" s="80" t="s">
        <v>4101</v>
      </c>
      <c r="G232" s="80" t="b">
        <v>0</v>
      </c>
      <c r="H232" s="80" t="b">
        <v>0</v>
      </c>
      <c r="I232" s="80" t="b">
        <v>0</v>
      </c>
      <c r="J232" s="80" t="b">
        <v>0</v>
      </c>
      <c r="K232" s="80" t="b">
        <v>0</v>
      </c>
      <c r="L232" s="80" t="b">
        <v>0</v>
      </c>
    </row>
    <row r="233" spans="1:12" ht="15">
      <c r="A233" s="112" t="s">
        <v>4125</v>
      </c>
      <c r="B233" s="112" t="s">
        <v>4126</v>
      </c>
      <c r="C233" s="80">
        <v>5</v>
      </c>
      <c r="D233" s="113">
        <v>0.0092116843170044</v>
      </c>
      <c r="E233" s="113">
        <v>0.7921414477846733</v>
      </c>
      <c r="F233" s="80" t="s">
        <v>4101</v>
      </c>
      <c r="G233" s="80" t="b">
        <v>0</v>
      </c>
      <c r="H233" s="80" t="b">
        <v>0</v>
      </c>
      <c r="I233" s="80" t="b">
        <v>0</v>
      </c>
      <c r="J233" s="80" t="b">
        <v>0</v>
      </c>
      <c r="K233" s="80" t="b">
        <v>0</v>
      </c>
      <c r="L233" s="80" t="b">
        <v>0</v>
      </c>
    </row>
    <row r="234" spans="1:12" ht="15">
      <c r="A234" s="112" t="s">
        <v>4126</v>
      </c>
      <c r="B234" s="112" t="s">
        <v>4122</v>
      </c>
      <c r="C234" s="80">
        <v>4</v>
      </c>
      <c r="D234" s="113">
        <v>0.006723669228237629</v>
      </c>
      <c r="E234" s="113">
        <v>0.5403294747908738</v>
      </c>
      <c r="F234" s="80" t="s">
        <v>4101</v>
      </c>
      <c r="G234" s="80" t="b">
        <v>0</v>
      </c>
      <c r="H234" s="80" t="b">
        <v>0</v>
      </c>
      <c r="I234" s="80" t="b">
        <v>0</v>
      </c>
      <c r="J234" s="80" t="b">
        <v>0</v>
      </c>
      <c r="K234" s="80" t="b">
        <v>0</v>
      </c>
      <c r="L234" s="80" t="b">
        <v>0</v>
      </c>
    </row>
    <row r="235" spans="1:12" ht="15">
      <c r="A235" s="112" t="s">
        <v>4125</v>
      </c>
      <c r="B235" s="112" t="s">
        <v>4127</v>
      </c>
      <c r="C235" s="80">
        <v>4</v>
      </c>
      <c r="D235" s="113">
        <v>0.006723669228237629</v>
      </c>
      <c r="E235" s="113">
        <v>0.85013339476236</v>
      </c>
      <c r="F235" s="80" t="s">
        <v>4101</v>
      </c>
      <c r="G235" s="80" t="b">
        <v>0</v>
      </c>
      <c r="H235" s="80" t="b">
        <v>0</v>
      </c>
      <c r="I235" s="80" t="b">
        <v>0</v>
      </c>
      <c r="J235" s="80" t="b">
        <v>0</v>
      </c>
      <c r="K235" s="80" t="b">
        <v>0</v>
      </c>
      <c r="L235" s="80" t="b">
        <v>0</v>
      </c>
    </row>
    <row r="236" spans="1:12" ht="15">
      <c r="A236" s="112" t="s">
        <v>4235</v>
      </c>
      <c r="B236" s="112" t="s">
        <v>4236</v>
      </c>
      <c r="C236" s="80">
        <v>4</v>
      </c>
      <c r="D236" s="113">
        <v>0.006723669228237629</v>
      </c>
      <c r="E236" s="113">
        <v>2.2392994791268923</v>
      </c>
      <c r="F236" s="80" t="s">
        <v>4101</v>
      </c>
      <c r="G236" s="80" t="b">
        <v>0</v>
      </c>
      <c r="H236" s="80" t="b">
        <v>0</v>
      </c>
      <c r="I236" s="80" t="b">
        <v>0</v>
      </c>
      <c r="J236" s="80" t="b">
        <v>0</v>
      </c>
      <c r="K236" s="80" t="b">
        <v>0</v>
      </c>
      <c r="L236" s="80" t="b">
        <v>0</v>
      </c>
    </row>
    <row r="237" spans="1:12" ht="15">
      <c r="A237" s="112" t="s">
        <v>4291</v>
      </c>
      <c r="B237" s="112" t="s">
        <v>4269</v>
      </c>
      <c r="C237" s="80">
        <v>4</v>
      </c>
      <c r="D237" s="113">
        <v>0.009835090372051387</v>
      </c>
      <c r="E237" s="113">
        <v>2.142389466118836</v>
      </c>
      <c r="F237" s="80" t="s">
        <v>4101</v>
      </c>
      <c r="G237" s="80" t="b">
        <v>0</v>
      </c>
      <c r="H237" s="80" t="b">
        <v>0</v>
      </c>
      <c r="I237" s="80" t="b">
        <v>0</v>
      </c>
      <c r="J237" s="80" t="b">
        <v>0</v>
      </c>
      <c r="K237" s="80" t="b">
        <v>0</v>
      </c>
      <c r="L237" s="80" t="b">
        <v>0</v>
      </c>
    </row>
    <row r="238" spans="1:12" ht="15">
      <c r="A238" s="112" t="s">
        <v>4124</v>
      </c>
      <c r="B238" s="112" t="s">
        <v>4129</v>
      </c>
      <c r="C238" s="80">
        <v>4</v>
      </c>
      <c r="D238" s="113">
        <v>0.008279379800144508</v>
      </c>
      <c r="E238" s="113">
        <v>1.121200167048898</v>
      </c>
      <c r="F238" s="80" t="s">
        <v>4101</v>
      </c>
      <c r="G238" s="80" t="b">
        <v>0</v>
      </c>
      <c r="H238" s="80" t="b">
        <v>0</v>
      </c>
      <c r="I238" s="80" t="b">
        <v>0</v>
      </c>
      <c r="J238" s="80" t="b">
        <v>0</v>
      </c>
      <c r="K238" s="80" t="b">
        <v>0</v>
      </c>
      <c r="L238" s="80" t="b">
        <v>0</v>
      </c>
    </row>
    <row r="239" spans="1:12" ht="15">
      <c r="A239" s="112" t="s">
        <v>4132</v>
      </c>
      <c r="B239" s="112" t="s">
        <v>4124</v>
      </c>
      <c r="C239" s="80">
        <v>4</v>
      </c>
      <c r="D239" s="113">
        <v>0.008279379800144508</v>
      </c>
      <c r="E239" s="113">
        <v>0.9119405447405622</v>
      </c>
      <c r="F239" s="80" t="s">
        <v>4101</v>
      </c>
      <c r="G239" s="80" t="b">
        <v>0</v>
      </c>
      <c r="H239" s="80" t="b">
        <v>0</v>
      </c>
      <c r="I239" s="80" t="b">
        <v>0</v>
      </c>
      <c r="J239" s="80" t="b">
        <v>0</v>
      </c>
      <c r="K239" s="80" t="b">
        <v>0</v>
      </c>
      <c r="L239" s="80" t="b">
        <v>0</v>
      </c>
    </row>
    <row r="240" spans="1:12" ht="15">
      <c r="A240" s="112" t="s">
        <v>4181</v>
      </c>
      <c r="B240" s="112" t="s">
        <v>4145</v>
      </c>
      <c r="C240" s="80">
        <v>4</v>
      </c>
      <c r="D240" s="113">
        <v>0.009835090372051387</v>
      </c>
      <c r="E240" s="113">
        <v>2.0632082200712114</v>
      </c>
      <c r="F240" s="80" t="s">
        <v>4101</v>
      </c>
      <c r="G240" s="80" t="b">
        <v>0</v>
      </c>
      <c r="H240" s="80" t="b">
        <v>0</v>
      </c>
      <c r="I240" s="80" t="b">
        <v>0</v>
      </c>
      <c r="J240" s="80" t="b">
        <v>0</v>
      </c>
      <c r="K240" s="80" t="b">
        <v>0</v>
      </c>
      <c r="L240" s="80" t="b">
        <v>0</v>
      </c>
    </row>
    <row r="241" spans="1:12" ht="15">
      <c r="A241" s="112" t="s">
        <v>4133</v>
      </c>
      <c r="B241" s="112" t="s">
        <v>4126</v>
      </c>
      <c r="C241" s="80">
        <v>3</v>
      </c>
      <c r="D241" s="113">
        <v>0.00552701059020264</v>
      </c>
      <c r="E241" s="113">
        <v>0.9382694834629114</v>
      </c>
      <c r="F241" s="80" t="s">
        <v>4101</v>
      </c>
      <c r="G241" s="80" t="b">
        <v>0</v>
      </c>
      <c r="H241" s="80" t="b">
        <v>0</v>
      </c>
      <c r="I241" s="80" t="b">
        <v>0</v>
      </c>
      <c r="J241" s="80" t="b">
        <v>0</v>
      </c>
      <c r="K241" s="80" t="b">
        <v>0</v>
      </c>
      <c r="L241" s="80" t="b">
        <v>0</v>
      </c>
    </row>
    <row r="242" spans="1:12" ht="15">
      <c r="A242" s="112" t="s">
        <v>4236</v>
      </c>
      <c r="B242" s="112" t="s">
        <v>4252</v>
      </c>
      <c r="C242" s="80">
        <v>3</v>
      </c>
      <c r="D242" s="113">
        <v>0.00552701059020264</v>
      </c>
      <c r="E242" s="113">
        <v>2.2392994791268923</v>
      </c>
      <c r="F242" s="80" t="s">
        <v>4101</v>
      </c>
      <c r="G242" s="80" t="b">
        <v>0</v>
      </c>
      <c r="H242" s="80" t="b">
        <v>0</v>
      </c>
      <c r="I242" s="80" t="b">
        <v>0</v>
      </c>
      <c r="J242" s="80" t="b">
        <v>0</v>
      </c>
      <c r="K242" s="80" t="b">
        <v>0</v>
      </c>
      <c r="L242" s="80" t="b">
        <v>0</v>
      </c>
    </row>
    <row r="243" spans="1:12" ht="15">
      <c r="A243" s="112" t="s">
        <v>4252</v>
      </c>
      <c r="B243" s="112" t="s">
        <v>4237</v>
      </c>
      <c r="C243" s="80">
        <v>3</v>
      </c>
      <c r="D243" s="113">
        <v>0.00552701059020264</v>
      </c>
      <c r="E243" s="113">
        <v>2.2392994791268923</v>
      </c>
      <c r="F243" s="80" t="s">
        <v>4101</v>
      </c>
      <c r="G243" s="80" t="b">
        <v>0</v>
      </c>
      <c r="H243" s="80" t="b">
        <v>0</v>
      </c>
      <c r="I243" s="80" t="b">
        <v>0</v>
      </c>
      <c r="J243" s="80" t="b">
        <v>0</v>
      </c>
      <c r="K243" s="80" t="b">
        <v>0</v>
      </c>
      <c r="L243" s="80" t="b">
        <v>0</v>
      </c>
    </row>
    <row r="244" spans="1:12" ht="15">
      <c r="A244" s="112" t="s">
        <v>2725</v>
      </c>
      <c r="B244" s="112" t="s">
        <v>4123</v>
      </c>
      <c r="C244" s="80">
        <v>3</v>
      </c>
      <c r="D244" s="113">
        <v>0.00552701059020264</v>
      </c>
      <c r="E244" s="113">
        <v>0.7921414477846734</v>
      </c>
      <c r="F244" s="80" t="s">
        <v>4101</v>
      </c>
      <c r="G244" s="80" t="b">
        <v>0</v>
      </c>
      <c r="H244" s="80" t="b">
        <v>0</v>
      </c>
      <c r="I244" s="80" t="b">
        <v>0</v>
      </c>
      <c r="J244" s="80" t="b">
        <v>0</v>
      </c>
      <c r="K244" s="80" t="b">
        <v>0</v>
      </c>
      <c r="L244" s="80" t="b">
        <v>0</v>
      </c>
    </row>
    <row r="245" spans="1:12" ht="15">
      <c r="A245" s="112" t="s">
        <v>4177</v>
      </c>
      <c r="B245" s="112" t="s">
        <v>4147</v>
      </c>
      <c r="C245" s="80">
        <v>3</v>
      </c>
      <c r="D245" s="113">
        <v>0.0062095348501083805</v>
      </c>
      <c r="E245" s="113">
        <v>1.2850569696875678</v>
      </c>
      <c r="F245" s="80" t="s">
        <v>4101</v>
      </c>
      <c r="G245" s="80" t="b">
        <v>0</v>
      </c>
      <c r="H245" s="80" t="b">
        <v>0</v>
      </c>
      <c r="I245" s="80" t="b">
        <v>0</v>
      </c>
      <c r="J245" s="80" t="b">
        <v>0</v>
      </c>
      <c r="K245" s="80" t="b">
        <v>0</v>
      </c>
      <c r="L245" s="80" t="b">
        <v>0</v>
      </c>
    </row>
    <row r="246" spans="1:12" ht="15">
      <c r="A246" s="112" t="s">
        <v>4147</v>
      </c>
      <c r="B246" s="112" t="s">
        <v>4199</v>
      </c>
      <c r="C246" s="80">
        <v>3</v>
      </c>
      <c r="D246" s="113">
        <v>0.0062095348501083805</v>
      </c>
      <c r="E246" s="113">
        <v>1.79996678529663</v>
      </c>
      <c r="F246" s="80" t="s">
        <v>4101</v>
      </c>
      <c r="G246" s="80" t="b">
        <v>0</v>
      </c>
      <c r="H246" s="80" t="b">
        <v>0</v>
      </c>
      <c r="I246" s="80" t="b">
        <v>0</v>
      </c>
      <c r="J246" s="80" t="b">
        <v>0</v>
      </c>
      <c r="K246" s="80" t="b">
        <v>0</v>
      </c>
      <c r="L246" s="80" t="b">
        <v>0</v>
      </c>
    </row>
    <row r="247" spans="1:12" ht="15">
      <c r="A247" s="112" t="s">
        <v>4122</v>
      </c>
      <c r="B247" s="112" t="s">
        <v>4127</v>
      </c>
      <c r="C247" s="80">
        <v>3</v>
      </c>
      <c r="D247" s="113">
        <v>0.00552701059020264</v>
      </c>
      <c r="E247" s="113">
        <v>0.5289000130100919</v>
      </c>
      <c r="F247" s="80" t="s">
        <v>4101</v>
      </c>
      <c r="G247" s="80" t="b">
        <v>0</v>
      </c>
      <c r="H247" s="80" t="b">
        <v>0</v>
      </c>
      <c r="I247" s="80" t="b">
        <v>0</v>
      </c>
      <c r="J247" s="80" t="b">
        <v>0</v>
      </c>
      <c r="K247" s="80" t="b">
        <v>0</v>
      </c>
      <c r="L247" s="80" t="b">
        <v>0</v>
      </c>
    </row>
    <row r="248" spans="1:12" ht="15">
      <c r="A248" s="112" t="s">
        <v>4188</v>
      </c>
      <c r="B248" s="112" t="s">
        <v>4147</v>
      </c>
      <c r="C248" s="80">
        <v>3</v>
      </c>
      <c r="D248" s="113">
        <v>0.0062095348501083805</v>
      </c>
      <c r="E248" s="113">
        <v>1.5403294747908738</v>
      </c>
      <c r="F248" s="80" t="s">
        <v>4101</v>
      </c>
      <c r="G248" s="80" t="b">
        <v>0</v>
      </c>
      <c r="H248" s="80" t="b">
        <v>0</v>
      </c>
      <c r="I248" s="80" t="b">
        <v>0</v>
      </c>
      <c r="J248" s="80" t="b">
        <v>0</v>
      </c>
      <c r="K248" s="80" t="b">
        <v>0</v>
      </c>
      <c r="L248" s="80" t="b">
        <v>0</v>
      </c>
    </row>
    <row r="249" spans="1:12" ht="15">
      <c r="A249" s="112" t="s">
        <v>4124</v>
      </c>
      <c r="B249" s="112" t="s">
        <v>4125</v>
      </c>
      <c r="C249" s="80">
        <v>3</v>
      </c>
      <c r="D249" s="113">
        <v>0.00552701059020264</v>
      </c>
      <c r="E249" s="113">
        <v>0.47774749056271065</v>
      </c>
      <c r="F249" s="80" t="s">
        <v>4101</v>
      </c>
      <c r="G249" s="80" t="b">
        <v>0</v>
      </c>
      <c r="H249" s="80" t="b">
        <v>0</v>
      </c>
      <c r="I249" s="80" t="b">
        <v>0</v>
      </c>
      <c r="J249" s="80" t="b">
        <v>0</v>
      </c>
      <c r="K249" s="80" t="b">
        <v>0</v>
      </c>
      <c r="L249" s="80" t="b">
        <v>0</v>
      </c>
    </row>
    <row r="250" spans="1:12" ht="15">
      <c r="A250" s="112" t="s">
        <v>4128</v>
      </c>
      <c r="B250" s="112" t="s">
        <v>4123</v>
      </c>
      <c r="C250" s="80">
        <v>3</v>
      </c>
      <c r="D250" s="113">
        <v>0.00552701059020264</v>
      </c>
      <c r="E250" s="113">
        <v>1.000417390211756</v>
      </c>
      <c r="F250" s="80" t="s">
        <v>4101</v>
      </c>
      <c r="G250" s="80" t="b">
        <v>0</v>
      </c>
      <c r="H250" s="80" t="b">
        <v>0</v>
      </c>
      <c r="I250" s="80" t="b">
        <v>0</v>
      </c>
      <c r="J250" s="80" t="b">
        <v>0</v>
      </c>
      <c r="K250" s="80" t="b">
        <v>0</v>
      </c>
      <c r="L250" s="80" t="b">
        <v>0</v>
      </c>
    </row>
    <row r="251" spans="1:12" ht="15">
      <c r="A251" s="112" t="s">
        <v>4131</v>
      </c>
      <c r="B251" s="112" t="s">
        <v>4159</v>
      </c>
      <c r="C251" s="80">
        <v>3</v>
      </c>
      <c r="D251" s="113">
        <v>0.00552701059020264</v>
      </c>
      <c r="E251" s="113">
        <v>1.5055673685316617</v>
      </c>
      <c r="F251" s="80" t="s">
        <v>4101</v>
      </c>
      <c r="G251" s="80" t="b">
        <v>0</v>
      </c>
      <c r="H251" s="80" t="b">
        <v>0</v>
      </c>
      <c r="I251" s="80" t="b">
        <v>0</v>
      </c>
      <c r="J251" s="80" t="b">
        <v>0</v>
      </c>
      <c r="K251" s="80" t="b">
        <v>0</v>
      </c>
      <c r="L251" s="80" t="b">
        <v>0</v>
      </c>
    </row>
    <row r="252" spans="1:12" ht="15">
      <c r="A252" s="112" t="s">
        <v>4124</v>
      </c>
      <c r="B252" s="112" t="s">
        <v>4127</v>
      </c>
      <c r="C252" s="80">
        <v>3</v>
      </c>
      <c r="D252" s="113">
        <v>0.00552701059020264</v>
      </c>
      <c r="E252" s="113">
        <v>0.85013339476236</v>
      </c>
      <c r="F252" s="80" t="s">
        <v>4101</v>
      </c>
      <c r="G252" s="80" t="b">
        <v>0</v>
      </c>
      <c r="H252" s="80" t="b">
        <v>0</v>
      </c>
      <c r="I252" s="80" t="b">
        <v>0</v>
      </c>
      <c r="J252" s="80" t="b">
        <v>0</v>
      </c>
      <c r="K252" s="80" t="b">
        <v>0</v>
      </c>
      <c r="L252" s="80" t="b">
        <v>0</v>
      </c>
    </row>
    <row r="253" spans="1:12" ht="15">
      <c r="A253" s="112" t="s">
        <v>2725</v>
      </c>
      <c r="B253" s="112" t="s">
        <v>4128</v>
      </c>
      <c r="C253" s="80">
        <v>3</v>
      </c>
      <c r="D253" s="113">
        <v>0.00552701059020264</v>
      </c>
      <c r="E253" s="113">
        <v>0.85013339476236</v>
      </c>
      <c r="F253" s="80" t="s">
        <v>4101</v>
      </c>
      <c r="G253" s="80" t="b">
        <v>0</v>
      </c>
      <c r="H253" s="80" t="b">
        <v>0</v>
      </c>
      <c r="I253" s="80" t="b">
        <v>0</v>
      </c>
      <c r="J253" s="80" t="b">
        <v>0</v>
      </c>
      <c r="K253" s="80" t="b">
        <v>0</v>
      </c>
      <c r="L253" s="80" t="b">
        <v>0</v>
      </c>
    </row>
    <row r="254" spans="1:12" ht="15">
      <c r="A254" s="112" t="s">
        <v>4134</v>
      </c>
      <c r="B254" s="112" t="s">
        <v>4128</v>
      </c>
      <c r="C254" s="80">
        <v>2</v>
      </c>
      <c r="D254" s="113">
        <v>0.004139689900072254</v>
      </c>
      <c r="E254" s="113">
        <v>1.1511633904263412</v>
      </c>
      <c r="F254" s="80" t="s">
        <v>4101</v>
      </c>
      <c r="G254" s="80" t="b">
        <v>0</v>
      </c>
      <c r="H254" s="80" t="b">
        <v>0</v>
      </c>
      <c r="I254" s="80" t="b">
        <v>0</v>
      </c>
      <c r="J254" s="80" t="b">
        <v>0</v>
      </c>
      <c r="K254" s="80" t="b">
        <v>0</v>
      </c>
      <c r="L254" s="80" t="b">
        <v>0</v>
      </c>
    </row>
    <row r="255" spans="1:12" ht="15">
      <c r="A255" s="112" t="s">
        <v>4160</v>
      </c>
      <c r="B255" s="112" t="s">
        <v>4285</v>
      </c>
      <c r="C255" s="80">
        <v>2</v>
      </c>
      <c r="D255" s="113">
        <v>0.004139689900072254</v>
      </c>
      <c r="E255" s="113">
        <v>2.142389466118836</v>
      </c>
      <c r="F255" s="80" t="s">
        <v>4101</v>
      </c>
      <c r="G255" s="80" t="b">
        <v>0</v>
      </c>
      <c r="H255" s="80" t="b">
        <v>0</v>
      </c>
      <c r="I255" s="80" t="b">
        <v>0</v>
      </c>
      <c r="J255" s="80" t="b">
        <v>0</v>
      </c>
      <c r="K255" s="80" t="b">
        <v>0</v>
      </c>
      <c r="L255" s="80" t="b">
        <v>0</v>
      </c>
    </row>
    <row r="256" spans="1:12" ht="15">
      <c r="A256" s="112" t="s">
        <v>4125</v>
      </c>
      <c r="B256" s="112" t="s">
        <v>4140</v>
      </c>
      <c r="C256" s="80">
        <v>2</v>
      </c>
      <c r="D256" s="113">
        <v>0.004139689900072254</v>
      </c>
      <c r="E256" s="113">
        <v>1.0931714434486546</v>
      </c>
      <c r="F256" s="80" t="s">
        <v>4101</v>
      </c>
      <c r="G256" s="80" t="b">
        <v>0</v>
      </c>
      <c r="H256" s="80" t="b">
        <v>0</v>
      </c>
      <c r="I256" s="80" t="b">
        <v>0</v>
      </c>
      <c r="J256" s="80" t="b">
        <v>0</v>
      </c>
      <c r="K256" s="80" t="b">
        <v>0</v>
      </c>
      <c r="L256" s="80" t="b">
        <v>0</v>
      </c>
    </row>
    <row r="257" spans="1:12" ht="15">
      <c r="A257" s="112" t="s">
        <v>4125</v>
      </c>
      <c r="B257" s="112" t="s">
        <v>4134</v>
      </c>
      <c r="C257" s="80">
        <v>2</v>
      </c>
      <c r="D257" s="113">
        <v>0.004139689900072254</v>
      </c>
      <c r="E257" s="113">
        <v>0.7921414477846733</v>
      </c>
      <c r="F257" s="80" t="s">
        <v>4101</v>
      </c>
      <c r="G257" s="80" t="b">
        <v>0</v>
      </c>
      <c r="H257" s="80" t="b">
        <v>0</v>
      </c>
      <c r="I257" s="80" t="b">
        <v>0</v>
      </c>
      <c r="J257" s="80" t="b">
        <v>0</v>
      </c>
      <c r="K257" s="80" t="b">
        <v>0</v>
      </c>
      <c r="L257" s="80" t="b">
        <v>0</v>
      </c>
    </row>
    <row r="258" spans="1:12" ht="15">
      <c r="A258" s="112" t="s">
        <v>4239</v>
      </c>
      <c r="B258" s="112" t="s">
        <v>4272</v>
      </c>
      <c r="C258" s="80">
        <v>2</v>
      </c>
      <c r="D258" s="113">
        <v>0.004139689900072254</v>
      </c>
      <c r="E258" s="113">
        <v>2.5403294747908736</v>
      </c>
      <c r="F258" s="80" t="s">
        <v>4101</v>
      </c>
      <c r="G258" s="80" t="b">
        <v>0</v>
      </c>
      <c r="H258" s="80" t="b">
        <v>0</v>
      </c>
      <c r="I258" s="80" t="b">
        <v>0</v>
      </c>
      <c r="J258" s="80" t="b">
        <v>0</v>
      </c>
      <c r="K258" s="80" t="b">
        <v>0</v>
      </c>
      <c r="L258" s="80" t="b">
        <v>0</v>
      </c>
    </row>
    <row r="259" spans="1:12" ht="15">
      <c r="A259" s="112" t="s">
        <v>4272</v>
      </c>
      <c r="B259" s="112" t="s">
        <v>4133</v>
      </c>
      <c r="C259" s="80">
        <v>2</v>
      </c>
      <c r="D259" s="113">
        <v>0.004139689900072254</v>
      </c>
      <c r="E259" s="113">
        <v>1.9962614304405981</v>
      </c>
      <c r="F259" s="80" t="s">
        <v>4101</v>
      </c>
      <c r="G259" s="80" t="b">
        <v>0</v>
      </c>
      <c r="H259" s="80" t="b">
        <v>0</v>
      </c>
      <c r="I259" s="80" t="b">
        <v>0</v>
      </c>
      <c r="J259" s="80" t="b">
        <v>0</v>
      </c>
      <c r="K259" s="80" t="b">
        <v>0</v>
      </c>
      <c r="L259" s="80" t="b">
        <v>0</v>
      </c>
    </row>
    <row r="260" spans="1:12" ht="15">
      <c r="A260" s="112" t="s">
        <v>4123</v>
      </c>
      <c r="B260" s="112" t="s">
        <v>4130</v>
      </c>
      <c r="C260" s="80">
        <v>2</v>
      </c>
      <c r="D260" s="113">
        <v>0.004139689900072254</v>
      </c>
      <c r="E260" s="113">
        <v>1.2850569696875678</v>
      </c>
      <c r="F260" s="80" t="s">
        <v>4101</v>
      </c>
      <c r="G260" s="80" t="b">
        <v>0</v>
      </c>
      <c r="H260" s="80" t="b">
        <v>0</v>
      </c>
      <c r="I260" s="80" t="b">
        <v>0</v>
      </c>
      <c r="J260" s="80" t="b">
        <v>0</v>
      </c>
      <c r="K260" s="80" t="b">
        <v>0</v>
      </c>
      <c r="L260" s="80" t="b">
        <v>0</v>
      </c>
    </row>
    <row r="261" spans="1:12" ht="15">
      <c r="A261" s="112" t="s">
        <v>4128</v>
      </c>
      <c r="B261" s="112" t="s">
        <v>4126</v>
      </c>
      <c r="C261" s="80">
        <v>2</v>
      </c>
      <c r="D261" s="113">
        <v>0.004139689900072254</v>
      </c>
      <c r="E261" s="113">
        <v>0.7274161181480181</v>
      </c>
      <c r="F261" s="80" t="s">
        <v>4101</v>
      </c>
      <c r="G261" s="80" t="b">
        <v>0</v>
      </c>
      <c r="H261" s="80" t="b">
        <v>0</v>
      </c>
      <c r="I261" s="80" t="b">
        <v>0</v>
      </c>
      <c r="J261" s="80" t="b">
        <v>0</v>
      </c>
      <c r="K261" s="80" t="b">
        <v>0</v>
      </c>
      <c r="L261" s="80" t="b">
        <v>0</v>
      </c>
    </row>
    <row r="262" spans="1:12" ht="15">
      <c r="A262" s="112" t="s">
        <v>4126</v>
      </c>
      <c r="B262" s="112" t="s">
        <v>4132</v>
      </c>
      <c r="C262" s="80">
        <v>2</v>
      </c>
      <c r="D262" s="113">
        <v>0.004139689900072254</v>
      </c>
      <c r="E262" s="113">
        <v>0.5860869653515488</v>
      </c>
      <c r="F262" s="80" t="s">
        <v>4101</v>
      </c>
      <c r="G262" s="80" t="b">
        <v>0</v>
      </c>
      <c r="H262" s="80" t="b">
        <v>0</v>
      </c>
      <c r="I262" s="80" t="b">
        <v>0</v>
      </c>
      <c r="J262" s="80" t="b">
        <v>0</v>
      </c>
      <c r="K262" s="80" t="b">
        <v>0</v>
      </c>
      <c r="L262" s="80" t="b">
        <v>0</v>
      </c>
    </row>
    <row r="263" spans="1:12" ht="15">
      <c r="A263" s="112" t="s">
        <v>4349</v>
      </c>
      <c r="B263" s="112" t="s">
        <v>4350</v>
      </c>
      <c r="C263" s="80">
        <v>2</v>
      </c>
      <c r="D263" s="113">
        <v>0.004917545186025694</v>
      </c>
      <c r="E263" s="113">
        <v>2.5403294747908736</v>
      </c>
      <c r="F263" s="80" t="s">
        <v>4101</v>
      </c>
      <c r="G263" s="80" t="b">
        <v>0</v>
      </c>
      <c r="H263" s="80" t="b">
        <v>0</v>
      </c>
      <c r="I263" s="80" t="b">
        <v>0</v>
      </c>
      <c r="J263" s="80" t="b">
        <v>0</v>
      </c>
      <c r="K263" s="80" t="b">
        <v>0</v>
      </c>
      <c r="L263" s="80" t="b">
        <v>0</v>
      </c>
    </row>
    <row r="264" spans="1:12" ht="15">
      <c r="A264" s="112" t="s">
        <v>4229</v>
      </c>
      <c r="B264" s="112" t="s">
        <v>4134</v>
      </c>
      <c r="C264" s="80">
        <v>2</v>
      </c>
      <c r="D264" s="113">
        <v>0.004139689900072254</v>
      </c>
      <c r="E264" s="113">
        <v>1.7621782244072302</v>
      </c>
      <c r="F264" s="80" t="s">
        <v>4101</v>
      </c>
      <c r="G264" s="80" t="b">
        <v>1</v>
      </c>
      <c r="H264" s="80" t="b">
        <v>0</v>
      </c>
      <c r="I264" s="80" t="b">
        <v>0</v>
      </c>
      <c r="J264" s="80" t="b">
        <v>0</v>
      </c>
      <c r="K264" s="80" t="b">
        <v>0</v>
      </c>
      <c r="L264" s="80" t="b">
        <v>0</v>
      </c>
    </row>
    <row r="265" spans="1:12" ht="15">
      <c r="A265" s="112" t="s">
        <v>4147</v>
      </c>
      <c r="B265" s="112" t="s">
        <v>4206</v>
      </c>
      <c r="C265" s="80">
        <v>2</v>
      </c>
      <c r="D265" s="113">
        <v>0.004139689900072254</v>
      </c>
      <c r="E265" s="113">
        <v>1.6238755262409486</v>
      </c>
      <c r="F265" s="80" t="s">
        <v>4101</v>
      </c>
      <c r="G265" s="80" t="b">
        <v>0</v>
      </c>
      <c r="H265" s="80" t="b">
        <v>0</v>
      </c>
      <c r="I265" s="80" t="b">
        <v>0</v>
      </c>
      <c r="J265" s="80" t="b">
        <v>0</v>
      </c>
      <c r="K265" s="80" t="b">
        <v>0</v>
      </c>
      <c r="L265" s="80" t="b">
        <v>0</v>
      </c>
    </row>
    <row r="266" spans="1:12" ht="15">
      <c r="A266" s="112" t="s">
        <v>4137</v>
      </c>
      <c r="B266" s="112" t="s">
        <v>4124</v>
      </c>
      <c r="C266" s="80">
        <v>2</v>
      </c>
      <c r="D266" s="113">
        <v>0.004917545186025694</v>
      </c>
      <c r="E266" s="113">
        <v>1.3642382157351924</v>
      </c>
      <c r="F266" s="80" t="s">
        <v>4101</v>
      </c>
      <c r="G266" s="80" t="b">
        <v>0</v>
      </c>
      <c r="H266" s="80" t="b">
        <v>0</v>
      </c>
      <c r="I266" s="80" t="b">
        <v>0</v>
      </c>
      <c r="J266" s="80" t="b">
        <v>0</v>
      </c>
      <c r="K266" s="80" t="b">
        <v>0</v>
      </c>
      <c r="L266" s="80" t="b">
        <v>0</v>
      </c>
    </row>
    <row r="267" spans="1:12" ht="15">
      <c r="A267" s="112" t="s">
        <v>4289</v>
      </c>
      <c r="B267" s="112" t="s">
        <v>4290</v>
      </c>
      <c r="C267" s="80">
        <v>2</v>
      </c>
      <c r="D267" s="113">
        <v>0.004917545186025694</v>
      </c>
      <c r="E267" s="113">
        <v>1.9382694834629113</v>
      </c>
      <c r="F267" s="80" t="s">
        <v>4101</v>
      </c>
      <c r="G267" s="80" t="b">
        <v>0</v>
      </c>
      <c r="H267" s="80" t="b">
        <v>0</v>
      </c>
      <c r="I267" s="80" t="b">
        <v>0</v>
      </c>
      <c r="J267" s="80" t="b">
        <v>0</v>
      </c>
      <c r="K267" s="80" t="b">
        <v>0</v>
      </c>
      <c r="L267" s="80" t="b">
        <v>0</v>
      </c>
    </row>
    <row r="268" spans="1:12" ht="15">
      <c r="A268" s="112" t="s">
        <v>4290</v>
      </c>
      <c r="B268" s="112" t="s">
        <v>4311</v>
      </c>
      <c r="C268" s="80">
        <v>2</v>
      </c>
      <c r="D268" s="113">
        <v>0.004917545186025694</v>
      </c>
      <c r="E268" s="113">
        <v>2.0632082200712114</v>
      </c>
      <c r="F268" s="80" t="s">
        <v>4101</v>
      </c>
      <c r="G268" s="80" t="b">
        <v>0</v>
      </c>
      <c r="H268" s="80" t="b">
        <v>0</v>
      </c>
      <c r="I268" s="80" t="b">
        <v>0</v>
      </c>
      <c r="J268" s="80" t="b">
        <v>0</v>
      </c>
      <c r="K268" s="80" t="b">
        <v>0</v>
      </c>
      <c r="L268" s="80" t="b">
        <v>0</v>
      </c>
    </row>
    <row r="269" spans="1:12" ht="15">
      <c r="A269" s="112" t="s">
        <v>4311</v>
      </c>
      <c r="B269" s="112" t="s">
        <v>4290</v>
      </c>
      <c r="C269" s="80">
        <v>2</v>
      </c>
      <c r="D269" s="113">
        <v>0.004917545186025694</v>
      </c>
      <c r="E269" s="113">
        <v>2.0632082200712114</v>
      </c>
      <c r="F269" s="80" t="s">
        <v>4101</v>
      </c>
      <c r="G269" s="80" t="b">
        <v>0</v>
      </c>
      <c r="H269" s="80" t="b">
        <v>0</v>
      </c>
      <c r="I269" s="80" t="b">
        <v>0</v>
      </c>
      <c r="J269" s="80" t="b">
        <v>0</v>
      </c>
      <c r="K269" s="80" t="b">
        <v>0</v>
      </c>
      <c r="L269" s="80" t="b">
        <v>0</v>
      </c>
    </row>
    <row r="270" spans="1:12" ht="15">
      <c r="A270" s="112" t="s">
        <v>4124</v>
      </c>
      <c r="B270" s="112" t="s">
        <v>4276</v>
      </c>
      <c r="C270" s="80">
        <v>2</v>
      </c>
      <c r="D270" s="113">
        <v>0.004139689900072254</v>
      </c>
      <c r="E270" s="113">
        <v>1.5191401757209357</v>
      </c>
      <c r="F270" s="80" t="s">
        <v>4101</v>
      </c>
      <c r="G270" s="80" t="b">
        <v>0</v>
      </c>
      <c r="H270" s="80" t="b">
        <v>0</v>
      </c>
      <c r="I270" s="80" t="b">
        <v>0</v>
      </c>
      <c r="J270" s="80" t="b">
        <v>0</v>
      </c>
      <c r="K270" s="80" t="b">
        <v>0</v>
      </c>
      <c r="L270" s="80" t="b">
        <v>0</v>
      </c>
    </row>
    <row r="271" spans="1:12" ht="15">
      <c r="A271" s="112" t="s">
        <v>4122</v>
      </c>
      <c r="B271" s="112" t="s">
        <v>4304</v>
      </c>
      <c r="C271" s="80">
        <v>2</v>
      </c>
      <c r="D271" s="113">
        <v>0.004139689900072254</v>
      </c>
      <c r="E271" s="113">
        <v>1.1979067939686674</v>
      </c>
      <c r="F271" s="80" t="s">
        <v>4101</v>
      </c>
      <c r="G271" s="80" t="b">
        <v>0</v>
      </c>
      <c r="H271" s="80" t="b">
        <v>0</v>
      </c>
      <c r="I271" s="80" t="b">
        <v>0</v>
      </c>
      <c r="J271" s="80" t="b">
        <v>0</v>
      </c>
      <c r="K271" s="80" t="b">
        <v>0</v>
      </c>
      <c r="L271" s="80" t="b">
        <v>0</v>
      </c>
    </row>
    <row r="272" spans="1:12" ht="15">
      <c r="A272" s="112" t="s">
        <v>4304</v>
      </c>
      <c r="B272" s="112" t="s">
        <v>4305</v>
      </c>
      <c r="C272" s="80">
        <v>2</v>
      </c>
      <c r="D272" s="113">
        <v>0.004139689900072254</v>
      </c>
      <c r="E272" s="113">
        <v>2.5403294747908736</v>
      </c>
      <c r="F272" s="80" t="s">
        <v>4101</v>
      </c>
      <c r="G272" s="80" t="b">
        <v>0</v>
      </c>
      <c r="H272" s="80" t="b">
        <v>0</v>
      </c>
      <c r="I272" s="80" t="b">
        <v>0</v>
      </c>
      <c r="J272" s="80" t="b">
        <v>0</v>
      </c>
      <c r="K272" s="80" t="b">
        <v>0</v>
      </c>
      <c r="L272" s="80" t="b">
        <v>0</v>
      </c>
    </row>
    <row r="273" spans="1:12" ht="15">
      <c r="A273" s="112" t="s">
        <v>4305</v>
      </c>
      <c r="B273" s="112" t="s">
        <v>4128</v>
      </c>
      <c r="C273" s="80">
        <v>2</v>
      </c>
      <c r="D273" s="113">
        <v>0.004139689900072254</v>
      </c>
      <c r="E273" s="113">
        <v>1.6952314347766169</v>
      </c>
      <c r="F273" s="80" t="s">
        <v>4101</v>
      </c>
      <c r="G273" s="80" t="b">
        <v>0</v>
      </c>
      <c r="H273" s="80" t="b">
        <v>0</v>
      </c>
      <c r="I273" s="80" t="b">
        <v>0</v>
      </c>
      <c r="J273" s="80" t="b">
        <v>0</v>
      </c>
      <c r="K273" s="80" t="b">
        <v>0</v>
      </c>
      <c r="L273" s="80" t="b">
        <v>0</v>
      </c>
    </row>
    <row r="274" spans="1:12" ht="15">
      <c r="A274" s="112" t="s">
        <v>4128</v>
      </c>
      <c r="B274" s="112" t="s">
        <v>4306</v>
      </c>
      <c r="C274" s="80">
        <v>2</v>
      </c>
      <c r="D274" s="113">
        <v>0.004139689900072254</v>
      </c>
      <c r="E274" s="113">
        <v>1.727416118148018</v>
      </c>
      <c r="F274" s="80" t="s">
        <v>4101</v>
      </c>
      <c r="G274" s="80" t="b">
        <v>0</v>
      </c>
      <c r="H274" s="80" t="b">
        <v>0</v>
      </c>
      <c r="I274" s="80" t="b">
        <v>0</v>
      </c>
      <c r="J274" s="80" t="b">
        <v>0</v>
      </c>
      <c r="K274" s="80" t="b">
        <v>0</v>
      </c>
      <c r="L274" s="80" t="b">
        <v>0</v>
      </c>
    </row>
    <row r="275" spans="1:12" ht="15">
      <c r="A275" s="112" t="s">
        <v>4196</v>
      </c>
      <c r="B275" s="112" t="s">
        <v>4135</v>
      </c>
      <c r="C275" s="80">
        <v>2</v>
      </c>
      <c r="D275" s="113">
        <v>0.004139689900072254</v>
      </c>
      <c r="E275" s="113">
        <v>2.0632082200712114</v>
      </c>
      <c r="F275" s="80" t="s">
        <v>4101</v>
      </c>
      <c r="G275" s="80" t="b">
        <v>0</v>
      </c>
      <c r="H275" s="80" t="b">
        <v>0</v>
      </c>
      <c r="I275" s="80" t="b">
        <v>0</v>
      </c>
      <c r="J275" s="80" t="b">
        <v>0</v>
      </c>
      <c r="K275" s="80" t="b">
        <v>0</v>
      </c>
      <c r="L275" s="80" t="b">
        <v>0</v>
      </c>
    </row>
    <row r="276" spans="1:12" ht="15">
      <c r="A276" s="112" t="s">
        <v>4131</v>
      </c>
      <c r="B276" s="112" t="s">
        <v>4209</v>
      </c>
      <c r="C276" s="80">
        <v>2</v>
      </c>
      <c r="D276" s="113">
        <v>0.004139689900072254</v>
      </c>
      <c r="E276" s="113">
        <v>1.727416118148018</v>
      </c>
      <c r="F276" s="80" t="s">
        <v>4101</v>
      </c>
      <c r="G276" s="80" t="b">
        <v>0</v>
      </c>
      <c r="H276" s="80" t="b">
        <v>0</v>
      </c>
      <c r="I276" s="80" t="b">
        <v>0</v>
      </c>
      <c r="J276" s="80" t="b">
        <v>0</v>
      </c>
      <c r="K276" s="80" t="b">
        <v>0</v>
      </c>
      <c r="L276" s="80" t="b">
        <v>0</v>
      </c>
    </row>
    <row r="277" spans="1:12" ht="15">
      <c r="A277" s="112" t="s">
        <v>4122</v>
      </c>
      <c r="B277" s="112" t="s">
        <v>4122</v>
      </c>
      <c r="C277" s="80">
        <v>2</v>
      </c>
      <c r="D277" s="113">
        <v>0.004139689900072254</v>
      </c>
      <c r="E277" s="113">
        <v>-0.10312320169531375</v>
      </c>
      <c r="F277" s="80" t="s">
        <v>4101</v>
      </c>
      <c r="G277" s="80" t="b">
        <v>0</v>
      </c>
      <c r="H277" s="80" t="b">
        <v>0</v>
      </c>
      <c r="I277" s="80" t="b">
        <v>0</v>
      </c>
      <c r="J277" s="80" t="b">
        <v>0</v>
      </c>
      <c r="K277" s="80" t="b">
        <v>0</v>
      </c>
      <c r="L277" s="80" t="b">
        <v>0</v>
      </c>
    </row>
    <row r="278" spans="1:12" ht="15">
      <c r="A278" s="112" t="s">
        <v>4122</v>
      </c>
      <c r="B278" s="112" t="s">
        <v>4129</v>
      </c>
      <c r="C278" s="80">
        <v>2</v>
      </c>
      <c r="D278" s="113">
        <v>0.004139689900072254</v>
      </c>
      <c r="E278" s="113">
        <v>0.49893678963264865</v>
      </c>
      <c r="F278" s="80" t="s">
        <v>4101</v>
      </c>
      <c r="G278" s="80" t="b">
        <v>0</v>
      </c>
      <c r="H278" s="80" t="b">
        <v>0</v>
      </c>
      <c r="I278" s="80" t="b">
        <v>0</v>
      </c>
      <c r="J278" s="80" t="b">
        <v>0</v>
      </c>
      <c r="K278" s="80" t="b">
        <v>0</v>
      </c>
      <c r="L278" s="80" t="b">
        <v>0</v>
      </c>
    </row>
    <row r="279" spans="1:12" ht="15">
      <c r="A279" s="112" t="s">
        <v>4335</v>
      </c>
      <c r="B279" s="112" t="s">
        <v>4122</v>
      </c>
      <c r="C279" s="80">
        <v>2</v>
      </c>
      <c r="D279" s="113">
        <v>0.004917545186025694</v>
      </c>
      <c r="E279" s="113">
        <v>1.2392994791268925</v>
      </c>
      <c r="F279" s="80" t="s">
        <v>4101</v>
      </c>
      <c r="G279" s="80" t="b">
        <v>0</v>
      </c>
      <c r="H279" s="80" t="b">
        <v>0</v>
      </c>
      <c r="I279" s="80" t="b">
        <v>0</v>
      </c>
      <c r="J279" s="80" t="b">
        <v>0</v>
      </c>
      <c r="K279" s="80" t="b">
        <v>0</v>
      </c>
      <c r="L279" s="80" t="b">
        <v>0</v>
      </c>
    </row>
    <row r="280" spans="1:12" ht="15">
      <c r="A280" s="112" t="s">
        <v>4131</v>
      </c>
      <c r="B280" s="112" t="s">
        <v>4131</v>
      </c>
      <c r="C280" s="80">
        <v>2</v>
      </c>
      <c r="D280" s="113">
        <v>0.004917545186025694</v>
      </c>
      <c r="E280" s="113">
        <v>0.9870534286537742</v>
      </c>
      <c r="F280" s="80" t="s">
        <v>4101</v>
      </c>
      <c r="G280" s="80" t="b">
        <v>0</v>
      </c>
      <c r="H280" s="80" t="b">
        <v>0</v>
      </c>
      <c r="I280" s="80" t="b">
        <v>0</v>
      </c>
      <c r="J280" s="80" t="b">
        <v>0</v>
      </c>
      <c r="K280" s="80" t="b">
        <v>0</v>
      </c>
      <c r="L280" s="80" t="b">
        <v>0</v>
      </c>
    </row>
    <row r="281" spans="1:12" ht="15">
      <c r="A281" s="112" t="s">
        <v>2725</v>
      </c>
      <c r="B281" s="112" t="s">
        <v>2874</v>
      </c>
      <c r="C281" s="80">
        <v>2</v>
      </c>
      <c r="D281" s="113">
        <v>0.004139689900072254</v>
      </c>
      <c r="E281" s="113">
        <v>0.9170801843929733</v>
      </c>
      <c r="F281" s="80" t="s">
        <v>4101</v>
      </c>
      <c r="G281" s="80" t="b">
        <v>0</v>
      </c>
      <c r="H281" s="80" t="b">
        <v>0</v>
      </c>
      <c r="I281" s="80" t="b">
        <v>0</v>
      </c>
      <c r="J281" s="80" t="b">
        <v>0</v>
      </c>
      <c r="K281" s="80" t="b">
        <v>0</v>
      </c>
      <c r="L281" s="80" t="b">
        <v>0</v>
      </c>
    </row>
    <row r="282" spans="1:12" ht="15">
      <c r="A282" s="112" t="s">
        <v>4262</v>
      </c>
      <c r="B282" s="112" t="s">
        <v>4132</v>
      </c>
      <c r="C282" s="80">
        <v>2</v>
      </c>
      <c r="D282" s="113">
        <v>0.004917545186025694</v>
      </c>
      <c r="E282" s="113">
        <v>1.4099957062958675</v>
      </c>
      <c r="F282" s="80" t="s">
        <v>4101</v>
      </c>
      <c r="G282" s="80" t="b">
        <v>0</v>
      </c>
      <c r="H282" s="80" t="b">
        <v>0</v>
      </c>
      <c r="I282" s="80" t="b">
        <v>0</v>
      </c>
      <c r="J282" s="80" t="b">
        <v>0</v>
      </c>
      <c r="K282" s="80" t="b">
        <v>0</v>
      </c>
      <c r="L282" s="80" t="b">
        <v>0</v>
      </c>
    </row>
    <row r="283" spans="1:12" ht="15">
      <c r="A283" s="112" t="s">
        <v>4132</v>
      </c>
      <c r="B283" s="112" t="s">
        <v>4249</v>
      </c>
      <c r="C283" s="80">
        <v>2</v>
      </c>
      <c r="D283" s="113">
        <v>0.004917545186025694</v>
      </c>
      <c r="E283" s="113">
        <v>1.4348192900208998</v>
      </c>
      <c r="F283" s="80" t="s">
        <v>4101</v>
      </c>
      <c r="G283" s="80" t="b">
        <v>0</v>
      </c>
      <c r="H283" s="80" t="b">
        <v>0</v>
      </c>
      <c r="I283" s="80" t="b">
        <v>0</v>
      </c>
      <c r="J283" s="80" t="b">
        <v>0</v>
      </c>
      <c r="K283" s="80" t="b">
        <v>0</v>
      </c>
      <c r="L283" s="80" t="b">
        <v>0</v>
      </c>
    </row>
    <row r="284" spans="1:12" ht="15">
      <c r="A284" s="112" t="s">
        <v>4124</v>
      </c>
      <c r="B284" s="112" t="s">
        <v>4124</v>
      </c>
      <c r="C284" s="80">
        <v>2</v>
      </c>
      <c r="D284" s="113">
        <v>0.004917545186025694</v>
      </c>
      <c r="E284" s="113">
        <v>0.5191401757209356</v>
      </c>
      <c r="F284" s="80" t="s">
        <v>4101</v>
      </c>
      <c r="G284" s="80" t="b">
        <v>0</v>
      </c>
      <c r="H284" s="80" t="b">
        <v>0</v>
      </c>
      <c r="I284" s="80" t="b">
        <v>0</v>
      </c>
      <c r="J284" s="80" t="b">
        <v>0</v>
      </c>
      <c r="K284" s="80" t="b">
        <v>0</v>
      </c>
      <c r="L284" s="80" t="b">
        <v>0</v>
      </c>
    </row>
    <row r="285" spans="1:12" ht="15">
      <c r="A285" s="112" t="s">
        <v>4124</v>
      </c>
      <c r="B285" s="112" t="s">
        <v>4278</v>
      </c>
      <c r="C285" s="80">
        <v>2</v>
      </c>
      <c r="D285" s="113">
        <v>0.004917545186025694</v>
      </c>
      <c r="E285" s="113">
        <v>1.5191401757209357</v>
      </c>
      <c r="F285" s="80" t="s">
        <v>4101</v>
      </c>
      <c r="G285" s="80" t="b">
        <v>0</v>
      </c>
      <c r="H285" s="80" t="b">
        <v>0</v>
      </c>
      <c r="I285" s="80" t="b">
        <v>0</v>
      </c>
      <c r="J285" s="80" t="b">
        <v>0</v>
      </c>
      <c r="K285" s="80" t="b">
        <v>0</v>
      </c>
      <c r="L285" s="80" t="b">
        <v>0</v>
      </c>
    </row>
    <row r="286" spans="1:12" ht="15">
      <c r="A286" s="112" t="s">
        <v>4168</v>
      </c>
      <c r="B286" s="112" t="s">
        <v>4122</v>
      </c>
      <c r="C286" s="80">
        <v>2</v>
      </c>
      <c r="D286" s="113">
        <v>0.004917545186025694</v>
      </c>
      <c r="E286" s="113">
        <v>0.9382694834629114</v>
      </c>
      <c r="F286" s="80" t="s">
        <v>4101</v>
      </c>
      <c r="G286" s="80" t="b">
        <v>0</v>
      </c>
      <c r="H286" s="80" t="b">
        <v>0</v>
      </c>
      <c r="I286" s="80" t="b">
        <v>0</v>
      </c>
      <c r="J286" s="80" t="b">
        <v>0</v>
      </c>
      <c r="K286" s="80" t="b">
        <v>0</v>
      </c>
      <c r="L286" s="80" t="b">
        <v>0</v>
      </c>
    </row>
    <row r="287" spans="1:12" ht="15">
      <c r="A287" s="112" t="s">
        <v>4125</v>
      </c>
      <c r="B287" s="112" t="s">
        <v>4168</v>
      </c>
      <c r="C287" s="80">
        <v>2</v>
      </c>
      <c r="D287" s="113">
        <v>0.004917545186025694</v>
      </c>
      <c r="E287" s="113">
        <v>1.2181101800569545</v>
      </c>
      <c r="F287" s="80" t="s">
        <v>4101</v>
      </c>
      <c r="G287" s="80" t="b">
        <v>0</v>
      </c>
      <c r="H287" s="80" t="b">
        <v>0</v>
      </c>
      <c r="I287" s="80" t="b">
        <v>0</v>
      </c>
      <c r="J287" s="80" t="b">
        <v>0</v>
      </c>
      <c r="K287" s="80" t="b">
        <v>0</v>
      </c>
      <c r="L287" s="80" t="b">
        <v>0</v>
      </c>
    </row>
    <row r="288" spans="1:12" ht="15">
      <c r="A288" s="112" t="s">
        <v>4168</v>
      </c>
      <c r="B288" s="112" t="s">
        <v>4181</v>
      </c>
      <c r="C288" s="80">
        <v>2</v>
      </c>
      <c r="D288" s="113">
        <v>0.004917545186025694</v>
      </c>
      <c r="E288" s="113">
        <v>1.9382694834629113</v>
      </c>
      <c r="F288" s="80" t="s">
        <v>4101</v>
      </c>
      <c r="G288" s="80" t="b">
        <v>0</v>
      </c>
      <c r="H288" s="80" t="b">
        <v>0</v>
      </c>
      <c r="I288" s="80" t="b">
        <v>0</v>
      </c>
      <c r="J288" s="80" t="b">
        <v>0</v>
      </c>
      <c r="K288" s="80" t="b">
        <v>0</v>
      </c>
      <c r="L288" s="80" t="b">
        <v>0</v>
      </c>
    </row>
    <row r="289" spans="1:12" ht="15">
      <c r="A289" s="112" t="s">
        <v>4145</v>
      </c>
      <c r="B289" s="112" t="s">
        <v>4126</v>
      </c>
      <c r="C289" s="80">
        <v>2</v>
      </c>
      <c r="D289" s="113">
        <v>0.004917545186025694</v>
      </c>
      <c r="E289" s="113">
        <v>1.0632082200712112</v>
      </c>
      <c r="F289" s="80" t="s">
        <v>4101</v>
      </c>
      <c r="G289" s="80" t="b">
        <v>0</v>
      </c>
      <c r="H289" s="80" t="b">
        <v>0</v>
      </c>
      <c r="I289" s="80" t="b">
        <v>0</v>
      </c>
      <c r="J289" s="80" t="b">
        <v>0</v>
      </c>
      <c r="K289" s="80" t="b">
        <v>0</v>
      </c>
      <c r="L289" s="80" t="b">
        <v>0</v>
      </c>
    </row>
    <row r="290" spans="1:12" ht="15">
      <c r="A290" s="112" t="s">
        <v>2874</v>
      </c>
      <c r="B290" s="112" t="s">
        <v>2725</v>
      </c>
      <c r="C290" s="80">
        <v>2</v>
      </c>
      <c r="D290" s="113">
        <v>0.004139689900072254</v>
      </c>
      <c r="E290" s="113">
        <v>1.1833480737977424</v>
      </c>
      <c r="F290" s="80" t="s">
        <v>4101</v>
      </c>
      <c r="G290" s="80" t="b">
        <v>0</v>
      </c>
      <c r="H290" s="80" t="b">
        <v>0</v>
      </c>
      <c r="I290" s="80" t="b">
        <v>0</v>
      </c>
      <c r="J290" s="80" t="b">
        <v>0</v>
      </c>
      <c r="K290" s="80" t="b">
        <v>0</v>
      </c>
      <c r="L290" s="80" t="b">
        <v>0</v>
      </c>
    </row>
    <row r="291" spans="1:12" ht="15">
      <c r="A291" s="112" t="s">
        <v>4191</v>
      </c>
      <c r="B291" s="112" t="s">
        <v>2725</v>
      </c>
      <c r="C291" s="80">
        <v>2</v>
      </c>
      <c r="D291" s="113">
        <v>0.004139689900072254</v>
      </c>
      <c r="E291" s="113">
        <v>1.2502948634283557</v>
      </c>
      <c r="F291" s="80" t="s">
        <v>4101</v>
      </c>
      <c r="G291" s="80" t="b">
        <v>0</v>
      </c>
      <c r="H291" s="80" t="b">
        <v>0</v>
      </c>
      <c r="I291" s="80" t="b">
        <v>0</v>
      </c>
      <c r="J291" s="80" t="b">
        <v>0</v>
      </c>
      <c r="K291" s="80" t="b">
        <v>0</v>
      </c>
      <c r="L291" s="80" t="b">
        <v>0</v>
      </c>
    </row>
    <row r="292" spans="1:12" ht="15">
      <c r="A292" s="112" t="s">
        <v>4177</v>
      </c>
      <c r="B292" s="112" t="s">
        <v>4132</v>
      </c>
      <c r="C292" s="80">
        <v>2</v>
      </c>
      <c r="D292" s="113">
        <v>0.004917545186025694</v>
      </c>
      <c r="E292" s="113">
        <v>0.9328744515762051</v>
      </c>
      <c r="F292" s="80" t="s">
        <v>4101</v>
      </c>
      <c r="G292" s="80" t="b">
        <v>0</v>
      </c>
      <c r="H292" s="80" t="b">
        <v>0</v>
      </c>
      <c r="I292" s="80" t="b">
        <v>0</v>
      </c>
      <c r="J292" s="80" t="b">
        <v>0</v>
      </c>
      <c r="K292" s="80" t="b">
        <v>0</v>
      </c>
      <c r="L292" s="80" t="b">
        <v>0</v>
      </c>
    </row>
    <row r="293" spans="1:12" ht="15">
      <c r="A293" s="112" t="s">
        <v>4132</v>
      </c>
      <c r="B293" s="112" t="s">
        <v>4177</v>
      </c>
      <c r="C293" s="80">
        <v>2</v>
      </c>
      <c r="D293" s="113">
        <v>0.004917545186025694</v>
      </c>
      <c r="E293" s="113">
        <v>1.0088505577486186</v>
      </c>
      <c r="F293" s="80" t="s">
        <v>4101</v>
      </c>
      <c r="G293" s="80" t="b">
        <v>0</v>
      </c>
      <c r="H293" s="80" t="b">
        <v>0</v>
      </c>
      <c r="I293" s="80" t="b">
        <v>0</v>
      </c>
      <c r="J293" s="80" t="b">
        <v>0</v>
      </c>
      <c r="K293" s="80" t="b">
        <v>0</v>
      </c>
      <c r="L293" s="80" t="b">
        <v>0</v>
      </c>
    </row>
    <row r="294" spans="1:12" ht="15">
      <c r="A294" s="112" t="s">
        <v>4177</v>
      </c>
      <c r="B294" s="112" t="s">
        <v>4191</v>
      </c>
      <c r="C294" s="80">
        <v>2</v>
      </c>
      <c r="D294" s="113">
        <v>0.004917545186025694</v>
      </c>
      <c r="E294" s="113">
        <v>1.4891769523434923</v>
      </c>
      <c r="F294" s="80" t="s">
        <v>4101</v>
      </c>
      <c r="G294" s="80" t="b">
        <v>0</v>
      </c>
      <c r="H294" s="80" t="b">
        <v>0</v>
      </c>
      <c r="I294" s="80" t="b">
        <v>0</v>
      </c>
      <c r="J294" s="80" t="b">
        <v>0</v>
      </c>
      <c r="K294" s="80" t="b">
        <v>0</v>
      </c>
      <c r="L294" s="80" t="b">
        <v>0</v>
      </c>
    </row>
    <row r="295" spans="1:12" ht="15">
      <c r="A295" s="112" t="s">
        <v>4191</v>
      </c>
      <c r="B295" s="112" t="s">
        <v>4177</v>
      </c>
      <c r="C295" s="80">
        <v>2</v>
      </c>
      <c r="D295" s="113">
        <v>0.004917545186025694</v>
      </c>
      <c r="E295" s="113">
        <v>1.461148228743249</v>
      </c>
      <c r="F295" s="80" t="s">
        <v>4101</v>
      </c>
      <c r="G295" s="80" t="b">
        <v>0</v>
      </c>
      <c r="H295" s="80" t="b">
        <v>0</v>
      </c>
      <c r="I295" s="80" t="b">
        <v>0</v>
      </c>
      <c r="J295" s="80" t="b">
        <v>0</v>
      </c>
      <c r="K295" s="80" t="b">
        <v>0</v>
      </c>
      <c r="L295" s="80" t="b">
        <v>0</v>
      </c>
    </row>
    <row r="296" spans="1:12" ht="15">
      <c r="A296" s="112" t="s">
        <v>4177</v>
      </c>
      <c r="B296" s="112" t="s">
        <v>2874</v>
      </c>
      <c r="C296" s="80">
        <v>2</v>
      </c>
      <c r="D296" s="113">
        <v>0.004917545186025694</v>
      </c>
      <c r="E296" s="113">
        <v>1.2850569696875678</v>
      </c>
      <c r="F296" s="80" t="s">
        <v>4101</v>
      </c>
      <c r="G296" s="80" t="b">
        <v>0</v>
      </c>
      <c r="H296" s="80" t="b">
        <v>0</v>
      </c>
      <c r="I296" s="80" t="b">
        <v>0</v>
      </c>
      <c r="J296" s="80" t="b">
        <v>0</v>
      </c>
      <c r="K296" s="80" t="b">
        <v>0</v>
      </c>
      <c r="L296" s="80" t="b">
        <v>0</v>
      </c>
    </row>
    <row r="297" spans="1:12" ht="15">
      <c r="A297" s="112" t="s">
        <v>4172</v>
      </c>
      <c r="B297" s="112" t="s">
        <v>4246</v>
      </c>
      <c r="C297" s="80">
        <v>2</v>
      </c>
      <c r="D297" s="113">
        <v>0.004139689900072254</v>
      </c>
      <c r="E297" s="113">
        <v>2.5403294747908736</v>
      </c>
      <c r="F297" s="80" t="s">
        <v>4101</v>
      </c>
      <c r="G297" s="80" t="b">
        <v>0</v>
      </c>
      <c r="H297" s="80" t="b">
        <v>0</v>
      </c>
      <c r="I297" s="80" t="b">
        <v>0</v>
      </c>
      <c r="J297" s="80" t="b">
        <v>0</v>
      </c>
      <c r="K297" s="80" t="b">
        <v>0</v>
      </c>
      <c r="L297" s="80" t="b">
        <v>0</v>
      </c>
    </row>
    <row r="298" spans="1:12" ht="15">
      <c r="A298" s="112" t="s">
        <v>4123</v>
      </c>
      <c r="B298" s="112" t="s">
        <v>4130</v>
      </c>
      <c r="C298" s="80">
        <v>15</v>
      </c>
      <c r="D298" s="113">
        <v>0.017062134968759315</v>
      </c>
      <c r="E298" s="113">
        <v>1.0927387003608247</v>
      </c>
      <c r="F298" s="80" t="s">
        <v>4102</v>
      </c>
      <c r="G298" s="80" t="b">
        <v>0</v>
      </c>
      <c r="H298" s="80" t="b">
        <v>0</v>
      </c>
      <c r="I298" s="80" t="b">
        <v>0</v>
      </c>
      <c r="J298" s="80" t="b">
        <v>0</v>
      </c>
      <c r="K298" s="80" t="b">
        <v>0</v>
      </c>
      <c r="L298" s="80" t="b">
        <v>0</v>
      </c>
    </row>
    <row r="299" spans="1:12" ht="15">
      <c r="A299" s="112" t="s">
        <v>4123</v>
      </c>
      <c r="B299" s="112" t="s">
        <v>4122</v>
      </c>
      <c r="C299" s="80">
        <v>13</v>
      </c>
      <c r="D299" s="113">
        <v>0.01652432588549554</v>
      </c>
      <c r="E299" s="113">
        <v>0.7161968363900173</v>
      </c>
      <c r="F299" s="80" t="s">
        <v>4102</v>
      </c>
      <c r="G299" s="80" t="b">
        <v>0</v>
      </c>
      <c r="H299" s="80" t="b">
        <v>0</v>
      </c>
      <c r="I299" s="80" t="b">
        <v>0</v>
      </c>
      <c r="J299" s="80" t="b">
        <v>0</v>
      </c>
      <c r="K299" s="80" t="b">
        <v>0</v>
      </c>
      <c r="L299" s="80" t="b">
        <v>0</v>
      </c>
    </row>
    <row r="300" spans="1:12" ht="15">
      <c r="A300" s="112" t="s">
        <v>4122</v>
      </c>
      <c r="B300" s="112" t="s">
        <v>4125</v>
      </c>
      <c r="C300" s="80">
        <v>11</v>
      </c>
      <c r="D300" s="113">
        <v>0.015720632295374834</v>
      </c>
      <c r="E300" s="113">
        <v>0.8942984767079665</v>
      </c>
      <c r="F300" s="80" t="s">
        <v>4102</v>
      </c>
      <c r="G300" s="80" t="b">
        <v>0</v>
      </c>
      <c r="H300" s="80" t="b">
        <v>0</v>
      </c>
      <c r="I300" s="80" t="b">
        <v>0</v>
      </c>
      <c r="J300" s="80" t="b">
        <v>0</v>
      </c>
      <c r="K300" s="80" t="b">
        <v>0</v>
      </c>
      <c r="L300" s="80" t="b">
        <v>0</v>
      </c>
    </row>
    <row r="301" spans="1:12" ht="15">
      <c r="A301" s="112" t="s">
        <v>4122</v>
      </c>
      <c r="B301" s="112" t="s">
        <v>4127</v>
      </c>
      <c r="C301" s="80">
        <v>9</v>
      </c>
      <c r="D301" s="113">
        <v>0.01368432636279295</v>
      </c>
      <c r="E301" s="113">
        <v>0.7836672051395435</v>
      </c>
      <c r="F301" s="80" t="s">
        <v>4102</v>
      </c>
      <c r="G301" s="80" t="b">
        <v>0</v>
      </c>
      <c r="H301" s="80" t="b">
        <v>0</v>
      </c>
      <c r="I301" s="80" t="b">
        <v>0</v>
      </c>
      <c r="J301" s="80" t="b">
        <v>0</v>
      </c>
      <c r="K301" s="80" t="b">
        <v>0</v>
      </c>
      <c r="L301" s="80" t="b">
        <v>0</v>
      </c>
    </row>
    <row r="302" spans="1:12" ht="15">
      <c r="A302" s="112" t="s">
        <v>4133</v>
      </c>
      <c r="B302" s="112" t="s">
        <v>4140</v>
      </c>
      <c r="C302" s="80">
        <v>8</v>
      </c>
      <c r="D302" s="113">
        <v>0.012980652401482723</v>
      </c>
      <c r="E302" s="113">
        <v>1.272035099291717</v>
      </c>
      <c r="F302" s="80" t="s">
        <v>4102</v>
      </c>
      <c r="G302" s="80" t="b">
        <v>0</v>
      </c>
      <c r="H302" s="80" t="b">
        <v>0</v>
      </c>
      <c r="I302" s="80" t="b">
        <v>0</v>
      </c>
      <c r="J302" s="80" t="b">
        <v>0</v>
      </c>
      <c r="K302" s="80" t="b">
        <v>0</v>
      </c>
      <c r="L302" s="80" t="b">
        <v>0</v>
      </c>
    </row>
    <row r="303" spans="1:12" ht="15">
      <c r="A303" s="112" t="s">
        <v>4140</v>
      </c>
      <c r="B303" s="112" t="s">
        <v>4123</v>
      </c>
      <c r="C303" s="80">
        <v>8</v>
      </c>
      <c r="D303" s="113">
        <v>0.012980652401482723</v>
      </c>
      <c r="E303" s="113">
        <v>1.1470963626834172</v>
      </c>
      <c r="F303" s="80" t="s">
        <v>4102</v>
      </c>
      <c r="G303" s="80" t="b">
        <v>0</v>
      </c>
      <c r="H303" s="80" t="b">
        <v>0</v>
      </c>
      <c r="I303" s="80" t="b">
        <v>0</v>
      </c>
      <c r="J303" s="80" t="b">
        <v>0</v>
      </c>
      <c r="K303" s="80" t="b">
        <v>0</v>
      </c>
      <c r="L303" s="80" t="b">
        <v>0</v>
      </c>
    </row>
    <row r="304" spans="1:12" ht="15">
      <c r="A304" s="112" t="s">
        <v>4122</v>
      </c>
      <c r="B304" s="112" t="s">
        <v>4122</v>
      </c>
      <c r="C304" s="80">
        <v>7</v>
      </c>
      <c r="D304" s="113">
        <v>0.012168337575536519</v>
      </c>
      <c r="E304" s="113">
        <v>0.4347623967894169</v>
      </c>
      <c r="F304" s="80" t="s">
        <v>4102</v>
      </c>
      <c r="G304" s="80" t="b">
        <v>0</v>
      </c>
      <c r="H304" s="80" t="b">
        <v>0</v>
      </c>
      <c r="I304" s="80" t="b">
        <v>0</v>
      </c>
      <c r="J304" s="80" t="b">
        <v>0</v>
      </c>
      <c r="K304" s="80" t="b">
        <v>0</v>
      </c>
      <c r="L304" s="80" t="b">
        <v>0</v>
      </c>
    </row>
    <row r="305" spans="1:12" ht="15">
      <c r="A305" s="112" t="s">
        <v>2874</v>
      </c>
      <c r="B305" s="112" t="s">
        <v>4153</v>
      </c>
      <c r="C305" s="80">
        <v>7</v>
      </c>
      <c r="D305" s="113">
        <v>0.01730972978524143</v>
      </c>
      <c r="E305" s="113">
        <v>0.8441318672422363</v>
      </c>
      <c r="F305" s="80" t="s">
        <v>4102</v>
      </c>
      <c r="G305" s="80" t="b">
        <v>0</v>
      </c>
      <c r="H305" s="80" t="b">
        <v>0</v>
      </c>
      <c r="I305" s="80" t="b">
        <v>0</v>
      </c>
      <c r="J305" s="80" t="b">
        <v>0</v>
      </c>
      <c r="K305" s="80" t="b">
        <v>0</v>
      </c>
      <c r="L305" s="80" t="b">
        <v>0</v>
      </c>
    </row>
    <row r="306" spans="1:12" ht="15">
      <c r="A306" s="112" t="s">
        <v>4124</v>
      </c>
      <c r="B306" s="112" t="s">
        <v>4127</v>
      </c>
      <c r="C306" s="80">
        <v>6</v>
      </c>
      <c r="D306" s="113">
        <v>0.011231761595822221</v>
      </c>
      <c r="E306" s="113">
        <v>0.8092213096119317</v>
      </c>
      <c r="F306" s="80" t="s">
        <v>4102</v>
      </c>
      <c r="G306" s="80" t="b">
        <v>0</v>
      </c>
      <c r="H306" s="80" t="b">
        <v>0</v>
      </c>
      <c r="I306" s="80" t="b">
        <v>0</v>
      </c>
      <c r="J306" s="80" t="b">
        <v>0</v>
      </c>
      <c r="K306" s="80" t="b">
        <v>0</v>
      </c>
      <c r="L306" s="80" t="b">
        <v>0</v>
      </c>
    </row>
    <row r="307" spans="1:12" ht="15">
      <c r="A307" s="112" t="s">
        <v>4130</v>
      </c>
      <c r="B307" s="112" t="s">
        <v>4123</v>
      </c>
      <c r="C307" s="80">
        <v>6</v>
      </c>
      <c r="D307" s="113">
        <v>0.011231761595822221</v>
      </c>
      <c r="E307" s="113">
        <v>0.7491563540113796</v>
      </c>
      <c r="F307" s="80" t="s">
        <v>4102</v>
      </c>
      <c r="G307" s="80" t="b">
        <v>0</v>
      </c>
      <c r="H307" s="80" t="b">
        <v>0</v>
      </c>
      <c r="I307" s="80" t="b">
        <v>0</v>
      </c>
      <c r="J307" s="80" t="b">
        <v>0</v>
      </c>
      <c r="K307" s="80" t="b">
        <v>0</v>
      </c>
      <c r="L307" s="80" t="b">
        <v>0</v>
      </c>
    </row>
    <row r="308" spans="1:12" ht="15">
      <c r="A308" s="112" t="s">
        <v>4127</v>
      </c>
      <c r="B308" s="112" t="s">
        <v>4131</v>
      </c>
      <c r="C308" s="80">
        <v>6</v>
      </c>
      <c r="D308" s="113">
        <v>0.011231761595822221</v>
      </c>
      <c r="E308" s="113">
        <v>1.1751250862836606</v>
      </c>
      <c r="F308" s="80" t="s">
        <v>4102</v>
      </c>
      <c r="G308" s="80" t="b">
        <v>0</v>
      </c>
      <c r="H308" s="80" t="b">
        <v>0</v>
      </c>
      <c r="I308" s="80" t="b">
        <v>0</v>
      </c>
      <c r="J308" s="80" t="b">
        <v>0</v>
      </c>
      <c r="K308" s="80" t="b">
        <v>0</v>
      </c>
      <c r="L308" s="80" t="b">
        <v>0</v>
      </c>
    </row>
    <row r="309" spans="1:12" ht="15">
      <c r="A309" s="112" t="s">
        <v>4131</v>
      </c>
      <c r="B309" s="112" t="s">
        <v>4166</v>
      </c>
      <c r="C309" s="80">
        <v>6</v>
      </c>
      <c r="D309" s="113">
        <v>0.011231761595822221</v>
      </c>
      <c r="E309" s="113">
        <v>1.506118305325085</v>
      </c>
      <c r="F309" s="80" t="s">
        <v>4102</v>
      </c>
      <c r="G309" s="80" t="b">
        <v>0</v>
      </c>
      <c r="H309" s="80" t="b">
        <v>0</v>
      </c>
      <c r="I309" s="80" t="b">
        <v>0</v>
      </c>
      <c r="J309" s="80" t="b">
        <v>0</v>
      </c>
      <c r="K309" s="80" t="b">
        <v>0</v>
      </c>
      <c r="L309" s="80" t="b">
        <v>0</v>
      </c>
    </row>
    <row r="310" spans="1:12" ht="15">
      <c r="A310" s="112" t="s">
        <v>4166</v>
      </c>
      <c r="B310" s="112" t="s">
        <v>4158</v>
      </c>
      <c r="C310" s="80">
        <v>6</v>
      </c>
      <c r="D310" s="113">
        <v>0.011231761595822221</v>
      </c>
      <c r="E310" s="113">
        <v>1.8071483009890663</v>
      </c>
      <c r="F310" s="80" t="s">
        <v>4102</v>
      </c>
      <c r="G310" s="80" t="b">
        <v>0</v>
      </c>
      <c r="H310" s="80" t="b">
        <v>0</v>
      </c>
      <c r="I310" s="80" t="b">
        <v>0</v>
      </c>
      <c r="J310" s="80" t="b">
        <v>0</v>
      </c>
      <c r="K310" s="80" t="b">
        <v>0</v>
      </c>
      <c r="L310" s="80" t="b">
        <v>0</v>
      </c>
    </row>
    <row r="311" spans="1:12" ht="15">
      <c r="A311" s="112" t="s">
        <v>4123</v>
      </c>
      <c r="B311" s="112" t="s">
        <v>4134</v>
      </c>
      <c r="C311" s="80">
        <v>5</v>
      </c>
      <c r="D311" s="113">
        <v>0.010150033326335132</v>
      </c>
      <c r="E311" s="113">
        <v>0.9166474413051433</v>
      </c>
      <c r="F311" s="80" t="s">
        <v>4102</v>
      </c>
      <c r="G311" s="80" t="b">
        <v>0</v>
      </c>
      <c r="H311" s="80" t="b">
        <v>0</v>
      </c>
      <c r="I311" s="80" t="b">
        <v>0</v>
      </c>
      <c r="J311" s="80" t="b">
        <v>0</v>
      </c>
      <c r="K311" s="80" t="b">
        <v>0</v>
      </c>
      <c r="L311" s="80" t="b">
        <v>0</v>
      </c>
    </row>
    <row r="312" spans="1:12" ht="15">
      <c r="A312" s="112" t="s">
        <v>2874</v>
      </c>
      <c r="B312" s="112" t="s">
        <v>4123</v>
      </c>
      <c r="C312" s="80">
        <v>4</v>
      </c>
      <c r="D312" s="113">
        <v>0.008893759299854982</v>
      </c>
      <c r="E312" s="113">
        <v>0.2720350992917171</v>
      </c>
      <c r="F312" s="80" t="s">
        <v>4102</v>
      </c>
      <c r="G312" s="80" t="b">
        <v>0</v>
      </c>
      <c r="H312" s="80" t="b">
        <v>0</v>
      </c>
      <c r="I312" s="80" t="b">
        <v>0</v>
      </c>
      <c r="J312" s="80" t="b">
        <v>0</v>
      </c>
      <c r="K312" s="80" t="b">
        <v>0</v>
      </c>
      <c r="L312" s="80" t="b">
        <v>0</v>
      </c>
    </row>
    <row r="313" spans="1:12" ht="15">
      <c r="A313" s="112" t="s">
        <v>2874</v>
      </c>
      <c r="B313" s="112" t="s">
        <v>4124</v>
      </c>
      <c r="C313" s="80">
        <v>4</v>
      </c>
      <c r="D313" s="113">
        <v>0.009891274162995102</v>
      </c>
      <c r="E313" s="113">
        <v>0.4761550819476419</v>
      </c>
      <c r="F313" s="80" t="s">
        <v>4102</v>
      </c>
      <c r="G313" s="80" t="b">
        <v>0</v>
      </c>
      <c r="H313" s="80" t="b">
        <v>0</v>
      </c>
      <c r="I313" s="80" t="b">
        <v>0</v>
      </c>
      <c r="J313" s="80" t="b">
        <v>0</v>
      </c>
      <c r="K313" s="80" t="b">
        <v>0</v>
      </c>
      <c r="L313" s="80" t="b">
        <v>0</v>
      </c>
    </row>
    <row r="314" spans="1:12" ht="15">
      <c r="A314" s="112" t="s">
        <v>4125</v>
      </c>
      <c r="B314" s="112" t="s">
        <v>4123</v>
      </c>
      <c r="C314" s="80">
        <v>3</v>
      </c>
      <c r="D314" s="113">
        <v>0.007418455622246327</v>
      </c>
      <c r="E314" s="113">
        <v>0.4780895817248417</v>
      </c>
      <c r="F314" s="80" t="s">
        <v>4102</v>
      </c>
      <c r="G314" s="80" t="b">
        <v>0</v>
      </c>
      <c r="H314" s="80" t="b">
        <v>0</v>
      </c>
      <c r="I314" s="80" t="b">
        <v>0</v>
      </c>
      <c r="J314" s="80" t="b">
        <v>0</v>
      </c>
      <c r="K314" s="80" t="b">
        <v>0</v>
      </c>
      <c r="L314" s="80" t="b">
        <v>0</v>
      </c>
    </row>
    <row r="315" spans="1:12" ht="15">
      <c r="A315" s="112" t="s">
        <v>4124</v>
      </c>
      <c r="B315" s="112" t="s">
        <v>4125</v>
      </c>
      <c r="C315" s="80">
        <v>3</v>
      </c>
      <c r="D315" s="113">
        <v>0.007418455622246327</v>
      </c>
      <c r="E315" s="113">
        <v>0.5316724097974733</v>
      </c>
      <c r="F315" s="80" t="s">
        <v>4102</v>
      </c>
      <c r="G315" s="80" t="b">
        <v>0</v>
      </c>
      <c r="H315" s="80" t="b">
        <v>0</v>
      </c>
      <c r="I315" s="80" t="b">
        <v>0</v>
      </c>
      <c r="J315" s="80" t="b">
        <v>0</v>
      </c>
      <c r="K315" s="80" t="b">
        <v>0</v>
      </c>
      <c r="L315" s="80" t="b">
        <v>0</v>
      </c>
    </row>
    <row r="316" spans="1:12" ht="15">
      <c r="A316" s="112" t="s">
        <v>4230</v>
      </c>
      <c r="B316" s="112" t="s">
        <v>4180</v>
      </c>
      <c r="C316" s="80">
        <v>3</v>
      </c>
      <c r="D316" s="113">
        <v>0.008472894299226456</v>
      </c>
      <c r="E316" s="113">
        <v>2.1751250862836606</v>
      </c>
      <c r="F316" s="80" t="s">
        <v>4102</v>
      </c>
      <c r="G316" s="80" t="b">
        <v>0</v>
      </c>
      <c r="H316" s="80" t="b">
        <v>0</v>
      </c>
      <c r="I316" s="80" t="b">
        <v>0</v>
      </c>
      <c r="J316" s="80" t="b">
        <v>0</v>
      </c>
      <c r="K316" s="80" t="b">
        <v>0</v>
      </c>
      <c r="L316" s="80" t="b">
        <v>0</v>
      </c>
    </row>
    <row r="317" spans="1:12" ht="15">
      <c r="A317" s="112" t="s">
        <v>4157</v>
      </c>
      <c r="B317" s="112" t="s">
        <v>4137</v>
      </c>
      <c r="C317" s="80">
        <v>3</v>
      </c>
      <c r="D317" s="113">
        <v>0.010275469123561672</v>
      </c>
      <c r="E317" s="113">
        <v>1.4481263583473984</v>
      </c>
      <c r="F317" s="80" t="s">
        <v>4102</v>
      </c>
      <c r="G317" s="80" t="b">
        <v>0</v>
      </c>
      <c r="H317" s="80" t="b">
        <v>0</v>
      </c>
      <c r="I317" s="80" t="b">
        <v>0</v>
      </c>
      <c r="J317" s="80" t="b">
        <v>0</v>
      </c>
      <c r="K317" s="80" t="b">
        <v>0</v>
      </c>
      <c r="L317" s="80" t="b">
        <v>0</v>
      </c>
    </row>
    <row r="318" spans="1:12" ht="15">
      <c r="A318" s="112" t="s">
        <v>4153</v>
      </c>
      <c r="B318" s="112" t="s">
        <v>2874</v>
      </c>
      <c r="C318" s="80">
        <v>3</v>
      </c>
      <c r="D318" s="113">
        <v>0.008472894299226456</v>
      </c>
      <c r="E318" s="113">
        <v>0.5383029886964864</v>
      </c>
      <c r="F318" s="80" t="s">
        <v>4102</v>
      </c>
      <c r="G318" s="80" t="b">
        <v>0</v>
      </c>
      <c r="H318" s="80" t="b">
        <v>0</v>
      </c>
      <c r="I318" s="80" t="b">
        <v>0</v>
      </c>
      <c r="J318" s="80" t="b">
        <v>0</v>
      </c>
      <c r="K318" s="80" t="b">
        <v>0</v>
      </c>
      <c r="L318" s="80" t="b">
        <v>0</v>
      </c>
    </row>
    <row r="319" spans="1:12" ht="15">
      <c r="A319" s="112" t="s">
        <v>4127</v>
      </c>
      <c r="B319" s="112" t="s">
        <v>2874</v>
      </c>
      <c r="C319" s="80">
        <v>2</v>
      </c>
      <c r="D319" s="113">
        <v>0.005648596199484303</v>
      </c>
      <c r="E319" s="113">
        <v>0.3622117296408051</v>
      </c>
      <c r="F319" s="80" t="s">
        <v>4102</v>
      </c>
      <c r="G319" s="80" t="b">
        <v>0</v>
      </c>
      <c r="H319" s="80" t="b">
        <v>0</v>
      </c>
      <c r="I319" s="80" t="b">
        <v>0</v>
      </c>
      <c r="J319" s="80" t="b">
        <v>0</v>
      </c>
      <c r="K319" s="80" t="b">
        <v>0</v>
      </c>
      <c r="L319" s="80" t="b">
        <v>0</v>
      </c>
    </row>
    <row r="320" spans="1:12" ht="15">
      <c r="A320" s="112" t="s">
        <v>2874</v>
      </c>
      <c r="B320" s="112" t="s">
        <v>4133</v>
      </c>
      <c r="C320" s="80">
        <v>2</v>
      </c>
      <c r="D320" s="113">
        <v>0.005648596199484303</v>
      </c>
      <c r="E320" s="113">
        <v>0.4761550819476419</v>
      </c>
      <c r="F320" s="80" t="s">
        <v>4102</v>
      </c>
      <c r="G320" s="80" t="b">
        <v>0</v>
      </c>
      <c r="H320" s="80" t="b">
        <v>0</v>
      </c>
      <c r="I320" s="80" t="b">
        <v>0</v>
      </c>
      <c r="J320" s="80" t="b">
        <v>0</v>
      </c>
      <c r="K320" s="80" t="b">
        <v>0</v>
      </c>
      <c r="L320" s="80" t="b">
        <v>0</v>
      </c>
    </row>
    <row r="321" spans="1:12" ht="15">
      <c r="A321" s="112" t="s">
        <v>4153</v>
      </c>
      <c r="B321" s="112" t="s">
        <v>4153</v>
      </c>
      <c r="C321" s="80">
        <v>2</v>
      </c>
      <c r="D321" s="113">
        <v>0.006850312749041114</v>
      </c>
      <c r="E321" s="113">
        <v>0.6010938185559418</v>
      </c>
      <c r="F321" s="80" t="s">
        <v>4102</v>
      </c>
      <c r="G321" s="80" t="b">
        <v>0</v>
      </c>
      <c r="H321" s="80" t="b">
        <v>0</v>
      </c>
      <c r="I321" s="80" t="b">
        <v>0</v>
      </c>
      <c r="J321" s="80" t="b">
        <v>0</v>
      </c>
      <c r="K321" s="80" t="b">
        <v>0</v>
      </c>
      <c r="L321" s="80" t="b">
        <v>0</v>
      </c>
    </row>
    <row r="322" spans="1:12" ht="15">
      <c r="A322" s="112" t="s">
        <v>4122</v>
      </c>
      <c r="B322" s="112" t="s">
        <v>4159</v>
      </c>
      <c r="C322" s="80">
        <v>2</v>
      </c>
      <c r="D322" s="113">
        <v>0.006850312749041114</v>
      </c>
      <c r="E322" s="113">
        <v>0.9320870375973663</v>
      </c>
      <c r="F322" s="80" t="s">
        <v>4102</v>
      </c>
      <c r="G322" s="80" t="b">
        <v>0</v>
      </c>
      <c r="H322" s="80" t="b">
        <v>0</v>
      </c>
      <c r="I322" s="80" t="b">
        <v>0</v>
      </c>
      <c r="J322" s="80" t="b">
        <v>0</v>
      </c>
      <c r="K322" s="80" t="b">
        <v>0</v>
      </c>
      <c r="L322" s="80" t="b">
        <v>0</v>
      </c>
    </row>
    <row r="323" spans="1:12" ht="15">
      <c r="A323" s="112" t="s">
        <v>4143</v>
      </c>
      <c r="B323" s="112" t="s">
        <v>4122</v>
      </c>
      <c r="C323" s="80">
        <v>2</v>
      </c>
      <c r="D323" s="113">
        <v>0.005648596199484303</v>
      </c>
      <c r="E323" s="113">
        <v>1.1337324011254357</v>
      </c>
      <c r="F323" s="80" t="s">
        <v>4102</v>
      </c>
      <c r="G323" s="80" t="b">
        <v>0</v>
      </c>
      <c r="H323" s="80" t="b">
        <v>0</v>
      </c>
      <c r="I323" s="80" t="b">
        <v>0</v>
      </c>
      <c r="J323" s="80" t="b">
        <v>0</v>
      </c>
      <c r="K323" s="80" t="b">
        <v>0</v>
      </c>
      <c r="L323" s="80" t="b">
        <v>0</v>
      </c>
    </row>
    <row r="324" spans="1:12" ht="15">
      <c r="A324" s="112" t="s">
        <v>2725</v>
      </c>
      <c r="B324" s="112" t="s">
        <v>4124</v>
      </c>
      <c r="C324" s="80">
        <v>2</v>
      </c>
      <c r="D324" s="113">
        <v>0.005648596199484303</v>
      </c>
      <c r="E324" s="113">
        <v>0.5730650949556984</v>
      </c>
      <c r="F324" s="80" t="s">
        <v>4102</v>
      </c>
      <c r="G324" s="80" t="b">
        <v>0</v>
      </c>
      <c r="H324" s="80" t="b">
        <v>0</v>
      </c>
      <c r="I324" s="80" t="b">
        <v>0</v>
      </c>
      <c r="J324" s="80" t="b">
        <v>0</v>
      </c>
      <c r="K324" s="80" t="b">
        <v>0</v>
      </c>
      <c r="L324" s="80" t="b">
        <v>0</v>
      </c>
    </row>
    <row r="325" spans="1:12" ht="15">
      <c r="A325" s="112" t="s">
        <v>4172</v>
      </c>
      <c r="B325" s="112" t="s">
        <v>4214</v>
      </c>
      <c r="C325" s="80">
        <v>2</v>
      </c>
      <c r="D325" s="113">
        <v>0.005648596199484303</v>
      </c>
      <c r="E325" s="113">
        <v>2.0501863496753607</v>
      </c>
      <c r="F325" s="80" t="s">
        <v>4102</v>
      </c>
      <c r="G325" s="80" t="b">
        <v>0</v>
      </c>
      <c r="H325" s="80" t="b">
        <v>0</v>
      </c>
      <c r="I325" s="80" t="b">
        <v>0</v>
      </c>
      <c r="J325" s="80" t="b">
        <v>0</v>
      </c>
      <c r="K325" s="80" t="b">
        <v>0</v>
      </c>
      <c r="L325" s="80" t="b">
        <v>0</v>
      </c>
    </row>
    <row r="326" spans="1:12" ht="15">
      <c r="A326" s="112" t="s">
        <v>2725</v>
      </c>
      <c r="B326" s="112" t="s">
        <v>2874</v>
      </c>
      <c r="C326" s="80">
        <v>2</v>
      </c>
      <c r="D326" s="113">
        <v>0.005648596199484303</v>
      </c>
      <c r="E326" s="113">
        <v>0.4591217426488616</v>
      </c>
      <c r="F326" s="80" t="s">
        <v>4102</v>
      </c>
      <c r="G326" s="80" t="b">
        <v>0</v>
      </c>
      <c r="H326" s="80" t="b">
        <v>0</v>
      </c>
      <c r="I326" s="80" t="b">
        <v>0</v>
      </c>
      <c r="J326" s="80" t="b">
        <v>0</v>
      </c>
      <c r="K326" s="80" t="b">
        <v>0</v>
      </c>
      <c r="L326" s="80" t="b">
        <v>0</v>
      </c>
    </row>
    <row r="327" spans="1:12" ht="15">
      <c r="A327" s="112" t="s">
        <v>4133</v>
      </c>
      <c r="B327" s="112" t="s">
        <v>2874</v>
      </c>
      <c r="C327" s="80">
        <v>2</v>
      </c>
      <c r="D327" s="113">
        <v>0.005648596199484303</v>
      </c>
      <c r="E327" s="113">
        <v>0.15809174698488038</v>
      </c>
      <c r="F327" s="80" t="s">
        <v>4102</v>
      </c>
      <c r="G327" s="80" t="b">
        <v>0</v>
      </c>
      <c r="H327" s="80" t="b">
        <v>0</v>
      </c>
      <c r="I327" s="80" t="b">
        <v>0</v>
      </c>
      <c r="J327" s="80" t="b">
        <v>0</v>
      </c>
      <c r="K327" s="80" t="b">
        <v>0</v>
      </c>
      <c r="L327" s="80" t="b">
        <v>0</v>
      </c>
    </row>
    <row r="328" spans="1:12" ht="15">
      <c r="A328" s="112" t="s">
        <v>4124</v>
      </c>
      <c r="B328" s="112" t="s">
        <v>4142</v>
      </c>
      <c r="C328" s="80">
        <v>2</v>
      </c>
      <c r="D328" s="113">
        <v>0.005648596199484303</v>
      </c>
      <c r="E328" s="113">
        <v>0.9118836515090794</v>
      </c>
      <c r="F328" s="80" t="s">
        <v>4102</v>
      </c>
      <c r="G328" s="80" t="b">
        <v>0</v>
      </c>
      <c r="H328" s="80" t="b">
        <v>0</v>
      </c>
      <c r="I328" s="80" t="b">
        <v>0</v>
      </c>
      <c r="J328" s="80" t="b">
        <v>0</v>
      </c>
      <c r="K328" s="80" t="b">
        <v>0</v>
      </c>
      <c r="L328" s="80" t="b">
        <v>0</v>
      </c>
    </row>
    <row r="329" spans="1:12" ht="15">
      <c r="A329" s="112" t="s">
        <v>4136</v>
      </c>
      <c r="B329" s="112" t="s">
        <v>4154</v>
      </c>
      <c r="C329" s="80">
        <v>2</v>
      </c>
      <c r="D329" s="113">
        <v>0.005648596199484303</v>
      </c>
      <c r="E329" s="113">
        <v>1.9990338272279795</v>
      </c>
      <c r="F329" s="80" t="s">
        <v>4102</v>
      </c>
      <c r="G329" s="80" t="b">
        <v>0</v>
      </c>
      <c r="H329" s="80" t="b">
        <v>0</v>
      </c>
      <c r="I329" s="80" t="b">
        <v>0</v>
      </c>
      <c r="J329" s="80" t="b">
        <v>0</v>
      </c>
      <c r="K329" s="80" t="b">
        <v>0</v>
      </c>
      <c r="L329" s="80" t="b">
        <v>0</v>
      </c>
    </row>
    <row r="330" spans="1:12" ht="15">
      <c r="A330" s="112" t="s">
        <v>4222</v>
      </c>
      <c r="B330" s="112" t="s">
        <v>4122</v>
      </c>
      <c r="C330" s="80">
        <v>2</v>
      </c>
      <c r="D330" s="113">
        <v>0.005648596199484303</v>
      </c>
      <c r="E330" s="113">
        <v>0.9576411420697544</v>
      </c>
      <c r="F330" s="80" t="s">
        <v>4102</v>
      </c>
      <c r="G330" s="80" t="b">
        <v>0</v>
      </c>
      <c r="H330" s="80" t="b">
        <v>0</v>
      </c>
      <c r="I330" s="80" t="b">
        <v>0</v>
      </c>
      <c r="J330" s="80" t="b">
        <v>0</v>
      </c>
      <c r="K330" s="80" t="b">
        <v>0</v>
      </c>
      <c r="L330" s="80" t="b">
        <v>0</v>
      </c>
    </row>
    <row r="331" spans="1:12" ht="15">
      <c r="A331" s="112" t="s">
        <v>4130</v>
      </c>
      <c r="B331" s="112" t="s">
        <v>4124</v>
      </c>
      <c r="C331" s="80">
        <v>2</v>
      </c>
      <c r="D331" s="113">
        <v>0.005648596199484303</v>
      </c>
      <c r="E331" s="113">
        <v>0.4761550819476419</v>
      </c>
      <c r="F331" s="80" t="s">
        <v>4102</v>
      </c>
      <c r="G331" s="80" t="b">
        <v>0</v>
      </c>
      <c r="H331" s="80" t="b">
        <v>0</v>
      </c>
      <c r="I331" s="80" t="b">
        <v>0</v>
      </c>
      <c r="J331" s="80" t="b">
        <v>0</v>
      </c>
      <c r="K331" s="80" t="b">
        <v>0</v>
      </c>
      <c r="L331" s="80" t="b">
        <v>0</v>
      </c>
    </row>
    <row r="332" spans="1:12" ht="15">
      <c r="A332" s="112" t="s">
        <v>4133</v>
      </c>
      <c r="B332" s="112" t="s">
        <v>4133</v>
      </c>
      <c r="C332" s="80">
        <v>2</v>
      </c>
      <c r="D332" s="113">
        <v>0.006850312749041114</v>
      </c>
      <c r="E332" s="113">
        <v>0.5730650949556984</v>
      </c>
      <c r="F332" s="80" t="s">
        <v>4102</v>
      </c>
      <c r="G332" s="80" t="b">
        <v>0</v>
      </c>
      <c r="H332" s="80" t="b">
        <v>0</v>
      </c>
      <c r="I332" s="80" t="b">
        <v>0</v>
      </c>
      <c r="J332" s="80" t="b">
        <v>0</v>
      </c>
      <c r="K332" s="80" t="b">
        <v>0</v>
      </c>
      <c r="L332" s="80" t="b">
        <v>0</v>
      </c>
    </row>
    <row r="333" spans="1:12" ht="15">
      <c r="A333" s="112" t="s">
        <v>4193</v>
      </c>
      <c r="B333" s="112" t="s">
        <v>4230</v>
      </c>
      <c r="C333" s="80">
        <v>2</v>
      </c>
      <c r="D333" s="113">
        <v>0.005648596199484303</v>
      </c>
      <c r="E333" s="113">
        <v>2.1751250862836606</v>
      </c>
      <c r="F333" s="80" t="s">
        <v>4102</v>
      </c>
      <c r="G333" s="80" t="b">
        <v>0</v>
      </c>
      <c r="H333" s="80" t="b">
        <v>0</v>
      </c>
      <c r="I333" s="80" t="b">
        <v>0</v>
      </c>
      <c r="J333" s="80" t="b">
        <v>0</v>
      </c>
      <c r="K333" s="80" t="b">
        <v>0</v>
      </c>
      <c r="L333" s="80" t="b">
        <v>0</v>
      </c>
    </row>
    <row r="334" spans="1:12" ht="15">
      <c r="A334" s="112" t="s">
        <v>4137</v>
      </c>
      <c r="B334" s="112" t="s">
        <v>4212</v>
      </c>
      <c r="C334" s="80">
        <v>2</v>
      </c>
      <c r="D334" s="113">
        <v>0.006850312749041114</v>
      </c>
      <c r="E334" s="113">
        <v>1.4481263583473984</v>
      </c>
      <c r="F334" s="80" t="s">
        <v>4102</v>
      </c>
      <c r="G334" s="80" t="b">
        <v>0</v>
      </c>
      <c r="H334" s="80" t="b">
        <v>0</v>
      </c>
      <c r="I334" s="80" t="b">
        <v>0</v>
      </c>
      <c r="J334" s="80" t="b">
        <v>0</v>
      </c>
      <c r="K334" s="80" t="b">
        <v>0</v>
      </c>
      <c r="L334" s="80" t="b">
        <v>0</v>
      </c>
    </row>
    <row r="335" spans="1:12" ht="15">
      <c r="A335" s="112" t="s">
        <v>4212</v>
      </c>
      <c r="B335" s="112" t="s">
        <v>4157</v>
      </c>
      <c r="C335" s="80">
        <v>2</v>
      </c>
      <c r="D335" s="113">
        <v>0.006850312749041114</v>
      </c>
      <c r="E335" s="113">
        <v>1.5730650949556984</v>
      </c>
      <c r="F335" s="80" t="s">
        <v>4102</v>
      </c>
      <c r="G335" s="80" t="b">
        <v>0</v>
      </c>
      <c r="H335" s="80" t="b">
        <v>0</v>
      </c>
      <c r="I335" s="80" t="b">
        <v>0</v>
      </c>
      <c r="J335" s="80" t="b">
        <v>0</v>
      </c>
      <c r="K335" s="80" t="b">
        <v>0</v>
      </c>
      <c r="L335" s="80" t="b">
        <v>0</v>
      </c>
    </row>
    <row r="336" spans="1:12" ht="15">
      <c r="A336" s="112" t="s">
        <v>4137</v>
      </c>
      <c r="B336" s="112" t="s">
        <v>2874</v>
      </c>
      <c r="C336" s="80">
        <v>2</v>
      </c>
      <c r="D336" s="113">
        <v>0.006850312749041114</v>
      </c>
      <c r="E336" s="113">
        <v>0.6352130017045429</v>
      </c>
      <c r="F336" s="80" t="s">
        <v>4102</v>
      </c>
      <c r="G336" s="80" t="b">
        <v>0</v>
      </c>
      <c r="H336" s="80" t="b">
        <v>0</v>
      </c>
      <c r="I336" s="80" t="b">
        <v>0</v>
      </c>
      <c r="J336" s="80" t="b">
        <v>0</v>
      </c>
      <c r="K336" s="80" t="b">
        <v>0</v>
      </c>
      <c r="L336" s="80" t="b">
        <v>0</v>
      </c>
    </row>
    <row r="337" spans="1:12" ht="15">
      <c r="A337" s="112" t="s">
        <v>4153</v>
      </c>
      <c r="B337" s="112" t="s">
        <v>4126</v>
      </c>
      <c r="C337" s="80">
        <v>2</v>
      </c>
      <c r="D337" s="113">
        <v>0.005648596199484303</v>
      </c>
      <c r="E337" s="113">
        <v>0.9990338272279794</v>
      </c>
      <c r="F337" s="80" t="s">
        <v>4102</v>
      </c>
      <c r="G337" s="80" t="b">
        <v>0</v>
      </c>
      <c r="H337" s="80" t="b">
        <v>0</v>
      </c>
      <c r="I337" s="80" t="b">
        <v>0</v>
      </c>
      <c r="J337" s="80" t="b">
        <v>0</v>
      </c>
      <c r="K337" s="80" t="b">
        <v>0</v>
      </c>
      <c r="L337" s="80" t="b">
        <v>0</v>
      </c>
    </row>
    <row r="338" spans="1:12" ht="15">
      <c r="A338" s="112" t="s">
        <v>4126</v>
      </c>
      <c r="B338" s="112" t="s">
        <v>2874</v>
      </c>
      <c r="C338" s="80">
        <v>2</v>
      </c>
      <c r="D338" s="113">
        <v>0.005648596199484303</v>
      </c>
      <c r="E338" s="113">
        <v>0.8393329843604677</v>
      </c>
      <c r="F338" s="80" t="s">
        <v>4102</v>
      </c>
      <c r="G338" s="80" t="b">
        <v>0</v>
      </c>
      <c r="H338" s="80" t="b">
        <v>0</v>
      </c>
      <c r="I338" s="80" t="b">
        <v>0</v>
      </c>
      <c r="J338" s="80" t="b">
        <v>0</v>
      </c>
      <c r="K338" s="80" t="b">
        <v>0</v>
      </c>
      <c r="L338" s="80" t="b">
        <v>0</v>
      </c>
    </row>
    <row r="339" spans="1:12" ht="15">
      <c r="A339" s="112" t="s">
        <v>2874</v>
      </c>
      <c r="B339" s="112" t="s">
        <v>4137</v>
      </c>
      <c r="C339" s="80">
        <v>2</v>
      </c>
      <c r="D339" s="113">
        <v>0.005648596199484303</v>
      </c>
      <c r="E339" s="113">
        <v>0.5730650949556984</v>
      </c>
      <c r="F339" s="80" t="s">
        <v>4102</v>
      </c>
      <c r="G339" s="80" t="b">
        <v>0</v>
      </c>
      <c r="H339" s="80" t="b">
        <v>0</v>
      </c>
      <c r="I339" s="80" t="b">
        <v>0</v>
      </c>
      <c r="J339" s="80" t="b">
        <v>0</v>
      </c>
      <c r="K339" s="80" t="b">
        <v>0</v>
      </c>
      <c r="L339" s="80" t="b">
        <v>0</v>
      </c>
    </row>
    <row r="340" spans="1:12" ht="15">
      <c r="A340" s="112" t="s">
        <v>4213</v>
      </c>
      <c r="B340" s="112" t="s">
        <v>4126</v>
      </c>
      <c r="C340" s="80">
        <v>2</v>
      </c>
      <c r="D340" s="113">
        <v>0.006850312749041114</v>
      </c>
      <c r="E340" s="113">
        <v>1.5730650949556984</v>
      </c>
      <c r="F340" s="80" t="s">
        <v>4102</v>
      </c>
      <c r="G340" s="80" t="b">
        <v>0</v>
      </c>
      <c r="H340" s="80" t="b">
        <v>0</v>
      </c>
      <c r="I340" s="80" t="b">
        <v>0</v>
      </c>
      <c r="J340" s="80" t="b">
        <v>0</v>
      </c>
      <c r="K340" s="80" t="b">
        <v>0</v>
      </c>
      <c r="L340" s="80" t="b">
        <v>0</v>
      </c>
    </row>
    <row r="341" spans="1:12" ht="15">
      <c r="A341" s="112" t="s">
        <v>4142</v>
      </c>
      <c r="B341" s="112" t="s">
        <v>4142</v>
      </c>
      <c r="C341" s="80">
        <v>2</v>
      </c>
      <c r="D341" s="113">
        <v>0.006850312749041114</v>
      </c>
      <c r="E341" s="113">
        <v>1.6522463410033232</v>
      </c>
      <c r="F341" s="80" t="s">
        <v>4102</v>
      </c>
      <c r="G341" s="80" t="b">
        <v>0</v>
      </c>
      <c r="H341" s="80" t="b">
        <v>0</v>
      </c>
      <c r="I341" s="80" t="b">
        <v>0</v>
      </c>
      <c r="J341" s="80" t="b">
        <v>0</v>
      </c>
      <c r="K341" s="80" t="b">
        <v>0</v>
      </c>
      <c r="L341" s="80" t="b">
        <v>0</v>
      </c>
    </row>
    <row r="342" spans="1:12" ht="15">
      <c r="A342" s="112" t="s">
        <v>4126</v>
      </c>
      <c r="B342" s="112" t="s">
        <v>2725</v>
      </c>
      <c r="C342" s="80">
        <v>2</v>
      </c>
      <c r="D342" s="113">
        <v>0.006850312749041114</v>
      </c>
      <c r="E342" s="113">
        <v>1.3000638228919605</v>
      </c>
      <c r="F342" s="80" t="s">
        <v>4102</v>
      </c>
      <c r="G342" s="80" t="b">
        <v>0</v>
      </c>
      <c r="H342" s="80" t="b">
        <v>0</v>
      </c>
      <c r="I342" s="80" t="b">
        <v>0</v>
      </c>
      <c r="J342" s="80" t="b">
        <v>0</v>
      </c>
      <c r="K342" s="80" t="b">
        <v>0</v>
      </c>
      <c r="L342" s="80" t="b">
        <v>0</v>
      </c>
    </row>
    <row r="343" spans="1:12" ht="15">
      <c r="A343" s="112" t="s">
        <v>4124</v>
      </c>
      <c r="B343" s="112" t="s">
        <v>4298</v>
      </c>
      <c r="C343" s="80">
        <v>2</v>
      </c>
      <c r="D343" s="113">
        <v>0.005648596199484303</v>
      </c>
      <c r="E343" s="113">
        <v>1.1337324011254357</v>
      </c>
      <c r="F343" s="80" t="s">
        <v>4102</v>
      </c>
      <c r="G343" s="80" t="b">
        <v>0</v>
      </c>
      <c r="H343" s="80" t="b">
        <v>0</v>
      </c>
      <c r="I343" s="80" t="b">
        <v>0</v>
      </c>
      <c r="J343" s="80" t="b">
        <v>0</v>
      </c>
      <c r="K343" s="80" t="b">
        <v>0</v>
      </c>
      <c r="L343" s="80" t="b">
        <v>0</v>
      </c>
    </row>
    <row r="344" spans="1:12" ht="15">
      <c r="A344" s="112" t="s">
        <v>4124</v>
      </c>
      <c r="B344" s="112" t="s">
        <v>2874</v>
      </c>
      <c r="C344" s="80">
        <v>2</v>
      </c>
      <c r="D344" s="113">
        <v>0.005648596199484303</v>
      </c>
      <c r="E344" s="113">
        <v>0.19588030787428018</v>
      </c>
      <c r="F344" s="80" t="s">
        <v>4102</v>
      </c>
      <c r="G344" s="80" t="b">
        <v>0</v>
      </c>
      <c r="H344" s="80" t="b">
        <v>0</v>
      </c>
      <c r="I344" s="80" t="b">
        <v>0</v>
      </c>
      <c r="J344" s="80" t="b">
        <v>0</v>
      </c>
      <c r="K344" s="80" t="b">
        <v>0</v>
      </c>
      <c r="L344" s="80" t="b">
        <v>0</v>
      </c>
    </row>
    <row r="345" spans="1:12" ht="15">
      <c r="A345" s="112" t="s">
        <v>4153</v>
      </c>
      <c r="B345" s="112" t="s">
        <v>4317</v>
      </c>
      <c r="C345" s="80">
        <v>2</v>
      </c>
      <c r="D345" s="113">
        <v>0.006850312749041114</v>
      </c>
      <c r="E345" s="113">
        <v>1.476155081947642</v>
      </c>
      <c r="F345" s="80" t="s">
        <v>4102</v>
      </c>
      <c r="G345" s="80" t="b">
        <v>0</v>
      </c>
      <c r="H345" s="80" t="b">
        <v>0</v>
      </c>
      <c r="I345" s="80" t="b">
        <v>0</v>
      </c>
      <c r="J345" s="80" t="b">
        <v>0</v>
      </c>
      <c r="K345" s="80" t="b">
        <v>0</v>
      </c>
      <c r="L345" s="80" t="b">
        <v>0</v>
      </c>
    </row>
    <row r="346" spans="1:12" ht="15">
      <c r="A346" s="112" t="s">
        <v>4123</v>
      </c>
      <c r="B346" s="112" t="s">
        <v>4134</v>
      </c>
      <c r="C346" s="80">
        <v>17</v>
      </c>
      <c r="D346" s="113">
        <v>0.013541003890207449</v>
      </c>
      <c r="E346" s="113">
        <v>1.1464078345595385</v>
      </c>
      <c r="F346" s="80" t="s">
        <v>4103</v>
      </c>
      <c r="G346" s="80" t="b">
        <v>0</v>
      </c>
      <c r="H346" s="80" t="b">
        <v>0</v>
      </c>
      <c r="I346" s="80" t="b">
        <v>0</v>
      </c>
      <c r="J346" s="80" t="b">
        <v>0</v>
      </c>
      <c r="K346" s="80" t="b">
        <v>0</v>
      </c>
      <c r="L346" s="80" t="b">
        <v>0</v>
      </c>
    </row>
    <row r="347" spans="1:12" ht="15">
      <c r="A347" s="112" t="s">
        <v>4154</v>
      </c>
      <c r="B347" s="112" t="s">
        <v>4167</v>
      </c>
      <c r="C347" s="80">
        <v>9</v>
      </c>
      <c r="D347" s="113">
        <v>0.011318779632600173</v>
      </c>
      <c r="E347" s="113">
        <v>1.697387873326144</v>
      </c>
      <c r="F347" s="80" t="s">
        <v>4103</v>
      </c>
      <c r="G347" s="80" t="b">
        <v>0</v>
      </c>
      <c r="H347" s="80" t="b">
        <v>0</v>
      </c>
      <c r="I347" s="80" t="b">
        <v>0</v>
      </c>
      <c r="J347" s="80" t="b">
        <v>0</v>
      </c>
      <c r="K347" s="80" t="b">
        <v>0</v>
      </c>
      <c r="L347" s="80" t="b">
        <v>0</v>
      </c>
    </row>
    <row r="348" spans="1:12" ht="15">
      <c r="A348" s="112" t="s">
        <v>4122</v>
      </c>
      <c r="B348" s="112" t="s">
        <v>4125</v>
      </c>
      <c r="C348" s="80">
        <v>8</v>
      </c>
      <c r="D348" s="113">
        <v>0.01074430970425366</v>
      </c>
      <c r="E348" s="113">
        <v>1.5083316371060953</v>
      </c>
      <c r="F348" s="80" t="s">
        <v>4103</v>
      </c>
      <c r="G348" s="80" t="b">
        <v>0</v>
      </c>
      <c r="H348" s="80" t="b">
        <v>0</v>
      </c>
      <c r="I348" s="80" t="b">
        <v>0</v>
      </c>
      <c r="J348" s="80" t="b">
        <v>0</v>
      </c>
      <c r="K348" s="80" t="b">
        <v>0</v>
      </c>
      <c r="L348" s="80" t="b">
        <v>0</v>
      </c>
    </row>
    <row r="349" spans="1:12" ht="15">
      <c r="A349" s="112" t="s">
        <v>4123</v>
      </c>
      <c r="B349" s="112" t="s">
        <v>4130</v>
      </c>
      <c r="C349" s="80">
        <v>7</v>
      </c>
      <c r="D349" s="113">
        <v>0.010078973209659026</v>
      </c>
      <c r="E349" s="113">
        <v>1.0398105541483502</v>
      </c>
      <c r="F349" s="80" t="s">
        <v>4103</v>
      </c>
      <c r="G349" s="80" t="b">
        <v>0</v>
      </c>
      <c r="H349" s="80" t="b">
        <v>0</v>
      </c>
      <c r="I349" s="80" t="b">
        <v>0</v>
      </c>
      <c r="J349" s="80" t="b">
        <v>0</v>
      </c>
      <c r="K349" s="80" t="b">
        <v>0</v>
      </c>
      <c r="L349" s="80" t="b">
        <v>0</v>
      </c>
    </row>
    <row r="350" spans="1:12" ht="15">
      <c r="A350" s="112" t="s">
        <v>4136</v>
      </c>
      <c r="B350" s="112" t="s">
        <v>4154</v>
      </c>
      <c r="C350" s="80">
        <v>6</v>
      </c>
      <c r="D350" s="113">
        <v>0.009309705432864367</v>
      </c>
      <c r="E350" s="113">
        <v>1.2714191410538631</v>
      </c>
      <c r="F350" s="80" t="s">
        <v>4103</v>
      </c>
      <c r="G350" s="80" t="b">
        <v>0</v>
      </c>
      <c r="H350" s="80" t="b">
        <v>0</v>
      </c>
      <c r="I350" s="80" t="b">
        <v>0</v>
      </c>
      <c r="J350" s="80" t="b">
        <v>0</v>
      </c>
      <c r="K350" s="80" t="b">
        <v>0</v>
      </c>
      <c r="L350" s="80" t="b">
        <v>0</v>
      </c>
    </row>
    <row r="351" spans="1:12" ht="15">
      <c r="A351" s="112" t="s">
        <v>4123</v>
      </c>
      <c r="B351" s="112" t="s">
        <v>4122</v>
      </c>
      <c r="C351" s="80">
        <v>5</v>
      </c>
      <c r="D351" s="113">
        <v>0.008419033153271431</v>
      </c>
      <c r="E351" s="113">
        <v>0.6632335970918384</v>
      </c>
      <c r="F351" s="80" t="s">
        <v>4103</v>
      </c>
      <c r="G351" s="80" t="b">
        <v>0</v>
      </c>
      <c r="H351" s="80" t="b">
        <v>0</v>
      </c>
      <c r="I351" s="80" t="b">
        <v>0</v>
      </c>
      <c r="J351" s="80" t="b">
        <v>0</v>
      </c>
      <c r="K351" s="80" t="b">
        <v>0</v>
      </c>
      <c r="L351" s="80" t="b">
        <v>0</v>
      </c>
    </row>
    <row r="352" spans="1:12" ht="15">
      <c r="A352" s="112" t="s">
        <v>4175</v>
      </c>
      <c r="B352" s="112" t="s">
        <v>4195</v>
      </c>
      <c r="C352" s="80">
        <v>4</v>
      </c>
      <c r="D352" s="113">
        <v>0.007382371851552414</v>
      </c>
      <c r="E352" s="113">
        <v>2.0398105541483504</v>
      </c>
      <c r="F352" s="80" t="s">
        <v>4103</v>
      </c>
      <c r="G352" s="80" t="b">
        <v>0</v>
      </c>
      <c r="H352" s="80" t="b">
        <v>0</v>
      </c>
      <c r="I352" s="80" t="b">
        <v>0</v>
      </c>
      <c r="J352" s="80" t="b">
        <v>0</v>
      </c>
      <c r="K352" s="80" t="b">
        <v>0</v>
      </c>
      <c r="L352" s="80" t="b">
        <v>0</v>
      </c>
    </row>
    <row r="353" spans="1:12" ht="15">
      <c r="A353" s="112" t="s">
        <v>4216</v>
      </c>
      <c r="B353" s="112" t="s">
        <v>4250</v>
      </c>
      <c r="C353" s="80">
        <v>4</v>
      </c>
      <c r="D353" s="113">
        <v>0.007382371851552414</v>
      </c>
      <c r="E353" s="113">
        <v>1.9606293081007256</v>
      </c>
      <c r="F353" s="80" t="s">
        <v>4103</v>
      </c>
      <c r="G353" s="80" t="b">
        <v>0</v>
      </c>
      <c r="H353" s="80" t="b">
        <v>0</v>
      </c>
      <c r="I353" s="80" t="b">
        <v>0</v>
      </c>
      <c r="J353" s="80" t="b">
        <v>0</v>
      </c>
      <c r="K353" s="80" t="b">
        <v>0</v>
      </c>
      <c r="L353" s="80" t="b">
        <v>0</v>
      </c>
    </row>
    <row r="354" spans="1:12" ht="15">
      <c r="A354" s="112" t="s">
        <v>4136</v>
      </c>
      <c r="B354" s="112" t="s">
        <v>4123</v>
      </c>
      <c r="C354" s="80">
        <v>3</v>
      </c>
      <c r="D354" s="113">
        <v>0.0061625154660013715</v>
      </c>
      <c r="E354" s="113">
        <v>0.5493838326491508</v>
      </c>
      <c r="F354" s="80" t="s">
        <v>4103</v>
      </c>
      <c r="G354" s="80" t="b">
        <v>0</v>
      </c>
      <c r="H354" s="80" t="b">
        <v>0</v>
      </c>
      <c r="I354" s="80" t="b">
        <v>0</v>
      </c>
      <c r="J354" s="80" t="b">
        <v>0</v>
      </c>
      <c r="K354" s="80" t="b">
        <v>0</v>
      </c>
      <c r="L354" s="80" t="b">
        <v>0</v>
      </c>
    </row>
    <row r="355" spans="1:12" ht="15">
      <c r="A355" s="112" t="s">
        <v>4134</v>
      </c>
      <c r="B355" s="112" t="s">
        <v>4175</v>
      </c>
      <c r="C355" s="80">
        <v>3</v>
      </c>
      <c r="D355" s="113">
        <v>0.0061625154660013715</v>
      </c>
      <c r="E355" s="113">
        <v>1.2616593037647068</v>
      </c>
      <c r="F355" s="80" t="s">
        <v>4103</v>
      </c>
      <c r="G355" s="80" t="b">
        <v>0</v>
      </c>
      <c r="H355" s="80" t="b">
        <v>0</v>
      </c>
      <c r="I355" s="80" t="b">
        <v>0</v>
      </c>
      <c r="J355" s="80" t="b">
        <v>0</v>
      </c>
      <c r="K355" s="80" t="b">
        <v>0</v>
      </c>
      <c r="L355" s="80" t="b">
        <v>0</v>
      </c>
    </row>
    <row r="356" spans="1:12" ht="15">
      <c r="A356" s="112" t="s">
        <v>4197</v>
      </c>
      <c r="B356" s="112" t="s">
        <v>4198</v>
      </c>
      <c r="C356" s="80">
        <v>3</v>
      </c>
      <c r="D356" s="113">
        <v>0.008552104387802685</v>
      </c>
      <c r="E356" s="113">
        <v>2.2616593037647066</v>
      </c>
      <c r="F356" s="80" t="s">
        <v>4103</v>
      </c>
      <c r="G356" s="80" t="b">
        <v>0</v>
      </c>
      <c r="H356" s="80" t="b">
        <v>0</v>
      </c>
      <c r="I356" s="80" t="b">
        <v>0</v>
      </c>
      <c r="J356" s="80" t="b">
        <v>0</v>
      </c>
      <c r="K356" s="80" t="b">
        <v>0</v>
      </c>
      <c r="L356" s="80" t="b">
        <v>0</v>
      </c>
    </row>
    <row r="357" spans="1:12" ht="15">
      <c r="A357" s="112" t="s">
        <v>4210</v>
      </c>
      <c r="B357" s="112" t="s">
        <v>4171</v>
      </c>
      <c r="C357" s="80">
        <v>3</v>
      </c>
      <c r="D357" s="113">
        <v>0.008552104387802685</v>
      </c>
      <c r="E357" s="113">
        <v>1.8356905714924256</v>
      </c>
      <c r="F357" s="80" t="s">
        <v>4103</v>
      </c>
      <c r="G357" s="80" t="b">
        <v>0</v>
      </c>
      <c r="H357" s="80" t="b">
        <v>0</v>
      </c>
      <c r="I357" s="80" t="b">
        <v>0</v>
      </c>
      <c r="J357" s="80" t="b">
        <v>0</v>
      </c>
      <c r="K357" s="80" t="b">
        <v>0</v>
      </c>
      <c r="L357" s="80" t="b">
        <v>0</v>
      </c>
    </row>
    <row r="358" spans="1:12" ht="15">
      <c r="A358" s="112" t="s">
        <v>4165</v>
      </c>
      <c r="B358" s="112" t="s">
        <v>4123</v>
      </c>
      <c r="C358" s="80">
        <v>3</v>
      </c>
      <c r="D358" s="113">
        <v>0.0061625154660013715</v>
      </c>
      <c r="E358" s="113">
        <v>0.850413828313132</v>
      </c>
      <c r="F358" s="80" t="s">
        <v>4103</v>
      </c>
      <c r="G358" s="80" t="b">
        <v>0</v>
      </c>
      <c r="H358" s="80" t="b">
        <v>0</v>
      </c>
      <c r="I358" s="80" t="b">
        <v>0</v>
      </c>
      <c r="J358" s="80" t="b">
        <v>0</v>
      </c>
      <c r="K358" s="80" t="b">
        <v>0</v>
      </c>
      <c r="L358" s="80" t="b">
        <v>0</v>
      </c>
    </row>
    <row r="359" spans="1:12" ht="15">
      <c r="A359" s="112" t="s">
        <v>4167</v>
      </c>
      <c r="B359" s="112" t="s">
        <v>4136</v>
      </c>
      <c r="C359" s="80">
        <v>3</v>
      </c>
      <c r="D359" s="113">
        <v>0.0061625154660013715</v>
      </c>
      <c r="E359" s="113">
        <v>1.1403548518115008</v>
      </c>
      <c r="F359" s="80" t="s">
        <v>4103</v>
      </c>
      <c r="G359" s="80" t="b">
        <v>0</v>
      </c>
      <c r="H359" s="80" t="b">
        <v>0</v>
      </c>
      <c r="I359" s="80" t="b">
        <v>0</v>
      </c>
      <c r="J359" s="80" t="b">
        <v>0</v>
      </c>
      <c r="K359" s="80" t="b">
        <v>0</v>
      </c>
      <c r="L359" s="80" t="b">
        <v>0</v>
      </c>
    </row>
    <row r="360" spans="1:12" ht="15">
      <c r="A360" s="112" t="s">
        <v>4124</v>
      </c>
      <c r="B360" s="112" t="s">
        <v>4127</v>
      </c>
      <c r="C360" s="80">
        <v>3</v>
      </c>
      <c r="D360" s="113">
        <v>0.0061625154660013715</v>
      </c>
      <c r="E360" s="113">
        <v>1.0605657757389697</v>
      </c>
      <c r="F360" s="80" t="s">
        <v>4103</v>
      </c>
      <c r="G360" s="80" t="b">
        <v>0</v>
      </c>
      <c r="H360" s="80" t="b">
        <v>0</v>
      </c>
      <c r="I360" s="80" t="b">
        <v>0</v>
      </c>
      <c r="J360" s="80" t="b">
        <v>0</v>
      </c>
      <c r="K360" s="80" t="b">
        <v>0</v>
      </c>
      <c r="L360" s="80" t="b">
        <v>0</v>
      </c>
    </row>
    <row r="361" spans="1:12" ht="15">
      <c r="A361" s="112" t="s">
        <v>4144</v>
      </c>
      <c r="B361" s="112" t="s">
        <v>4149</v>
      </c>
      <c r="C361" s="80">
        <v>3</v>
      </c>
      <c r="D361" s="113">
        <v>0.0061625154660013715</v>
      </c>
      <c r="E361" s="113">
        <v>2.2616593037647066</v>
      </c>
      <c r="F361" s="80" t="s">
        <v>4103</v>
      </c>
      <c r="G361" s="80" t="b">
        <v>0</v>
      </c>
      <c r="H361" s="80" t="b">
        <v>0</v>
      </c>
      <c r="I361" s="80" t="b">
        <v>0</v>
      </c>
      <c r="J361" s="80" t="b">
        <v>0</v>
      </c>
      <c r="K361" s="80" t="b">
        <v>0</v>
      </c>
      <c r="L361" s="80" t="b">
        <v>0</v>
      </c>
    </row>
    <row r="362" spans="1:12" ht="15">
      <c r="A362" s="112" t="s">
        <v>4261</v>
      </c>
      <c r="B362" s="112" t="s">
        <v>4136</v>
      </c>
      <c r="C362" s="80">
        <v>3</v>
      </c>
      <c r="D362" s="113">
        <v>0.008552104387802685</v>
      </c>
      <c r="E362" s="113">
        <v>1.5083316371060953</v>
      </c>
      <c r="F362" s="80" t="s">
        <v>4103</v>
      </c>
      <c r="G362" s="80" t="b">
        <v>0</v>
      </c>
      <c r="H362" s="80" t="b">
        <v>0</v>
      </c>
      <c r="I362" s="80" t="b">
        <v>0</v>
      </c>
      <c r="J362" s="80" t="b">
        <v>0</v>
      </c>
      <c r="K362" s="80" t="b">
        <v>0</v>
      </c>
      <c r="L362" s="80" t="b">
        <v>0</v>
      </c>
    </row>
    <row r="363" spans="1:12" ht="15">
      <c r="A363" s="112" t="s">
        <v>4122</v>
      </c>
      <c r="B363" s="112" t="s">
        <v>4131</v>
      </c>
      <c r="C363" s="80">
        <v>2</v>
      </c>
      <c r="D363" s="113">
        <v>0.004696294425488999</v>
      </c>
      <c r="E363" s="113">
        <v>1.1103916284340576</v>
      </c>
      <c r="F363" s="80" t="s">
        <v>4103</v>
      </c>
      <c r="G363" s="80" t="b">
        <v>0</v>
      </c>
      <c r="H363" s="80" t="b">
        <v>0</v>
      </c>
      <c r="I363" s="80" t="b">
        <v>0</v>
      </c>
      <c r="J363" s="80" t="b">
        <v>0</v>
      </c>
      <c r="K363" s="80" t="b">
        <v>0</v>
      </c>
      <c r="L363" s="80" t="b">
        <v>0</v>
      </c>
    </row>
    <row r="364" spans="1:12" ht="15">
      <c r="A364" s="112" t="s">
        <v>4123</v>
      </c>
      <c r="B364" s="112" t="s">
        <v>4129</v>
      </c>
      <c r="C364" s="80">
        <v>2</v>
      </c>
      <c r="D364" s="113">
        <v>0.004696294425488999</v>
      </c>
      <c r="E364" s="113">
        <v>0.5926525228061311</v>
      </c>
      <c r="F364" s="80" t="s">
        <v>4103</v>
      </c>
      <c r="G364" s="80" t="b">
        <v>0</v>
      </c>
      <c r="H364" s="80" t="b">
        <v>0</v>
      </c>
      <c r="I364" s="80" t="b">
        <v>0</v>
      </c>
      <c r="J364" s="80" t="b">
        <v>0</v>
      </c>
      <c r="K364" s="80" t="b">
        <v>0</v>
      </c>
      <c r="L364" s="80" t="b">
        <v>0</v>
      </c>
    </row>
    <row r="365" spans="1:12" ht="15">
      <c r="A365" s="112" t="s">
        <v>4292</v>
      </c>
      <c r="B365" s="112" t="s">
        <v>4293</v>
      </c>
      <c r="C365" s="80">
        <v>2</v>
      </c>
      <c r="D365" s="113">
        <v>0.0057014029252017906</v>
      </c>
      <c r="E365" s="113">
        <v>2.437750562820388</v>
      </c>
      <c r="F365" s="80" t="s">
        <v>4103</v>
      </c>
      <c r="G365" s="80" t="b">
        <v>0</v>
      </c>
      <c r="H365" s="80" t="b">
        <v>0</v>
      </c>
      <c r="I365" s="80" t="b">
        <v>0</v>
      </c>
      <c r="J365" s="80" t="b">
        <v>0</v>
      </c>
      <c r="K365" s="80" t="b">
        <v>0</v>
      </c>
      <c r="L365" s="80" t="b">
        <v>0</v>
      </c>
    </row>
    <row r="366" spans="1:12" ht="15">
      <c r="A366" s="112" t="s">
        <v>4293</v>
      </c>
      <c r="B366" s="112" t="s">
        <v>4224</v>
      </c>
      <c r="C366" s="80">
        <v>2</v>
      </c>
      <c r="D366" s="113">
        <v>0.0057014029252017906</v>
      </c>
      <c r="E366" s="113">
        <v>2.437750562820388</v>
      </c>
      <c r="F366" s="80" t="s">
        <v>4103</v>
      </c>
      <c r="G366" s="80" t="b">
        <v>0</v>
      </c>
      <c r="H366" s="80" t="b">
        <v>0</v>
      </c>
      <c r="I366" s="80" t="b">
        <v>0</v>
      </c>
      <c r="J366" s="80" t="b">
        <v>0</v>
      </c>
      <c r="K366" s="80" t="b">
        <v>0</v>
      </c>
      <c r="L366" s="80" t="b">
        <v>0</v>
      </c>
    </row>
    <row r="367" spans="1:12" ht="15">
      <c r="A367" s="112" t="s">
        <v>4294</v>
      </c>
      <c r="B367" s="112" t="s">
        <v>4186</v>
      </c>
      <c r="C367" s="80">
        <v>2</v>
      </c>
      <c r="D367" s="113">
        <v>0.0057014029252017906</v>
      </c>
      <c r="E367" s="113">
        <v>1.9606293081007256</v>
      </c>
      <c r="F367" s="80" t="s">
        <v>4103</v>
      </c>
      <c r="G367" s="80" t="b">
        <v>0</v>
      </c>
      <c r="H367" s="80" t="b">
        <v>0</v>
      </c>
      <c r="I367" s="80" t="b">
        <v>0</v>
      </c>
      <c r="J367" s="80" t="b">
        <v>0</v>
      </c>
      <c r="K367" s="80" t="b">
        <v>1</v>
      </c>
      <c r="L367" s="80" t="b">
        <v>0</v>
      </c>
    </row>
    <row r="368" spans="1:12" ht="15">
      <c r="A368" s="112" t="s">
        <v>4130</v>
      </c>
      <c r="B368" s="112" t="s">
        <v>2874</v>
      </c>
      <c r="C368" s="80">
        <v>2</v>
      </c>
      <c r="D368" s="113">
        <v>0.004696294425488999</v>
      </c>
      <c r="E368" s="113">
        <v>1.3865980403730067</v>
      </c>
      <c r="F368" s="80" t="s">
        <v>4103</v>
      </c>
      <c r="G368" s="80" t="b">
        <v>0</v>
      </c>
      <c r="H368" s="80" t="b">
        <v>0</v>
      </c>
      <c r="I368" s="80" t="b">
        <v>0</v>
      </c>
      <c r="J368" s="80" t="b">
        <v>0</v>
      </c>
      <c r="K368" s="80" t="b">
        <v>0</v>
      </c>
      <c r="L368" s="80" t="b">
        <v>0</v>
      </c>
    </row>
    <row r="369" spans="1:12" ht="15">
      <c r="A369" s="112" t="s">
        <v>4313</v>
      </c>
      <c r="B369" s="112" t="s">
        <v>4296</v>
      </c>
      <c r="C369" s="80">
        <v>2</v>
      </c>
      <c r="D369" s="113">
        <v>0.004696294425488999</v>
      </c>
      <c r="E369" s="113">
        <v>2.437750562820388</v>
      </c>
      <c r="F369" s="80" t="s">
        <v>4103</v>
      </c>
      <c r="G369" s="80" t="b">
        <v>0</v>
      </c>
      <c r="H369" s="80" t="b">
        <v>0</v>
      </c>
      <c r="I369" s="80" t="b">
        <v>0</v>
      </c>
      <c r="J369" s="80" t="b">
        <v>0</v>
      </c>
      <c r="K369" s="80" t="b">
        <v>0</v>
      </c>
      <c r="L369" s="80" t="b">
        <v>0</v>
      </c>
    </row>
    <row r="370" spans="1:12" ht="15">
      <c r="A370" s="112" t="s">
        <v>4165</v>
      </c>
      <c r="B370" s="112" t="s">
        <v>4154</v>
      </c>
      <c r="C370" s="80">
        <v>2</v>
      </c>
      <c r="D370" s="113">
        <v>0.004696294425488999</v>
      </c>
      <c r="E370" s="113">
        <v>1.0953278819981818</v>
      </c>
      <c r="F370" s="80" t="s">
        <v>4103</v>
      </c>
      <c r="G370" s="80" t="b">
        <v>0</v>
      </c>
      <c r="H370" s="80" t="b">
        <v>0</v>
      </c>
      <c r="I370" s="80" t="b">
        <v>0</v>
      </c>
      <c r="J370" s="80" t="b">
        <v>0</v>
      </c>
      <c r="K370" s="80" t="b">
        <v>0</v>
      </c>
      <c r="L370" s="80" t="b">
        <v>0</v>
      </c>
    </row>
    <row r="371" spans="1:12" ht="15">
      <c r="A371" s="112" t="s">
        <v>4136</v>
      </c>
      <c r="B371" s="112" t="s">
        <v>4182</v>
      </c>
      <c r="C371" s="80">
        <v>2</v>
      </c>
      <c r="D371" s="113">
        <v>0.004696294425488999</v>
      </c>
      <c r="E371" s="113">
        <v>1.2336305801644631</v>
      </c>
      <c r="F371" s="80" t="s">
        <v>4103</v>
      </c>
      <c r="G371" s="80" t="b">
        <v>0</v>
      </c>
      <c r="H371" s="80" t="b">
        <v>0</v>
      </c>
      <c r="I371" s="80" t="b">
        <v>0</v>
      </c>
      <c r="J371" s="80" t="b">
        <v>0</v>
      </c>
      <c r="K371" s="80" t="b">
        <v>0</v>
      </c>
      <c r="L371" s="80" t="b">
        <v>0</v>
      </c>
    </row>
    <row r="372" spans="1:12" ht="15">
      <c r="A372" s="112" t="s">
        <v>4127</v>
      </c>
      <c r="B372" s="112" t="s">
        <v>4143</v>
      </c>
      <c r="C372" s="80">
        <v>2</v>
      </c>
      <c r="D372" s="113">
        <v>0.004696294425488999</v>
      </c>
      <c r="E372" s="113">
        <v>1.483508053381063</v>
      </c>
      <c r="F372" s="80" t="s">
        <v>4103</v>
      </c>
      <c r="G372" s="80" t="b">
        <v>0</v>
      </c>
      <c r="H372" s="80" t="b">
        <v>0</v>
      </c>
      <c r="I372" s="80" t="b">
        <v>0</v>
      </c>
      <c r="J372" s="80" t="b">
        <v>0</v>
      </c>
      <c r="K372" s="80" t="b">
        <v>0</v>
      </c>
      <c r="L372" s="80" t="b">
        <v>0</v>
      </c>
    </row>
    <row r="373" spans="1:12" ht="15">
      <c r="A373" s="112" t="s">
        <v>4134</v>
      </c>
      <c r="B373" s="112" t="s">
        <v>4122</v>
      </c>
      <c r="C373" s="80">
        <v>2</v>
      </c>
      <c r="D373" s="113">
        <v>0.004696294425488999</v>
      </c>
      <c r="E373" s="113">
        <v>0.5540891276667703</v>
      </c>
      <c r="F373" s="80" t="s">
        <v>4103</v>
      </c>
      <c r="G373" s="80" t="b">
        <v>0</v>
      </c>
      <c r="H373" s="80" t="b">
        <v>0</v>
      </c>
      <c r="I373" s="80" t="b">
        <v>0</v>
      </c>
      <c r="J373" s="80" t="b">
        <v>0</v>
      </c>
      <c r="K373" s="80" t="b">
        <v>0</v>
      </c>
      <c r="L373" s="80" t="b">
        <v>0</v>
      </c>
    </row>
    <row r="374" spans="1:12" ht="15">
      <c r="A374" s="112" t="s">
        <v>4217</v>
      </c>
      <c r="B374" s="112" t="s">
        <v>4127</v>
      </c>
      <c r="C374" s="80">
        <v>2</v>
      </c>
      <c r="D374" s="113">
        <v>0.004696294425488999</v>
      </c>
      <c r="E374" s="113">
        <v>1.2994478646541066</v>
      </c>
      <c r="F374" s="80" t="s">
        <v>4103</v>
      </c>
      <c r="G374" s="80" t="b">
        <v>0</v>
      </c>
      <c r="H374" s="80" t="b">
        <v>0</v>
      </c>
      <c r="I374" s="80" t="b">
        <v>0</v>
      </c>
      <c r="J374" s="80" t="b">
        <v>0</v>
      </c>
      <c r="K374" s="80" t="b">
        <v>0</v>
      </c>
      <c r="L374" s="80" t="b">
        <v>0</v>
      </c>
    </row>
    <row r="375" spans="1:12" ht="15">
      <c r="A375" s="112" t="s">
        <v>4170</v>
      </c>
      <c r="B375" s="112" t="s">
        <v>4217</v>
      </c>
      <c r="C375" s="80">
        <v>2</v>
      </c>
      <c r="D375" s="113">
        <v>0.004696294425488999</v>
      </c>
      <c r="E375" s="113">
        <v>1.7845380490450442</v>
      </c>
      <c r="F375" s="80" t="s">
        <v>4103</v>
      </c>
      <c r="G375" s="80" t="b">
        <v>0</v>
      </c>
      <c r="H375" s="80" t="b">
        <v>0</v>
      </c>
      <c r="I375" s="80" t="b">
        <v>0</v>
      </c>
      <c r="J375" s="80" t="b">
        <v>0</v>
      </c>
      <c r="K375" s="80" t="b">
        <v>0</v>
      </c>
      <c r="L375" s="80" t="b">
        <v>0</v>
      </c>
    </row>
    <row r="376" spans="1:12" ht="15">
      <c r="A376" s="112" t="s">
        <v>4134</v>
      </c>
      <c r="B376" s="112" t="s">
        <v>4123</v>
      </c>
      <c r="C376" s="80">
        <v>2</v>
      </c>
      <c r="D376" s="113">
        <v>0.004696294425488999</v>
      </c>
      <c r="E376" s="113">
        <v>0.3221400511460882</v>
      </c>
      <c r="F376" s="80" t="s">
        <v>4103</v>
      </c>
      <c r="G376" s="80" t="b">
        <v>0</v>
      </c>
      <c r="H376" s="80" t="b">
        <v>0</v>
      </c>
      <c r="I376" s="80" t="b">
        <v>0</v>
      </c>
      <c r="J376" s="80" t="b">
        <v>0</v>
      </c>
      <c r="K376" s="80" t="b">
        <v>0</v>
      </c>
      <c r="L376" s="80" t="b">
        <v>0</v>
      </c>
    </row>
    <row r="377" spans="1:12" ht="15">
      <c r="A377" s="112" t="s">
        <v>4131</v>
      </c>
      <c r="B377" s="112" t="s">
        <v>4159</v>
      </c>
      <c r="C377" s="80">
        <v>2</v>
      </c>
      <c r="D377" s="113">
        <v>0.004696294425488999</v>
      </c>
      <c r="E377" s="113">
        <v>1.437750562820388</v>
      </c>
      <c r="F377" s="80" t="s">
        <v>4103</v>
      </c>
      <c r="G377" s="80" t="b">
        <v>0</v>
      </c>
      <c r="H377" s="80" t="b">
        <v>0</v>
      </c>
      <c r="I377" s="80" t="b">
        <v>0</v>
      </c>
      <c r="J377" s="80" t="b">
        <v>0</v>
      </c>
      <c r="K377" s="80" t="b">
        <v>0</v>
      </c>
      <c r="L377" s="80" t="b">
        <v>0</v>
      </c>
    </row>
    <row r="378" spans="1:12" ht="15">
      <c r="A378" s="112" t="s">
        <v>4159</v>
      </c>
      <c r="B378" s="112" t="s">
        <v>4122</v>
      </c>
      <c r="C378" s="80">
        <v>2</v>
      </c>
      <c r="D378" s="113">
        <v>0.0057014029252017906</v>
      </c>
      <c r="E378" s="113">
        <v>1.1103916284340576</v>
      </c>
      <c r="F378" s="80" t="s">
        <v>4103</v>
      </c>
      <c r="G378" s="80" t="b">
        <v>0</v>
      </c>
      <c r="H378" s="80" t="b">
        <v>0</v>
      </c>
      <c r="I378" s="80" t="b">
        <v>0</v>
      </c>
      <c r="J378" s="80" t="b">
        <v>0</v>
      </c>
      <c r="K378" s="80" t="b">
        <v>0</v>
      </c>
      <c r="L378" s="80" t="b">
        <v>0</v>
      </c>
    </row>
    <row r="379" spans="1:12" ht="15">
      <c r="A379" s="112" t="s">
        <v>4122</v>
      </c>
      <c r="B379" s="112" t="s">
        <v>4129</v>
      </c>
      <c r="C379" s="80">
        <v>2</v>
      </c>
      <c r="D379" s="113">
        <v>0.004696294425488999</v>
      </c>
      <c r="E379" s="113">
        <v>0.9062716457781328</v>
      </c>
      <c r="F379" s="80" t="s">
        <v>4103</v>
      </c>
      <c r="G379" s="80" t="b">
        <v>0</v>
      </c>
      <c r="H379" s="80" t="b">
        <v>0</v>
      </c>
      <c r="I379" s="80" t="b">
        <v>0</v>
      </c>
      <c r="J379" s="80" t="b">
        <v>0</v>
      </c>
      <c r="K379" s="80" t="b">
        <v>0</v>
      </c>
      <c r="L379" s="80" t="b">
        <v>0</v>
      </c>
    </row>
    <row r="380" spans="1:12" ht="15">
      <c r="A380" s="112" t="s">
        <v>4160</v>
      </c>
      <c r="B380" s="112" t="s">
        <v>4123</v>
      </c>
      <c r="C380" s="80">
        <v>2</v>
      </c>
      <c r="D380" s="113">
        <v>0.004696294425488999</v>
      </c>
      <c r="E380" s="113">
        <v>0.6743225692574507</v>
      </c>
      <c r="F380" s="80" t="s">
        <v>4103</v>
      </c>
      <c r="G380" s="80" t="b">
        <v>0</v>
      </c>
      <c r="H380" s="80" t="b">
        <v>0</v>
      </c>
      <c r="I380" s="80" t="b">
        <v>0</v>
      </c>
      <c r="J380" s="80" t="b">
        <v>0</v>
      </c>
      <c r="K380" s="80" t="b">
        <v>0</v>
      </c>
      <c r="L380" s="80" t="b">
        <v>0</v>
      </c>
    </row>
    <row r="381" spans="1:12" ht="15">
      <c r="A381" s="112" t="s">
        <v>4216</v>
      </c>
      <c r="B381" s="112" t="s">
        <v>4318</v>
      </c>
      <c r="C381" s="80">
        <v>2</v>
      </c>
      <c r="D381" s="113">
        <v>0.004696294425488999</v>
      </c>
      <c r="E381" s="113">
        <v>1.9606293081007256</v>
      </c>
      <c r="F381" s="80" t="s">
        <v>4103</v>
      </c>
      <c r="G381" s="80" t="b">
        <v>0</v>
      </c>
      <c r="H381" s="80" t="b">
        <v>0</v>
      </c>
      <c r="I381" s="80" t="b">
        <v>0</v>
      </c>
      <c r="J381" s="80" t="b">
        <v>0</v>
      </c>
      <c r="K381" s="80" t="b">
        <v>0</v>
      </c>
      <c r="L381" s="80" t="b">
        <v>0</v>
      </c>
    </row>
    <row r="382" spans="1:12" ht="15">
      <c r="A382" s="112" t="s">
        <v>4174</v>
      </c>
      <c r="B382" s="112" t="s">
        <v>4129</v>
      </c>
      <c r="C382" s="80">
        <v>2</v>
      </c>
      <c r="D382" s="113">
        <v>0.004696294425488999</v>
      </c>
      <c r="E382" s="113">
        <v>1.6595993124367443</v>
      </c>
      <c r="F382" s="80" t="s">
        <v>4103</v>
      </c>
      <c r="G382" s="80" t="b">
        <v>0</v>
      </c>
      <c r="H382" s="80" t="b">
        <v>0</v>
      </c>
      <c r="I382" s="80" t="b">
        <v>0</v>
      </c>
      <c r="J382" s="80" t="b">
        <v>0</v>
      </c>
      <c r="K382" s="80" t="b">
        <v>0</v>
      </c>
      <c r="L382" s="80" t="b">
        <v>0</v>
      </c>
    </row>
    <row r="383" spans="1:12" ht="15">
      <c r="A383" s="112" t="s">
        <v>2874</v>
      </c>
      <c r="B383" s="112" t="s">
        <v>4332</v>
      </c>
      <c r="C383" s="80">
        <v>2</v>
      </c>
      <c r="D383" s="113">
        <v>0.004696294425488999</v>
      </c>
      <c r="E383" s="113">
        <v>1.8936825184701123</v>
      </c>
      <c r="F383" s="80" t="s">
        <v>4103</v>
      </c>
      <c r="G383" s="80" t="b">
        <v>0</v>
      </c>
      <c r="H383" s="80" t="b">
        <v>0</v>
      </c>
      <c r="I383" s="80" t="b">
        <v>0</v>
      </c>
      <c r="J383" s="80" t="b">
        <v>0</v>
      </c>
      <c r="K383" s="80" t="b">
        <v>0</v>
      </c>
      <c r="L383" s="80" t="b">
        <v>0</v>
      </c>
    </row>
    <row r="384" spans="1:12" ht="15">
      <c r="A384" s="112" t="s">
        <v>4332</v>
      </c>
      <c r="B384" s="112" t="s">
        <v>4333</v>
      </c>
      <c r="C384" s="80">
        <v>2</v>
      </c>
      <c r="D384" s="113">
        <v>0.004696294425488999</v>
      </c>
      <c r="E384" s="113">
        <v>2.437750562820388</v>
      </c>
      <c r="F384" s="80" t="s">
        <v>4103</v>
      </c>
      <c r="G384" s="80" t="b">
        <v>0</v>
      </c>
      <c r="H384" s="80" t="b">
        <v>0</v>
      </c>
      <c r="I384" s="80" t="b">
        <v>0</v>
      </c>
      <c r="J384" s="80" t="b">
        <v>0</v>
      </c>
      <c r="K384" s="80" t="b">
        <v>0</v>
      </c>
      <c r="L384" s="80" t="b">
        <v>0</v>
      </c>
    </row>
    <row r="385" spans="1:12" ht="15">
      <c r="A385" s="112" t="s">
        <v>4333</v>
      </c>
      <c r="B385" s="112" t="s">
        <v>4123</v>
      </c>
      <c r="C385" s="80">
        <v>2</v>
      </c>
      <c r="D385" s="113">
        <v>0.004696294425488999</v>
      </c>
      <c r="E385" s="113">
        <v>1.276382560585413</v>
      </c>
      <c r="F385" s="80" t="s">
        <v>4103</v>
      </c>
      <c r="G385" s="80" t="b">
        <v>0</v>
      </c>
      <c r="H385" s="80" t="b">
        <v>0</v>
      </c>
      <c r="I385" s="80" t="b">
        <v>0</v>
      </c>
      <c r="J385" s="80" t="b">
        <v>0</v>
      </c>
      <c r="K385" s="80" t="b">
        <v>0</v>
      </c>
      <c r="L385" s="80" t="b">
        <v>0</v>
      </c>
    </row>
    <row r="386" spans="1:12" ht="15">
      <c r="A386" s="112" t="s">
        <v>4125</v>
      </c>
      <c r="B386" s="112" t="s">
        <v>4334</v>
      </c>
      <c r="C386" s="80">
        <v>2</v>
      </c>
      <c r="D386" s="113">
        <v>0.004696294425488999</v>
      </c>
      <c r="E386" s="113">
        <v>1.8936825184701123</v>
      </c>
      <c r="F386" s="80" t="s">
        <v>4103</v>
      </c>
      <c r="G386" s="80" t="b">
        <v>0</v>
      </c>
      <c r="H386" s="80" t="b">
        <v>0</v>
      </c>
      <c r="I386" s="80" t="b">
        <v>0</v>
      </c>
      <c r="J386" s="80" t="b">
        <v>0</v>
      </c>
      <c r="K386" s="80" t="b">
        <v>0</v>
      </c>
      <c r="L386" s="80" t="b">
        <v>0</v>
      </c>
    </row>
    <row r="387" spans="1:12" ht="15">
      <c r="A387" s="112" t="s">
        <v>4334</v>
      </c>
      <c r="B387" s="112" t="s">
        <v>4127</v>
      </c>
      <c r="C387" s="80">
        <v>2</v>
      </c>
      <c r="D387" s="113">
        <v>0.004696294425488999</v>
      </c>
      <c r="E387" s="113">
        <v>1.697387873326144</v>
      </c>
      <c r="F387" s="80" t="s">
        <v>4103</v>
      </c>
      <c r="G387" s="80" t="b">
        <v>0</v>
      </c>
      <c r="H387" s="80" t="b">
        <v>0</v>
      </c>
      <c r="I387" s="80" t="b">
        <v>0</v>
      </c>
      <c r="J387" s="80" t="b">
        <v>0</v>
      </c>
      <c r="K387" s="80" t="b">
        <v>0</v>
      </c>
      <c r="L387" s="80" t="b">
        <v>0</v>
      </c>
    </row>
    <row r="388" spans="1:12" ht="15">
      <c r="A388" s="112" t="s">
        <v>4127</v>
      </c>
      <c r="B388" s="112" t="s">
        <v>4130</v>
      </c>
      <c r="C388" s="80">
        <v>2</v>
      </c>
      <c r="D388" s="113">
        <v>0.004696294425488999</v>
      </c>
      <c r="E388" s="113">
        <v>0.9606293081007256</v>
      </c>
      <c r="F388" s="80" t="s">
        <v>4103</v>
      </c>
      <c r="G388" s="80" t="b">
        <v>0</v>
      </c>
      <c r="H388" s="80" t="b">
        <v>0</v>
      </c>
      <c r="I388" s="80" t="b">
        <v>0</v>
      </c>
      <c r="J388" s="80" t="b">
        <v>0</v>
      </c>
      <c r="K388" s="80" t="b">
        <v>0</v>
      </c>
      <c r="L388" s="80" t="b">
        <v>0</v>
      </c>
    </row>
    <row r="389" spans="1:12" ht="15">
      <c r="A389" s="112" t="s">
        <v>4136</v>
      </c>
      <c r="B389" s="112" t="s">
        <v>4261</v>
      </c>
      <c r="C389" s="80">
        <v>2</v>
      </c>
      <c r="D389" s="113">
        <v>0.0057014029252017906</v>
      </c>
      <c r="E389" s="113">
        <v>1.358569316772763</v>
      </c>
      <c r="F389" s="80" t="s">
        <v>4103</v>
      </c>
      <c r="G389" s="80" t="b">
        <v>0</v>
      </c>
      <c r="H389" s="80" t="b">
        <v>0</v>
      </c>
      <c r="I389" s="80" t="b">
        <v>0</v>
      </c>
      <c r="J389" s="80" t="b">
        <v>0</v>
      </c>
      <c r="K389" s="80" t="b">
        <v>0</v>
      </c>
      <c r="L389" s="80" t="b">
        <v>0</v>
      </c>
    </row>
    <row r="390" spans="1:12" ht="15">
      <c r="A390" s="112" t="s">
        <v>4149</v>
      </c>
      <c r="B390" s="112" t="s">
        <v>4123</v>
      </c>
      <c r="C390" s="80">
        <v>2</v>
      </c>
      <c r="D390" s="113">
        <v>0.004696294425488999</v>
      </c>
      <c r="E390" s="113">
        <v>1.276382560585413</v>
      </c>
      <c r="F390" s="80" t="s">
        <v>4103</v>
      </c>
      <c r="G390" s="80" t="b">
        <v>0</v>
      </c>
      <c r="H390" s="80" t="b">
        <v>0</v>
      </c>
      <c r="I390" s="80" t="b">
        <v>0</v>
      </c>
      <c r="J390" s="80" t="b">
        <v>0</v>
      </c>
      <c r="K390" s="80" t="b">
        <v>0</v>
      </c>
      <c r="L390" s="80" t="b">
        <v>0</v>
      </c>
    </row>
    <row r="391" spans="1:12" ht="15">
      <c r="A391" s="112" t="s">
        <v>4251</v>
      </c>
      <c r="B391" s="112" t="s">
        <v>4136</v>
      </c>
      <c r="C391" s="80">
        <v>2</v>
      </c>
      <c r="D391" s="113">
        <v>0.004696294425488999</v>
      </c>
      <c r="E391" s="113">
        <v>1.1103916284340576</v>
      </c>
      <c r="F391" s="80" t="s">
        <v>4103</v>
      </c>
      <c r="G391" s="80" t="b">
        <v>0</v>
      </c>
      <c r="H391" s="80" t="b">
        <v>0</v>
      </c>
      <c r="I391" s="80" t="b">
        <v>0</v>
      </c>
      <c r="J391" s="80" t="b">
        <v>0</v>
      </c>
      <c r="K391" s="80" t="b">
        <v>0</v>
      </c>
      <c r="L391" s="80" t="b">
        <v>0</v>
      </c>
    </row>
    <row r="392" spans="1:12" ht="15">
      <c r="A392" s="112" t="s">
        <v>4123</v>
      </c>
      <c r="B392" s="112" t="s">
        <v>4122</v>
      </c>
      <c r="C392" s="80">
        <v>25</v>
      </c>
      <c r="D392" s="113">
        <v>0.014203811547693042</v>
      </c>
      <c r="E392" s="113">
        <v>0.7763822276447969</v>
      </c>
      <c r="F392" s="80" t="s">
        <v>4104</v>
      </c>
      <c r="G392" s="80" t="b">
        <v>0</v>
      </c>
      <c r="H392" s="80" t="b">
        <v>0</v>
      </c>
      <c r="I392" s="80" t="b">
        <v>0</v>
      </c>
      <c r="J392" s="80" t="b">
        <v>0</v>
      </c>
      <c r="K392" s="80" t="b">
        <v>0</v>
      </c>
      <c r="L392" s="80" t="b">
        <v>0</v>
      </c>
    </row>
    <row r="393" spans="1:12" ht="15">
      <c r="A393" s="112" t="s">
        <v>4122</v>
      </c>
      <c r="B393" s="112" t="s">
        <v>4125</v>
      </c>
      <c r="C393" s="80">
        <v>19</v>
      </c>
      <c r="D393" s="113">
        <v>0.014155178168761353</v>
      </c>
      <c r="E393" s="113">
        <v>0.9370365165196315</v>
      </c>
      <c r="F393" s="80" t="s">
        <v>4104</v>
      </c>
      <c r="G393" s="80" t="b">
        <v>0</v>
      </c>
      <c r="H393" s="80" t="b">
        <v>0</v>
      </c>
      <c r="I393" s="80" t="b">
        <v>0</v>
      </c>
      <c r="J393" s="80" t="b">
        <v>0</v>
      </c>
      <c r="K393" s="80" t="b">
        <v>0</v>
      </c>
      <c r="L393" s="80" t="b">
        <v>0</v>
      </c>
    </row>
    <row r="394" spans="1:12" ht="15">
      <c r="A394" s="112" t="s">
        <v>4146</v>
      </c>
      <c r="B394" s="112" t="s">
        <v>4162</v>
      </c>
      <c r="C394" s="80">
        <v>10</v>
      </c>
      <c r="D394" s="113">
        <v>0.03598374265113477</v>
      </c>
      <c r="E394" s="113">
        <v>1.5518933818622322</v>
      </c>
      <c r="F394" s="80" t="s">
        <v>4104</v>
      </c>
      <c r="G394" s="80" t="b">
        <v>0</v>
      </c>
      <c r="H394" s="80" t="b">
        <v>0</v>
      </c>
      <c r="I394" s="80" t="b">
        <v>0</v>
      </c>
      <c r="J394" s="80" t="b">
        <v>0</v>
      </c>
      <c r="K394" s="80" t="b">
        <v>1</v>
      </c>
      <c r="L394" s="80" t="b">
        <v>0</v>
      </c>
    </row>
    <row r="395" spans="1:12" ht="15">
      <c r="A395" s="112" t="s">
        <v>4125</v>
      </c>
      <c r="B395" s="112" t="s">
        <v>4123</v>
      </c>
      <c r="C395" s="80">
        <v>5</v>
      </c>
      <c r="D395" s="113">
        <v>0.010858459106041767</v>
      </c>
      <c r="E395" s="113">
        <v>0.4998643818582222</v>
      </c>
      <c r="F395" s="80" t="s">
        <v>4104</v>
      </c>
      <c r="G395" s="80" t="b">
        <v>0</v>
      </c>
      <c r="H395" s="80" t="b">
        <v>0</v>
      </c>
      <c r="I395" s="80" t="b">
        <v>0</v>
      </c>
      <c r="J395" s="80" t="b">
        <v>0</v>
      </c>
      <c r="K395" s="80" t="b">
        <v>0</v>
      </c>
      <c r="L395" s="80" t="b">
        <v>0</v>
      </c>
    </row>
    <row r="396" spans="1:12" ht="15">
      <c r="A396" s="112" t="s">
        <v>4162</v>
      </c>
      <c r="B396" s="112" t="s">
        <v>4150</v>
      </c>
      <c r="C396" s="80">
        <v>5</v>
      </c>
      <c r="D396" s="113">
        <v>0.017991871325567385</v>
      </c>
      <c r="E396" s="113">
        <v>1.0881360887005513</v>
      </c>
      <c r="F396" s="80" t="s">
        <v>4104</v>
      </c>
      <c r="G396" s="80" t="b">
        <v>0</v>
      </c>
      <c r="H396" s="80" t="b">
        <v>1</v>
      </c>
      <c r="I396" s="80" t="b">
        <v>0</v>
      </c>
      <c r="J396" s="80" t="b">
        <v>0</v>
      </c>
      <c r="K396" s="80" t="b">
        <v>0</v>
      </c>
      <c r="L396" s="80" t="b">
        <v>0</v>
      </c>
    </row>
    <row r="397" spans="1:12" ht="15">
      <c r="A397" s="112" t="s">
        <v>4150</v>
      </c>
      <c r="B397" s="112" t="s">
        <v>4146</v>
      </c>
      <c r="C397" s="80">
        <v>5</v>
      </c>
      <c r="D397" s="113">
        <v>0.017991871325567385</v>
      </c>
      <c r="E397" s="113">
        <v>1.020414464819977</v>
      </c>
      <c r="F397" s="80" t="s">
        <v>4104</v>
      </c>
      <c r="G397" s="80" t="b">
        <v>0</v>
      </c>
      <c r="H397" s="80" t="b">
        <v>0</v>
      </c>
      <c r="I397" s="80" t="b">
        <v>0</v>
      </c>
      <c r="J397" s="80" t="b">
        <v>0</v>
      </c>
      <c r="K397" s="80" t="b">
        <v>0</v>
      </c>
      <c r="L397" s="80" t="b">
        <v>0</v>
      </c>
    </row>
    <row r="398" spans="1:12" ht="15">
      <c r="A398" s="112" t="s">
        <v>4123</v>
      </c>
      <c r="B398" s="112" t="s">
        <v>4134</v>
      </c>
      <c r="C398" s="80">
        <v>4</v>
      </c>
      <c r="D398" s="113">
        <v>0.008686767284833414</v>
      </c>
      <c r="E398" s="113">
        <v>0.8943160626844384</v>
      </c>
      <c r="F398" s="80" t="s">
        <v>4104</v>
      </c>
      <c r="G398" s="80" t="b">
        <v>0</v>
      </c>
      <c r="H398" s="80" t="b">
        <v>0</v>
      </c>
      <c r="I398" s="80" t="b">
        <v>0</v>
      </c>
      <c r="J398" s="80" t="b">
        <v>0</v>
      </c>
      <c r="K398" s="80" t="b">
        <v>0</v>
      </c>
      <c r="L398" s="80" t="b">
        <v>0</v>
      </c>
    </row>
    <row r="399" spans="1:12" ht="15">
      <c r="A399" s="112" t="s">
        <v>4124</v>
      </c>
      <c r="B399" s="112" t="s">
        <v>4127</v>
      </c>
      <c r="C399" s="80">
        <v>4</v>
      </c>
      <c r="D399" s="113">
        <v>0.011540132172643661</v>
      </c>
      <c r="E399" s="113">
        <v>0.9352746703633448</v>
      </c>
      <c r="F399" s="80" t="s">
        <v>4104</v>
      </c>
      <c r="G399" s="80" t="b">
        <v>0</v>
      </c>
      <c r="H399" s="80" t="b">
        <v>0</v>
      </c>
      <c r="I399" s="80" t="b">
        <v>0</v>
      </c>
      <c r="J399" s="80" t="b">
        <v>0</v>
      </c>
      <c r="K399" s="80" t="b">
        <v>0</v>
      </c>
      <c r="L399" s="80" t="b">
        <v>0</v>
      </c>
    </row>
    <row r="400" spans="1:12" ht="15">
      <c r="A400" s="112" t="s">
        <v>4123</v>
      </c>
      <c r="B400" s="112" t="s">
        <v>4130</v>
      </c>
      <c r="C400" s="80">
        <v>4</v>
      </c>
      <c r="D400" s="113">
        <v>0.008686767284833414</v>
      </c>
      <c r="E400" s="113">
        <v>0.9912260756924948</v>
      </c>
      <c r="F400" s="80" t="s">
        <v>4104</v>
      </c>
      <c r="G400" s="80" t="b">
        <v>0</v>
      </c>
      <c r="H400" s="80" t="b">
        <v>0</v>
      </c>
      <c r="I400" s="80" t="b">
        <v>0</v>
      </c>
      <c r="J400" s="80" t="b">
        <v>0</v>
      </c>
      <c r="K400" s="80" t="b">
        <v>0</v>
      </c>
      <c r="L400" s="80" t="b">
        <v>0</v>
      </c>
    </row>
    <row r="401" spans="1:12" ht="15">
      <c r="A401" s="112" t="s">
        <v>4122</v>
      </c>
      <c r="B401" s="112" t="s">
        <v>4129</v>
      </c>
      <c r="C401" s="80">
        <v>3</v>
      </c>
      <c r="D401" s="113">
        <v>0.008655099129482745</v>
      </c>
      <c r="E401" s="113">
        <v>0.3114954293421462</v>
      </c>
      <c r="F401" s="80" t="s">
        <v>4104</v>
      </c>
      <c r="G401" s="80" t="b">
        <v>0</v>
      </c>
      <c r="H401" s="80" t="b">
        <v>0</v>
      </c>
      <c r="I401" s="80" t="b">
        <v>0</v>
      </c>
      <c r="J401" s="80" t="b">
        <v>0</v>
      </c>
      <c r="K401" s="80" t="b">
        <v>0</v>
      </c>
      <c r="L401" s="80" t="b">
        <v>0</v>
      </c>
    </row>
    <row r="402" spans="1:12" ht="15">
      <c r="A402" s="112" t="s">
        <v>4129</v>
      </c>
      <c r="B402" s="112" t="s">
        <v>4123</v>
      </c>
      <c r="C402" s="80">
        <v>3</v>
      </c>
      <c r="D402" s="113">
        <v>0.008655099129482745</v>
      </c>
      <c r="E402" s="113">
        <v>0.4651022755990102</v>
      </c>
      <c r="F402" s="80" t="s">
        <v>4104</v>
      </c>
      <c r="G402" s="80" t="b">
        <v>0</v>
      </c>
      <c r="H402" s="80" t="b">
        <v>0</v>
      </c>
      <c r="I402" s="80" t="b">
        <v>0</v>
      </c>
      <c r="J402" s="80" t="b">
        <v>0</v>
      </c>
      <c r="K402" s="80" t="b">
        <v>0</v>
      </c>
      <c r="L402" s="80" t="b">
        <v>0</v>
      </c>
    </row>
    <row r="403" spans="1:12" ht="15">
      <c r="A403" s="112" t="s">
        <v>4123</v>
      </c>
      <c r="B403" s="112" t="s">
        <v>4129</v>
      </c>
      <c r="C403" s="80">
        <v>3</v>
      </c>
      <c r="D403" s="113">
        <v>0.007403265534300179</v>
      </c>
      <c r="E403" s="113">
        <v>0.3222192947339193</v>
      </c>
      <c r="F403" s="80" t="s">
        <v>4104</v>
      </c>
      <c r="G403" s="80" t="b">
        <v>0</v>
      </c>
      <c r="H403" s="80" t="b">
        <v>0</v>
      </c>
      <c r="I403" s="80" t="b">
        <v>0</v>
      </c>
      <c r="J403" s="80" t="b">
        <v>0</v>
      </c>
      <c r="K403" s="80" t="b">
        <v>0</v>
      </c>
      <c r="L403" s="80" t="b">
        <v>0</v>
      </c>
    </row>
    <row r="404" spans="1:12" ht="15">
      <c r="A404" s="112" t="s">
        <v>4133</v>
      </c>
      <c r="B404" s="112" t="s">
        <v>4140</v>
      </c>
      <c r="C404" s="80">
        <v>3</v>
      </c>
      <c r="D404" s="113">
        <v>0.007403265534300179</v>
      </c>
      <c r="E404" s="113">
        <v>1.6232492903979006</v>
      </c>
      <c r="F404" s="80" t="s">
        <v>4104</v>
      </c>
      <c r="G404" s="80" t="b">
        <v>0</v>
      </c>
      <c r="H404" s="80" t="b">
        <v>0</v>
      </c>
      <c r="I404" s="80" t="b">
        <v>0</v>
      </c>
      <c r="J404" s="80" t="b">
        <v>0</v>
      </c>
      <c r="K404" s="80" t="b">
        <v>0</v>
      </c>
      <c r="L404" s="80" t="b">
        <v>0</v>
      </c>
    </row>
    <row r="405" spans="1:12" ht="15">
      <c r="A405" s="112" t="s">
        <v>4140</v>
      </c>
      <c r="B405" s="112" t="s">
        <v>4123</v>
      </c>
      <c r="C405" s="80">
        <v>3</v>
      </c>
      <c r="D405" s="113">
        <v>0.007403265534300179</v>
      </c>
      <c r="E405" s="113">
        <v>0.7339475878915901</v>
      </c>
      <c r="F405" s="80" t="s">
        <v>4104</v>
      </c>
      <c r="G405" s="80" t="b">
        <v>0</v>
      </c>
      <c r="H405" s="80" t="b">
        <v>0</v>
      </c>
      <c r="I405" s="80" t="b">
        <v>0</v>
      </c>
      <c r="J405" s="80" t="b">
        <v>0</v>
      </c>
      <c r="K405" s="80" t="b">
        <v>0</v>
      </c>
      <c r="L405" s="80" t="b">
        <v>0</v>
      </c>
    </row>
    <row r="406" spans="1:12" ht="15">
      <c r="A406" s="112" t="s">
        <v>4130</v>
      </c>
      <c r="B406" s="112" t="s">
        <v>4123</v>
      </c>
      <c r="C406" s="80">
        <v>3</v>
      </c>
      <c r="D406" s="113">
        <v>0.007403265534300179</v>
      </c>
      <c r="E406" s="113">
        <v>0.9769856365778845</v>
      </c>
      <c r="F406" s="80" t="s">
        <v>4104</v>
      </c>
      <c r="G406" s="80" t="b">
        <v>0</v>
      </c>
      <c r="H406" s="80" t="b">
        <v>0</v>
      </c>
      <c r="I406" s="80" t="b">
        <v>0</v>
      </c>
      <c r="J406" s="80" t="b">
        <v>0</v>
      </c>
      <c r="K406" s="80" t="b">
        <v>0</v>
      </c>
      <c r="L406" s="80" t="b">
        <v>0</v>
      </c>
    </row>
    <row r="407" spans="1:12" ht="15">
      <c r="A407" s="112" t="s">
        <v>4122</v>
      </c>
      <c r="B407" s="112" t="s">
        <v>4122</v>
      </c>
      <c r="C407" s="80">
        <v>3</v>
      </c>
      <c r="D407" s="113">
        <v>0.007403265534300179</v>
      </c>
      <c r="E407" s="113">
        <v>-0.1551603916993514</v>
      </c>
      <c r="F407" s="80" t="s">
        <v>4104</v>
      </c>
      <c r="G407" s="80" t="b">
        <v>0</v>
      </c>
      <c r="H407" s="80" t="b">
        <v>0</v>
      </c>
      <c r="I407" s="80" t="b">
        <v>0</v>
      </c>
      <c r="J407" s="80" t="b">
        <v>0</v>
      </c>
      <c r="K407" s="80" t="b">
        <v>0</v>
      </c>
      <c r="L407" s="80" t="b">
        <v>0</v>
      </c>
    </row>
    <row r="408" spans="1:12" ht="15">
      <c r="A408" s="112" t="s">
        <v>4122</v>
      </c>
      <c r="B408" s="112" t="s">
        <v>4127</v>
      </c>
      <c r="C408" s="80">
        <v>3</v>
      </c>
      <c r="D408" s="113">
        <v>0.007403265534300179</v>
      </c>
      <c r="E408" s="113">
        <v>0.3114954293421462</v>
      </c>
      <c r="F408" s="80" t="s">
        <v>4104</v>
      </c>
      <c r="G408" s="80" t="b">
        <v>0</v>
      </c>
      <c r="H408" s="80" t="b">
        <v>0</v>
      </c>
      <c r="I408" s="80" t="b">
        <v>0</v>
      </c>
      <c r="J408" s="80" t="b">
        <v>0</v>
      </c>
      <c r="K408" s="80" t="b">
        <v>0</v>
      </c>
      <c r="L408" s="80" t="b">
        <v>0</v>
      </c>
    </row>
    <row r="409" spans="1:12" ht="15">
      <c r="A409" s="112" t="s">
        <v>4127</v>
      </c>
      <c r="B409" s="112" t="s">
        <v>4131</v>
      </c>
      <c r="C409" s="80">
        <v>3</v>
      </c>
      <c r="D409" s="113">
        <v>0.007403265534300179</v>
      </c>
      <c r="E409" s="113">
        <v>1.1783127190496392</v>
      </c>
      <c r="F409" s="80" t="s">
        <v>4104</v>
      </c>
      <c r="G409" s="80" t="b">
        <v>0</v>
      </c>
      <c r="H409" s="80" t="b">
        <v>0</v>
      </c>
      <c r="I409" s="80" t="b">
        <v>0</v>
      </c>
      <c r="J409" s="80" t="b">
        <v>0</v>
      </c>
      <c r="K409" s="80" t="b">
        <v>0</v>
      </c>
      <c r="L409" s="80" t="b">
        <v>0</v>
      </c>
    </row>
    <row r="410" spans="1:12" ht="15">
      <c r="A410" s="112" t="s">
        <v>4131</v>
      </c>
      <c r="B410" s="112" t="s">
        <v>4166</v>
      </c>
      <c r="C410" s="80">
        <v>3</v>
      </c>
      <c r="D410" s="113">
        <v>0.007403265534300179</v>
      </c>
      <c r="E410" s="113">
        <v>1.6901960800285136</v>
      </c>
      <c r="F410" s="80" t="s">
        <v>4104</v>
      </c>
      <c r="G410" s="80" t="b">
        <v>0</v>
      </c>
      <c r="H410" s="80" t="b">
        <v>0</v>
      </c>
      <c r="I410" s="80" t="b">
        <v>0</v>
      </c>
      <c r="J410" s="80" t="b">
        <v>0</v>
      </c>
      <c r="K410" s="80" t="b">
        <v>0</v>
      </c>
      <c r="L410" s="80" t="b">
        <v>0</v>
      </c>
    </row>
    <row r="411" spans="1:12" ht="15">
      <c r="A411" s="112" t="s">
        <v>4166</v>
      </c>
      <c r="B411" s="112" t="s">
        <v>4158</v>
      </c>
      <c r="C411" s="80">
        <v>3</v>
      </c>
      <c r="D411" s="113">
        <v>0.007403265534300179</v>
      </c>
      <c r="E411" s="113">
        <v>1.9912260756924949</v>
      </c>
      <c r="F411" s="80" t="s">
        <v>4104</v>
      </c>
      <c r="G411" s="80" t="b">
        <v>0</v>
      </c>
      <c r="H411" s="80" t="b">
        <v>0</v>
      </c>
      <c r="I411" s="80" t="b">
        <v>0</v>
      </c>
      <c r="J411" s="80" t="b">
        <v>0</v>
      </c>
      <c r="K411" s="80" t="b">
        <v>0</v>
      </c>
      <c r="L411" s="80" t="b">
        <v>0</v>
      </c>
    </row>
    <row r="412" spans="1:12" ht="15">
      <c r="A412" s="112" t="s">
        <v>4150</v>
      </c>
      <c r="B412" s="112" t="s">
        <v>4221</v>
      </c>
      <c r="C412" s="80">
        <v>3</v>
      </c>
      <c r="D412" s="113">
        <v>0.010795122795340431</v>
      </c>
      <c r="E412" s="113">
        <v>1.3628371456421833</v>
      </c>
      <c r="F412" s="80" t="s">
        <v>4104</v>
      </c>
      <c r="G412" s="80" t="b">
        <v>0</v>
      </c>
      <c r="H412" s="80" t="b">
        <v>0</v>
      </c>
      <c r="I412" s="80" t="b">
        <v>0</v>
      </c>
      <c r="J412" s="80" t="b">
        <v>0</v>
      </c>
      <c r="K412" s="80" t="b">
        <v>0</v>
      </c>
      <c r="L412" s="80" t="b">
        <v>0</v>
      </c>
    </row>
    <row r="413" spans="1:12" ht="15">
      <c r="A413" s="112" t="s">
        <v>4131</v>
      </c>
      <c r="B413" s="112" t="s">
        <v>4127</v>
      </c>
      <c r="C413" s="80">
        <v>2</v>
      </c>
      <c r="D413" s="113">
        <v>0.005770066086321831</v>
      </c>
      <c r="E413" s="113">
        <v>0.9700367766225568</v>
      </c>
      <c r="F413" s="80" t="s">
        <v>4104</v>
      </c>
      <c r="G413" s="80" t="b">
        <v>0</v>
      </c>
      <c r="H413" s="80" t="b">
        <v>0</v>
      </c>
      <c r="I413" s="80" t="b">
        <v>0</v>
      </c>
      <c r="J413" s="80" t="b">
        <v>0</v>
      </c>
      <c r="K413" s="80" t="b">
        <v>0</v>
      </c>
      <c r="L413" s="80" t="b">
        <v>0</v>
      </c>
    </row>
    <row r="414" spans="1:12" ht="15">
      <c r="A414" s="112" t="s">
        <v>4122</v>
      </c>
      <c r="B414" s="112" t="s">
        <v>4143</v>
      </c>
      <c r="C414" s="80">
        <v>2</v>
      </c>
      <c r="D414" s="113">
        <v>0.005770066086321831</v>
      </c>
      <c r="E414" s="113">
        <v>0.8044109512450405</v>
      </c>
      <c r="F414" s="80" t="s">
        <v>4104</v>
      </c>
      <c r="G414" s="80" t="b">
        <v>0</v>
      </c>
      <c r="H414" s="80" t="b">
        <v>0</v>
      </c>
      <c r="I414" s="80" t="b">
        <v>0</v>
      </c>
      <c r="J414" s="80" t="b">
        <v>0</v>
      </c>
      <c r="K414" s="80" t="b">
        <v>0</v>
      </c>
      <c r="L414" s="80" t="b">
        <v>0</v>
      </c>
    </row>
    <row r="415" spans="1:12" ht="15">
      <c r="A415" s="112" t="s">
        <v>4129</v>
      </c>
      <c r="B415" s="112" t="s">
        <v>4144</v>
      </c>
      <c r="C415" s="80">
        <v>2</v>
      </c>
      <c r="D415" s="113">
        <v>0.005770066086321831</v>
      </c>
      <c r="E415" s="113">
        <v>1.4793427147136204</v>
      </c>
      <c r="F415" s="80" t="s">
        <v>4104</v>
      </c>
      <c r="G415" s="80" t="b">
        <v>0</v>
      </c>
      <c r="H415" s="80" t="b">
        <v>0</v>
      </c>
      <c r="I415" s="80" t="b">
        <v>0</v>
      </c>
      <c r="J415" s="80" t="b">
        <v>0</v>
      </c>
      <c r="K415" s="80" t="b">
        <v>0</v>
      </c>
      <c r="L415" s="80" t="b">
        <v>0</v>
      </c>
    </row>
    <row r="416" spans="1:12" ht="15">
      <c r="A416" s="112" t="s">
        <v>4144</v>
      </c>
      <c r="B416" s="112" t="s">
        <v>4149</v>
      </c>
      <c r="C416" s="80">
        <v>2</v>
      </c>
      <c r="D416" s="113">
        <v>0.005770066086321831</v>
      </c>
      <c r="E416" s="113">
        <v>2.292256071356476</v>
      </c>
      <c r="F416" s="80" t="s">
        <v>4104</v>
      </c>
      <c r="G416" s="80" t="b">
        <v>0</v>
      </c>
      <c r="H416" s="80" t="b">
        <v>0</v>
      </c>
      <c r="I416" s="80" t="b">
        <v>0</v>
      </c>
      <c r="J416" s="80" t="b">
        <v>0</v>
      </c>
      <c r="K416" s="80" t="b">
        <v>0</v>
      </c>
      <c r="L416" s="80" t="b">
        <v>0</v>
      </c>
    </row>
    <row r="417" spans="1:12" ht="15">
      <c r="A417" s="112" t="s">
        <v>4136</v>
      </c>
      <c r="B417" s="112" t="s">
        <v>4154</v>
      </c>
      <c r="C417" s="80">
        <v>2</v>
      </c>
      <c r="D417" s="113">
        <v>0.005770066086321831</v>
      </c>
      <c r="E417" s="113">
        <v>1.462952298525451</v>
      </c>
      <c r="F417" s="80" t="s">
        <v>4104</v>
      </c>
      <c r="G417" s="80" t="b">
        <v>0</v>
      </c>
      <c r="H417" s="80" t="b">
        <v>0</v>
      </c>
      <c r="I417" s="80" t="b">
        <v>0</v>
      </c>
      <c r="J417" s="80" t="b">
        <v>0</v>
      </c>
      <c r="K417" s="80" t="b">
        <v>0</v>
      </c>
      <c r="L417" s="80" t="b">
        <v>0</v>
      </c>
    </row>
    <row r="418" spans="1:12" ht="15">
      <c r="A418" s="112" t="s">
        <v>4154</v>
      </c>
      <c r="B418" s="112" t="s">
        <v>4167</v>
      </c>
      <c r="C418" s="80">
        <v>2</v>
      </c>
      <c r="D418" s="113">
        <v>0.005770066086321831</v>
      </c>
      <c r="E418" s="113">
        <v>2.1161648123007946</v>
      </c>
      <c r="F418" s="80" t="s">
        <v>4104</v>
      </c>
      <c r="G418" s="80" t="b">
        <v>0</v>
      </c>
      <c r="H418" s="80" t="b">
        <v>0</v>
      </c>
      <c r="I418" s="80" t="b">
        <v>0</v>
      </c>
      <c r="J418" s="80" t="b">
        <v>0</v>
      </c>
      <c r="K418" s="80" t="b">
        <v>0</v>
      </c>
      <c r="L418" s="80" t="b">
        <v>0</v>
      </c>
    </row>
    <row r="419" spans="1:12" ht="15">
      <c r="A419" s="112" t="s">
        <v>4129</v>
      </c>
      <c r="B419" s="112" t="s">
        <v>4122</v>
      </c>
      <c r="C419" s="80">
        <v>2</v>
      </c>
      <c r="D419" s="113">
        <v>0.005770066086321831</v>
      </c>
      <c r="E419" s="113">
        <v>0.1675888536578661</v>
      </c>
      <c r="F419" s="80" t="s">
        <v>4104</v>
      </c>
      <c r="G419" s="80" t="b">
        <v>0</v>
      </c>
      <c r="H419" s="80" t="b">
        <v>0</v>
      </c>
      <c r="I419" s="80" t="b">
        <v>0</v>
      </c>
      <c r="J419" s="80" t="b">
        <v>0</v>
      </c>
      <c r="K419" s="80" t="b">
        <v>0</v>
      </c>
      <c r="L419" s="80" t="b">
        <v>0</v>
      </c>
    </row>
    <row r="420" spans="1:12" ht="15">
      <c r="A420" s="112" t="s">
        <v>4127</v>
      </c>
      <c r="B420" s="112" t="s">
        <v>4164</v>
      </c>
      <c r="C420" s="80">
        <v>2</v>
      </c>
      <c r="D420" s="113">
        <v>0.005770066086321831</v>
      </c>
      <c r="E420" s="113">
        <v>1.3032514556579393</v>
      </c>
      <c r="F420" s="80" t="s">
        <v>4104</v>
      </c>
      <c r="G420" s="80" t="b">
        <v>0</v>
      </c>
      <c r="H420" s="80" t="b">
        <v>0</v>
      </c>
      <c r="I420" s="80" t="b">
        <v>0</v>
      </c>
      <c r="J420" s="80" t="b">
        <v>0</v>
      </c>
      <c r="K420" s="80" t="b">
        <v>0</v>
      </c>
      <c r="L420" s="80" t="b">
        <v>0</v>
      </c>
    </row>
    <row r="421" spans="1:12" ht="15">
      <c r="A421" s="112" t="s">
        <v>4287</v>
      </c>
      <c r="B421" s="112" t="s">
        <v>4345</v>
      </c>
      <c r="C421" s="80">
        <v>2</v>
      </c>
      <c r="D421" s="113">
        <v>0.007196748530226955</v>
      </c>
      <c r="E421" s="113">
        <v>1.9912260756924949</v>
      </c>
      <c r="F421" s="80" t="s">
        <v>4104</v>
      </c>
      <c r="G421" s="80" t="b">
        <v>0</v>
      </c>
      <c r="H421" s="80" t="b">
        <v>0</v>
      </c>
      <c r="I421" s="80" t="b">
        <v>0</v>
      </c>
      <c r="J421" s="80" t="b">
        <v>0</v>
      </c>
      <c r="K421" s="80" t="b">
        <v>0</v>
      </c>
      <c r="L421" s="80" t="b">
        <v>0</v>
      </c>
    </row>
    <row r="422" spans="1:12" ht="15">
      <c r="A422" s="112" t="s">
        <v>4127</v>
      </c>
      <c r="B422" s="112" t="s">
        <v>4124</v>
      </c>
      <c r="C422" s="80">
        <v>2</v>
      </c>
      <c r="D422" s="113">
        <v>0.007196748530226955</v>
      </c>
      <c r="E422" s="113">
        <v>0.7011914643299768</v>
      </c>
      <c r="F422" s="80" t="s">
        <v>4104</v>
      </c>
      <c r="G422" s="80" t="b">
        <v>0</v>
      </c>
      <c r="H422" s="80" t="b">
        <v>0</v>
      </c>
      <c r="I422" s="80" t="b">
        <v>0</v>
      </c>
      <c r="J422" s="80" t="b">
        <v>0</v>
      </c>
      <c r="K422" s="80" t="b">
        <v>0</v>
      </c>
      <c r="L422" s="80" t="b">
        <v>0</v>
      </c>
    </row>
    <row r="423" spans="1:12" ht="15">
      <c r="A423" s="112" t="s">
        <v>4140</v>
      </c>
      <c r="B423" s="112" t="s">
        <v>4122</v>
      </c>
      <c r="C423" s="80">
        <v>2</v>
      </c>
      <c r="D423" s="113">
        <v>0.005770066086321831</v>
      </c>
      <c r="E423" s="113">
        <v>0.4364341659504461</v>
      </c>
      <c r="F423" s="80" t="s">
        <v>4104</v>
      </c>
      <c r="G423" s="80" t="b">
        <v>0</v>
      </c>
      <c r="H423" s="80" t="b">
        <v>0</v>
      </c>
      <c r="I423" s="80" t="b">
        <v>0</v>
      </c>
      <c r="J423" s="80" t="b">
        <v>0</v>
      </c>
      <c r="K423" s="80" t="b">
        <v>0</v>
      </c>
      <c r="L423" s="80" t="b">
        <v>0</v>
      </c>
    </row>
    <row r="424" spans="1:12" ht="15">
      <c r="A424" s="112" t="s">
        <v>4218</v>
      </c>
      <c r="B424" s="112" t="s">
        <v>4219</v>
      </c>
      <c r="C424" s="80">
        <v>2</v>
      </c>
      <c r="D424" s="113">
        <v>0.005770066086321831</v>
      </c>
      <c r="E424" s="113">
        <v>2.292256071356476</v>
      </c>
      <c r="F424" s="80" t="s">
        <v>4104</v>
      </c>
      <c r="G424" s="80" t="b">
        <v>0</v>
      </c>
      <c r="H424" s="80" t="b">
        <v>0</v>
      </c>
      <c r="I424" s="80" t="b">
        <v>0</v>
      </c>
      <c r="J424" s="80" t="b">
        <v>0</v>
      </c>
      <c r="K424" s="80" t="b">
        <v>0</v>
      </c>
      <c r="L424" s="80" t="b">
        <v>0</v>
      </c>
    </row>
    <row r="425" spans="1:12" ht="15">
      <c r="A425" s="112" t="s">
        <v>4219</v>
      </c>
      <c r="B425" s="112" t="s">
        <v>4136</v>
      </c>
      <c r="C425" s="80">
        <v>2</v>
      </c>
      <c r="D425" s="113">
        <v>0.005770066086321831</v>
      </c>
      <c r="E425" s="113">
        <v>1.6901960800285136</v>
      </c>
      <c r="F425" s="80" t="s">
        <v>4104</v>
      </c>
      <c r="G425" s="80" t="b">
        <v>0</v>
      </c>
      <c r="H425" s="80" t="b">
        <v>0</v>
      </c>
      <c r="I425" s="80" t="b">
        <v>0</v>
      </c>
      <c r="J425" s="80" t="b">
        <v>0</v>
      </c>
      <c r="K425" s="80" t="b">
        <v>0</v>
      </c>
      <c r="L425" s="80" t="b">
        <v>0</v>
      </c>
    </row>
    <row r="426" spans="1:12" ht="15">
      <c r="A426" s="112" t="s">
        <v>4136</v>
      </c>
      <c r="B426" s="112" t="s">
        <v>4155</v>
      </c>
      <c r="C426" s="80">
        <v>2</v>
      </c>
      <c r="D426" s="113">
        <v>0.005770066086321831</v>
      </c>
      <c r="E426" s="113">
        <v>1.462952298525451</v>
      </c>
      <c r="F426" s="80" t="s">
        <v>4104</v>
      </c>
      <c r="G426" s="80" t="b">
        <v>0</v>
      </c>
      <c r="H426" s="80" t="b">
        <v>0</v>
      </c>
      <c r="I426" s="80" t="b">
        <v>0</v>
      </c>
      <c r="J426" s="80" t="b">
        <v>0</v>
      </c>
      <c r="K426" s="80" t="b">
        <v>0</v>
      </c>
      <c r="L426" s="80" t="b">
        <v>0</v>
      </c>
    </row>
    <row r="427" spans="1:12" ht="15">
      <c r="A427" s="112" t="s">
        <v>4253</v>
      </c>
      <c r="B427" s="112" t="s">
        <v>4123</v>
      </c>
      <c r="C427" s="80">
        <v>2</v>
      </c>
      <c r="D427" s="113">
        <v>0.005770066086321831</v>
      </c>
      <c r="E427" s="113">
        <v>1.1019243731861845</v>
      </c>
      <c r="F427" s="80" t="s">
        <v>4104</v>
      </c>
      <c r="G427" s="80" t="b">
        <v>0</v>
      </c>
      <c r="H427" s="80" t="b">
        <v>0</v>
      </c>
      <c r="I427" s="80" t="b">
        <v>0</v>
      </c>
      <c r="J427" s="80" t="b">
        <v>0</v>
      </c>
      <c r="K427" s="80" t="b">
        <v>0</v>
      </c>
      <c r="L427" s="80" t="b">
        <v>0</v>
      </c>
    </row>
    <row r="428" spans="1:12" ht="15">
      <c r="A428" s="112" t="s">
        <v>4122</v>
      </c>
      <c r="B428" s="112" t="s">
        <v>4165</v>
      </c>
      <c r="C428" s="80">
        <v>2</v>
      </c>
      <c r="D428" s="113">
        <v>0.005770066086321831</v>
      </c>
      <c r="E428" s="113">
        <v>0.5825622016286841</v>
      </c>
      <c r="F428" s="80" t="s">
        <v>4104</v>
      </c>
      <c r="G428" s="80" t="b">
        <v>0</v>
      </c>
      <c r="H428" s="80" t="b">
        <v>0</v>
      </c>
      <c r="I428" s="80" t="b">
        <v>0</v>
      </c>
      <c r="J428" s="80" t="b">
        <v>0</v>
      </c>
      <c r="K428" s="80" t="b">
        <v>0</v>
      </c>
      <c r="L428" s="80" t="b">
        <v>0</v>
      </c>
    </row>
    <row r="429" spans="1:12" ht="15">
      <c r="A429" s="112" t="s">
        <v>4165</v>
      </c>
      <c r="B429" s="112" t="s">
        <v>4123</v>
      </c>
      <c r="C429" s="80">
        <v>2</v>
      </c>
      <c r="D429" s="113">
        <v>0.005770066086321831</v>
      </c>
      <c r="E429" s="113">
        <v>0.9258331141305032</v>
      </c>
      <c r="F429" s="80" t="s">
        <v>4104</v>
      </c>
      <c r="G429" s="80" t="b">
        <v>0</v>
      </c>
      <c r="H429" s="80" t="b">
        <v>0</v>
      </c>
      <c r="I429" s="80" t="b">
        <v>0</v>
      </c>
      <c r="J429" s="80" t="b">
        <v>0</v>
      </c>
      <c r="K429" s="80" t="b">
        <v>0</v>
      </c>
      <c r="L429" s="80" t="b">
        <v>0</v>
      </c>
    </row>
    <row r="430" spans="1:12" ht="15">
      <c r="A430" s="112" t="s">
        <v>4319</v>
      </c>
      <c r="B430" s="112" t="s">
        <v>4129</v>
      </c>
      <c r="C430" s="80">
        <v>2</v>
      </c>
      <c r="D430" s="113">
        <v>0.005770066086321831</v>
      </c>
      <c r="E430" s="113">
        <v>1.4471580313422192</v>
      </c>
      <c r="F430" s="80" t="s">
        <v>4104</v>
      </c>
      <c r="G430" s="80" t="b">
        <v>0</v>
      </c>
      <c r="H430" s="80" t="b">
        <v>0</v>
      </c>
      <c r="I430" s="80" t="b">
        <v>0</v>
      </c>
      <c r="J430" s="80" t="b">
        <v>0</v>
      </c>
      <c r="K430" s="80" t="b">
        <v>0</v>
      </c>
      <c r="L430" s="80" t="b">
        <v>0</v>
      </c>
    </row>
    <row r="431" spans="1:12" ht="15">
      <c r="A431" s="112" t="s">
        <v>4122</v>
      </c>
      <c r="B431" s="112" t="s">
        <v>4265</v>
      </c>
      <c r="C431" s="80">
        <v>2</v>
      </c>
      <c r="D431" s="113">
        <v>0.005770066086321831</v>
      </c>
      <c r="E431" s="113">
        <v>0.9805022103007217</v>
      </c>
      <c r="F431" s="80" t="s">
        <v>4104</v>
      </c>
      <c r="G431" s="80" t="b">
        <v>0</v>
      </c>
      <c r="H431" s="80" t="b">
        <v>0</v>
      </c>
      <c r="I431" s="80" t="b">
        <v>0</v>
      </c>
      <c r="J431" s="80" t="b">
        <v>0</v>
      </c>
      <c r="K431" s="80" t="b">
        <v>0</v>
      </c>
      <c r="L431" s="80" t="b">
        <v>0</v>
      </c>
    </row>
    <row r="432" spans="1:12" ht="15">
      <c r="A432" s="112" t="s">
        <v>4265</v>
      </c>
      <c r="B432" s="112" t="s">
        <v>4132</v>
      </c>
      <c r="C432" s="80">
        <v>2</v>
      </c>
      <c r="D432" s="113">
        <v>0.005770066086321831</v>
      </c>
      <c r="E432" s="113">
        <v>2.292256071356476</v>
      </c>
      <c r="F432" s="80" t="s">
        <v>4104</v>
      </c>
      <c r="G432" s="80" t="b">
        <v>0</v>
      </c>
      <c r="H432" s="80" t="b">
        <v>0</v>
      </c>
      <c r="I432" s="80" t="b">
        <v>0</v>
      </c>
      <c r="J432" s="80" t="b">
        <v>0</v>
      </c>
      <c r="K432" s="80" t="b">
        <v>0</v>
      </c>
      <c r="L432" s="80" t="b">
        <v>0</v>
      </c>
    </row>
    <row r="433" spans="1:12" ht="15">
      <c r="A433" s="112" t="s">
        <v>4132</v>
      </c>
      <c r="B433" s="112" t="s">
        <v>2874</v>
      </c>
      <c r="C433" s="80">
        <v>2</v>
      </c>
      <c r="D433" s="113">
        <v>0.005770066086321831</v>
      </c>
      <c r="E433" s="113">
        <v>2.1161648123007946</v>
      </c>
      <c r="F433" s="80" t="s">
        <v>4104</v>
      </c>
      <c r="G433" s="80" t="b">
        <v>0</v>
      </c>
      <c r="H433" s="80" t="b">
        <v>0</v>
      </c>
      <c r="I433" s="80" t="b">
        <v>0</v>
      </c>
      <c r="J433" s="80" t="b">
        <v>0</v>
      </c>
      <c r="K433" s="80" t="b">
        <v>0</v>
      </c>
      <c r="L433" s="80" t="b">
        <v>0</v>
      </c>
    </row>
    <row r="434" spans="1:12" ht="15">
      <c r="A434" s="112" t="s">
        <v>2874</v>
      </c>
      <c r="B434" s="112" t="s">
        <v>4191</v>
      </c>
      <c r="C434" s="80">
        <v>2</v>
      </c>
      <c r="D434" s="113">
        <v>0.005770066086321831</v>
      </c>
      <c r="E434" s="113">
        <v>2.1161648123007946</v>
      </c>
      <c r="F434" s="80" t="s">
        <v>4104</v>
      </c>
      <c r="G434" s="80" t="b">
        <v>0</v>
      </c>
      <c r="H434" s="80" t="b">
        <v>0</v>
      </c>
      <c r="I434" s="80" t="b">
        <v>0</v>
      </c>
      <c r="J434" s="80" t="b">
        <v>0</v>
      </c>
      <c r="K434" s="80" t="b">
        <v>0</v>
      </c>
      <c r="L434" s="80" t="b">
        <v>0</v>
      </c>
    </row>
    <row r="435" spans="1:12" ht="15">
      <c r="A435" s="112" t="s">
        <v>4124</v>
      </c>
      <c r="B435" s="112" t="s">
        <v>4129</v>
      </c>
      <c r="C435" s="80">
        <v>2</v>
      </c>
      <c r="D435" s="113">
        <v>0.005770066086321831</v>
      </c>
      <c r="E435" s="113">
        <v>0.6342446746993636</v>
      </c>
      <c r="F435" s="80" t="s">
        <v>4104</v>
      </c>
      <c r="G435" s="80" t="b">
        <v>0</v>
      </c>
      <c r="H435" s="80" t="b">
        <v>0</v>
      </c>
      <c r="I435" s="80" t="b">
        <v>0</v>
      </c>
      <c r="J435" s="80" t="b">
        <v>0</v>
      </c>
      <c r="K435" s="80" t="b">
        <v>0</v>
      </c>
      <c r="L435" s="80" t="b">
        <v>0</v>
      </c>
    </row>
    <row r="436" spans="1:12" ht="15">
      <c r="A436" s="112" t="s">
        <v>4128</v>
      </c>
      <c r="B436" s="112" t="s">
        <v>4123</v>
      </c>
      <c r="C436" s="80">
        <v>2</v>
      </c>
      <c r="D436" s="113">
        <v>0.005770066086321831</v>
      </c>
      <c r="E436" s="113">
        <v>0.9258331141305032</v>
      </c>
      <c r="F436" s="80" t="s">
        <v>4104</v>
      </c>
      <c r="G436" s="80" t="b">
        <v>0</v>
      </c>
      <c r="H436" s="80" t="b">
        <v>0</v>
      </c>
      <c r="I436" s="80" t="b">
        <v>0</v>
      </c>
      <c r="J436" s="80" t="b">
        <v>0</v>
      </c>
      <c r="K436" s="80" t="b">
        <v>0</v>
      </c>
      <c r="L436" s="80" t="b">
        <v>0</v>
      </c>
    </row>
    <row r="437" spans="1:12" ht="15">
      <c r="A437" s="112" t="s">
        <v>4150</v>
      </c>
      <c r="B437" s="112" t="s">
        <v>4150</v>
      </c>
      <c r="C437" s="80">
        <v>2</v>
      </c>
      <c r="D437" s="113">
        <v>0.007196748530226955</v>
      </c>
      <c r="E437" s="113">
        <v>0.45974715865023974</v>
      </c>
      <c r="F437" s="80" t="s">
        <v>4104</v>
      </c>
      <c r="G437" s="80" t="b">
        <v>0</v>
      </c>
      <c r="H437" s="80" t="b">
        <v>0</v>
      </c>
      <c r="I437" s="80" t="b">
        <v>0</v>
      </c>
      <c r="J437" s="80" t="b">
        <v>0</v>
      </c>
      <c r="K437" s="80" t="b">
        <v>0</v>
      </c>
      <c r="L437" s="80" t="b">
        <v>0</v>
      </c>
    </row>
    <row r="438" spans="1:12" ht="15">
      <c r="A438" s="112" t="s">
        <v>4162</v>
      </c>
      <c r="B438" s="112" t="s">
        <v>4146</v>
      </c>
      <c r="C438" s="80">
        <v>2</v>
      </c>
      <c r="D438" s="113">
        <v>0.007196748530226955</v>
      </c>
      <c r="E438" s="113">
        <v>0.8529233775262134</v>
      </c>
      <c r="F438" s="80" t="s">
        <v>4104</v>
      </c>
      <c r="G438" s="80" t="b">
        <v>0</v>
      </c>
      <c r="H438" s="80" t="b">
        <v>1</v>
      </c>
      <c r="I438" s="80" t="b">
        <v>0</v>
      </c>
      <c r="J438" s="80" t="b">
        <v>0</v>
      </c>
      <c r="K438" s="80" t="b">
        <v>0</v>
      </c>
      <c r="L438"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B9BAF28-7BE4-4B4E-9797-C09F1D85D9A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2020-06-29T15:45:14Z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